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9200" windowHeight="10470" tabRatio="899" firstSheet="22"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规证" sheetId="77" r:id="rId13"/>
    <sheet name="抵押物清单（分楼）" sheetId="42" state="hidden" r:id="rId14"/>
    <sheet name="数据-汇总表" sheetId="6" r:id="rId15"/>
    <sheet name="数据-取费表" sheetId="1" r:id="rId16"/>
    <sheet name="估价对象房地状况" sheetId="20" state="hidden" r:id="rId17"/>
    <sheet name="系统读取表" sheetId="74" state="hidden" r:id="rId18"/>
    <sheet name="遵义大酒店建设项目内部计量台账" sheetId="80" r:id="rId19"/>
    <sheet name="结果表" sheetId="9" r:id="rId20"/>
    <sheet name="成本法" sheetId="68" r:id="rId21"/>
    <sheet name="成本法 (元)" sheetId="69" state="hidden" r:id="rId22"/>
    <sheet name="土地比较法-住宅、综合" sheetId="39" r:id="rId23"/>
    <sheet name="土地案例（新蒲新区）" sheetId="78" r:id="rId24"/>
    <sheet name="土地案例（汇川区&amp;红花岗区）" sheetId="79" r:id="rId25"/>
    <sheet name="假设开发法" sheetId="12" r:id="rId26"/>
    <sheet name="收益法（计容）" sheetId="15" r:id="rId27"/>
    <sheet name="收益法 (元)" sheetId="67" state="hidden" r:id="rId28"/>
    <sheet name="收益法（汇总）" sheetId="70" state="hidden" r:id="rId29"/>
    <sheet name="收益法（不计容）" sheetId="81"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售价" sheetId="82"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_FilterDatabase" localSheetId="18" hidden="1">遵义大酒店建设项目内部计量台账!$A$2:$AM$106</definedName>
    <definedName name="_xlnm.Print_Area" localSheetId="8">估价师及机构信息!$A$1:$F$29</definedName>
    <definedName name="_xlnm.Print_Area" localSheetId="27">'收益法 (元)'!$A$1:$AK$69</definedName>
    <definedName name="_xlnm.Print_Area" localSheetId="29">'收益法（不计容）'!$A$1:$AK$69</definedName>
    <definedName name="_xlnm.Print_Area" localSheetId="26">'收益法（计容）'!$A$1:$AK$69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3" i="82" l="1"/>
  <c r="O43" i="82"/>
  <c r="O46" i="82"/>
  <c r="R46" i="82"/>
  <c r="O47" i="82"/>
  <c r="R47" i="82"/>
  <c r="O45" i="82"/>
  <c r="R45" i="82"/>
  <c r="O48" i="82"/>
  <c r="R48" i="82"/>
  <c r="R40" i="82"/>
  <c r="R41" i="82"/>
  <c r="R42" i="82"/>
  <c r="R44" i="82"/>
  <c r="O40" i="82"/>
  <c r="O41" i="82"/>
  <c r="O42" i="82"/>
  <c r="O44" i="82"/>
  <c r="R39" i="82"/>
  <c r="O39" i="82"/>
  <c r="I38" i="39"/>
  <c r="G38" i="39"/>
  <c r="E38" i="39"/>
  <c r="C38" i="39"/>
  <c r="C29" i="66" l="1"/>
  <c r="C37" i="9"/>
  <c r="C38" i="9"/>
  <c r="I13" i="3"/>
  <c r="K13" i="3"/>
  <c r="F19" i="6"/>
  <c r="G20" i="6"/>
  <c r="N7" i="1" l="1"/>
  <c r="Q72" i="81" l="1"/>
  <c r="F60" i="81"/>
  <c r="Q59" i="81"/>
  <c r="K59" i="81"/>
  <c r="P74" i="81" s="1"/>
  <c r="Q58" i="81"/>
  <c r="Q51" i="81"/>
  <c r="J50" i="81"/>
  <c r="J51" i="81" s="1"/>
  <c r="M47" i="81"/>
  <c r="D46" i="81"/>
  <c r="F34" i="81"/>
  <c r="F62" i="81" s="1"/>
  <c r="F33" i="81"/>
  <c r="F61" i="81" s="1"/>
  <c r="F32" i="81"/>
  <c r="F28" i="81"/>
  <c r="C28" i="81" s="1"/>
  <c r="F23" i="81"/>
  <c r="D24" i="81" s="1"/>
  <c r="D23" i="81"/>
  <c r="D22" i="81"/>
  <c r="F21" i="81"/>
  <c r="M20" i="81"/>
  <c r="F20" i="81"/>
  <c r="M19" i="81"/>
  <c r="M18" i="81"/>
  <c r="F18" i="81"/>
  <c r="F17" i="81"/>
  <c r="F15" i="81"/>
  <c r="D71" i="39"/>
  <c r="E71" i="39" s="1"/>
  <c r="F71" i="39" s="1"/>
  <c r="G71" i="39" s="1"/>
  <c r="H71" i="39" s="1"/>
  <c r="I71" i="39" s="1"/>
  <c r="J71" i="39" s="1"/>
  <c r="K71" i="39" s="1"/>
  <c r="L71" i="39" s="1"/>
  <c r="M71" i="39" s="1"/>
  <c r="N71" i="39" s="1"/>
  <c r="O71" i="39" s="1"/>
  <c r="D75" i="39"/>
  <c r="I7" i="39"/>
  <c r="G7" i="39"/>
  <c r="E7" i="39"/>
  <c r="P61" i="81" l="1"/>
  <c r="I6" i="39"/>
  <c r="I5" i="39"/>
  <c r="G6" i="39"/>
  <c r="G5" i="39"/>
  <c r="E6" i="39"/>
  <c r="E5" i="39"/>
  <c r="AC105" i="80"/>
  <c r="AK103" i="80"/>
  <c r="AK102" i="80"/>
  <c r="AK101" i="80"/>
  <c r="AK100" i="80"/>
  <c r="AK99" i="80"/>
  <c r="AK98" i="80"/>
  <c r="AK97" i="80"/>
  <c r="AK96" i="80"/>
  <c r="AK95" i="80"/>
  <c r="AK94" i="80"/>
  <c r="AK93" i="80"/>
  <c r="AK92" i="80"/>
  <c r="AK91" i="80"/>
  <c r="AK90" i="80"/>
  <c r="AK89" i="80"/>
  <c r="AK88" i="80"/>
  <c r="AK87" i="80"/>
  <c r="AK86" i="80"/>
  <c r="AK85" i="80"/>
  <c r="AK84" i="80"/>
  <c r="AK83" i="80"/>
  <c r="AK82" i="80"/>
  <c r="AK81" i="80"/>
  <c r="AK80" i="80"/>
  <c r="AK79" i="80"/>
  <c r="AK78" i="80"/>
  <c r="AD77" i="80"/>
  <c r="F77" i="80"/>
  <c r="AK77" i="80" s="1"/>
  <c r="AK76" i="80"/>
  <c r="AK75" i="80"/>
  <c r="AD74" i="80"/>
  <c r="AK74" i="80" s="1"/>
  <c r="AK73" i="80"/>
  <c r="AK72" i="80"/>
  <c r="AK71" i="80"/>
  <c r="AK70" i="80"/>
  <c r="AK69" i="80"/>
  <c r="AD69" i="80"/>
  <c r="AD68" i="80"/>
  <c r="AK68" i="80" s="1"/>
  <c r="AK67" i="80"/>
  <c r="F67" i="80"/>
  <c r="AK66" i="80"/>
  <c r="AK65" i="80"/>
  <c r="AK64" i="80"/>
  <c r="AD63" i="80"/>
  <c r="AK63" i="80" s="1"/>
  <c r="AK62" i="80"/>
  <c r="AK61" i="80"/>
  <c r="AD61" i="80"/>
  <c r="AD60" i="80"/>
  <c r="AK60" i="80" s="1"/>
  <c r="AK59" i="80"/>
  <c r="AK58" i="80"/>
  <c r="AK57" i="80"/>
  <c r="AK56" i="80"/>
  <c r="AK55" i="80"/>
  <c r="AD55" i="80"/>
  <c r="AK54" i="80"/>
  <c r="G53" i="80"/>
  <c r="AB53" i="80" s="1"/>
  <c r="AB52" i="80"/>
  <c r="AB51" i="80"/>
  <c r="G50" i="80"/>
  <c r="AB50" i="80" s="1"/>
  <c r="G49" i="80"/>
  <c r="AB49" i="80" s="1"/>
  <c r="G48" i="80"/>
  <c r="AB48" i="80" s="1"/>
  <c r="G47" i="80"/>
  <c r="AB47" i="80" s="1"/>
  <c r="AB46" i="80"/>
  <c r="AK46" i="80" s="1"/>
  <c r="G45" i="80"/>
  <c r="AB45" i="80" s="1"/>
  <c r="AK45" i="80" s="1"/>
  <c r="G44" i="80"/>
  <c r="AB44" i="80" s="1"/>
  <c r="AK44" i="80" s="1"/>
  <c r="AK43" i="80"/>
  <c r="AB42" i="80"/>
  <c r="AB41" i="80"/>
  <c r="AB40" i="80"/>
  <c r="AB39" i="80"/>
  <c r="AD38" i="80"/>
  <c r="G38" i="80"/>
  <c r="AB38" i="80" s="1"/>
  <c r="AK38" i="80" s="1"/>
  <c r="AD37" i="80"/>
  <c r="G37" i="80"/>
  <c r="AB37" i="80" s="1"/>
  <c r="AK37" i="80" s="1"/>
  <c r="AD36" i="80"/>
  <c r="G36" i="80"/>
  <c r="AB36" i="80" s="1"/>
  <c r="AK36" i="80" s="1"/>
  <c r="G35" i="80"/>
  <c r="AB35" i="80" s="1"/>
  <c r="AK35" i="80" s="1"/>
  <c r="AB34" i="80"/>
  <c r="AK34" i="80" s="1"/>
  <c r="G34" i="80"/>
  <c r="G33" i="80"/>
  <c r="AB33" i="80" s="1"/>
  <c r="AK33" i="80" s="1"/>
  <c r="AB32" i="80"/>
  <c r="AK32" i="80" s="1"/>
  <c r="AD31" i="80"/>
  <c r="AK31" i="80" s="1"/>
  <c r="AB31" i="80"/>
  <c r="AD30" i="80"/>
  <c r="AB30" i="80"/>
  <c r="AK30" i="80" s="1"/>
  <c r="G30" i="80"/>
  <c r="G29" i="80"/>
  <c r="AB29" i="80" s="1"/>
  <c r="AD28" i="80"/>
  <c r="G28" i="80"/>
  <c r="AB28" i="80" s="1"/>
  <c r="AK28" i="80" s="1"/>
  <c r="G27" i="80"/>
  <c r="AB27" i="80" s="1"/>
  <c r="AK27" i="80" s="1"/>
  <c r="AB26" i="80"/>
  <c r="AK26" i="80" s="1"/>
  <c r="G26" i="80"/>
  <c r="G25" i="80"/>
  <c r="AB25" i="80" s="1"/>
  <c r="AK25" i="80" s="1"/>
  <c r="F25" i="80"/>
  <c r="F105" i="80" s="1"/>
  <c r="G24" i="80"/>
  <c r="AB24" i="80" s="1"/>
  <c r="AK24" i="80" s="1"/>
  <c r="G23" i="80"/>
  <c r="AB23" i="80" s="1"/>
  <c r="AK23" i="80" s="1"/>
  <c r="AK22" i="80"/>
  <c r="G21" i="80"/>
  <c r="AB21" i="80" s="1"/>
  <c r="AK21" i="80" s="1"/>
  <c r="AD20" i="80"/>
  <c r="AD105" i="80" s="1"/>
  <c r="G20" i="80"/>
  <c r="AB20" i="80" s="1"/>
  <c r="AK20" i="80" s="1"/>
  <c r="AK19" i="80"/>
  <c r="AB19" i="80"/>
  <c r="G18" i="80"/>
  <c r="AB18" i="80" s="1"/>
  <c r="AK18" i="80" s="1"/>
  <c r="G17" i="80"/>
  <c r="AB17" i="80" s="1"/>
  <c r="AK17" i="80" s="1"/>
  <c r="G16" i="80"/>
  <c r="AB16" i="80" s="1"/>
  <c r="AK16" i="80" s="1"/>
  <c r="AB15" i="80"/>
  <c r="AK15" i="80" s="1"/>
  <c r="G15" i="80"/>
  <c r="G14" i="80"/>
  <c r="AB13" i="80"/>
  <c r="AK13" i="80" s="1"/>
  <c r="G13" i="80"/>
  <c r="G12" i="80"/>
  <c r="AB11" i="80"/>
  <c r="AK11" i="80" s="1"/>
  <c r="G11" i="80"/>
  <c r="G10" i="80"/>
  <c r="AB9" i="80"/>
  <c r="G9" i="80"/>
  <c r="G8" i="80"/>
  <c r="AB7" i="80"/>
  <c r="AK7" i="80" s="1"/>
  <c r="G7" i="80"/>
  <c r="G105" i="80" s="1"/>
  <c r="AB6" i="80"/>
  <c r="AK9" i="80" s="1"/>
  <c r="AB5" i="80"/>
  <c r="AK5" i="80" s="1"/>
  <c r="AK105" i="80" l="1"/>
  <c r="AB105" i="80"/>
  <c r="G8" i="77" l="1"/>
  <c r="F8" i="77"/>
  <c r="H7" i="77"/>
  <c r="H8" i="77" s="1"/>
  <c r="H6" i="77"/>
  <c r="G5" i="77"/>
  <c r="G9" i="77" s="1"/>
  <c r="F5" i="77"/>
  <c r="F9" i="77" s="1"/>
  <c r="H4" i="77"/>
  <c r="H3" i="77"/>
  <c r="H5" i="77" s="1"/>
  <c r="H9" i="77" l="1"/>
  <c r="AH5" i="71"/>
  <c r="AG5" i="71"/>
  <c r="AE5" i="71"/>
  <c r="AF5" i="71" s="1"/>
  <c r="AD5" i="71"/>
  <c r="Q5" i="71"/>
  <c r="Q6" i="71"/>
  <c r="P5" i="71"/>
  <c r="P6" i="71"/>
  <c r="O5" i="71"/>
  <c r="O6" i="71"/>
  <c r="N5" i="71"/>
  <c r="N6" i="71"/>
  <c r="AH6" i="71"/>
  <c r="AG6" i="71"/>
  <c r="AE6" i="71"/>
  <c r="AF6" i="71" s="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c r="K3" i="71"/>
  <c r="AG3" i="71" s="1"/>
  <c r="J3" i="71"/>
  <c r="AE3" i="71"/>
  <c r="I3" i="71"/>
  <c r="AH10" i="71"/>
  <c r="AG10" i="71"/>
  <c r="AE10" i="71"/>
  <c r="AF10" i="71" s="1"/>
  <c r="AD10" i="71"/>
  <c r="Q10" i="71"/>
  <c r="Q11" i="71"/>
  <c r="P10" i="71"/>
  <c r="P11" i="71"/>
  <c r="O10" i="71"/>
  <c r="O11" i="71"/>
  <c r="N10" i="71"/>
  <c r="N11" i="71"/>
  <c r="N12" i="71"/>
  <c r="AH11" i="71"/>
  <c r="AG11" i="71"/>
  <c r="AE11" i="71"/>
  <c r="AF11" i="71" s="1"/>
  <c r="AD11" i="71"/>
  <c r="Q12" i="71"/>
  <c r="P12" i="71"/>
  <c r="O12" i="71"/>
  <c r="M19" i="43"/>
  <c r="D14" i="71"/>
  <c r="AH12" i="71"/>
  <c r="AG12" i="71"/>
  <c r="AE12" i="71"/>
  <c r="AF12" i="71" s="1"/>
  <c r="AD12" i="71"/>
  <c r="AD13" i="71"/>
  <c r="AG13" i="71"/>
  <c r="AH13" i="71"/>
  <c r="AE13" i="71"/>
  <c r="AF13" i="71" s="1"/>
  <c r="N13" i="71"/>
  <c r="B13" i="71" s="1"/>
  <c r="B12" i="71" s="1"/>
  <c r="B11" i="71" s="1"/>
  <c r="Q13" i="71"/>
  <c r="F13" i="71" s="1"/>
  <c r="F12" i="71" s="1"/>
  <c r="F11" i="71" s="1"/>
  <c r="P13" i="71"/>
  <c r="O13" i="71"/>
  <c r="Q14" i="71"/>
  <c r="P14" i="71"/>
  <c r="E13" i="71"/>
  <c r="O14" i="71"/>
  <c r="N14" i="71"/>
  <c r="B10" i="71"/>
  <c r="B9" i="71" s="1"/>
  <c r="B8" i="71" s="1"/>
  <c r="B7" i="71" s="1"/>
  <c r="B6" i="71" s="1"/>
  <c r="B5" i="71" s="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A15" i="62"/>
  <c r="A14" i="62"/>
  <c r="B60" i="72" s="1"/>
  <c r="A13" i="62"/>
  <c r="B59" i="72"/>
  <c r="A19" i="62"/>
  <c r="B65" i="72" s="1"/>
  <c r="A12" i="62"/>
  <c r="B58" i="72" s="1"/>
  <c r="A120" i="9"/>
  <c r="H2" i="52"/>
  <c r="A1" i="52"/>
  <c r="A3" i="53"/>
  <c r="Q15" i="71"/>
  <c r="P15" i="71"/>
  <c r="O15" i="71"/>
  <c r="N15"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s="1"/>
  <c r="AH9" i="43"/>
  <c r="AG9" i="43"/>
  <c r="AF9" i="43"/>
  <c r="AE9" i="43"/>
  <c r="AE12" i="43" s="1"/>
  <c r="AD9" i="43"/>
  <c r="AC9" i="43"/>
  <c r="AB9" i="43"/>
  <c r="AA9" i="43"/>
  <c r="AA12" i="43" s="1"/>
  <c r="Z9" i="43"/>
  <c r="AE10" i="43"/>
  <c r="AI10" i="43"/>
  <c r="AJ10" i="43"/>
  <c r="K49" i="9"/>
  <c r="E107" i="9"/>
  <c r="A122" i="9" s="1"/>
  <c r="A8" i="52" s="1"/>
  <c r="E111" i="9"/>
  <c r="A126" i="9"/>
  <c r="E109" i="9"/>
  <c r="A124" i="9"/>
  <c r="B44" i="72"/>
  <c r="B42" i="72"/>
  <c r="B69" i="72"/>
  <c r="B68" i="72"/>
  <c r="B63" i="72"/>
  <c r="B62" i="72"/>
  <c r="B16" i="72"/>
  <c r="B66" i="72"/>
  <c r="B10" i="72"/>
  <c r="C53" i="10"/>
  <c r="B51" i="10"/>
  <c r="A18" i="51"/>
  <c r="B13" i="72" s="1"/>
  <c r="C8" i="68"/>
  <c r="B49" i="48"/>
  <c r="B5" i="72"/>
  <c r="I19" i="43"/>
  <c r="D78" i="71"/>
  <c r="F77" i="71"/>
  <c r="E77" i="71"/>
  <c r="E76" i="71" s="1"/>
  <c r="E75" i="71" s="1"/>
  <c r="C77" i="71"/>
  <c r="D77" i="71"/>
  <c r="B77" i="71"/>
  <c r="F76" i="71"/>
  <c r="F75" i="71" s="1"/>
  <c r="B76" i="71"/>
  <c r="B75" i="71" s="1"/>
  <c r="D74" i="71"/>
  <c r="F73" i="71"/>
  <c r="E73" i="71"/>
  <c r="E72" i="71" s="1"/>
  <c r="E71" i="71" s="1"/>
  <c r="C73" i="71"/>
  <c r="D73" i="71"/>
  <c r="B73" i="71"/>
  <c r="B72" i="71" s="1"/>
  <c r="F72" i="71"/>
  <c r="F71" i="71" s="1"/>
  <c r="B71" i="71"/>
  <c r="D70" i="71"/>
  <c r="Q69" i="71"/>
  <c r="P69" i="71"/>
  <c r="O69" i="71"/>
  <c r="N69" i="71"/>
  <c r="F69" i="71"/>
  <c r="V69" i="71"/>
  <c r="E69" i="71"/>
  <c r="C69" i="71"/>
  <c r="T69" i="71"/>
  <c r="B69" i="71"/>
  <c r="S69" i="71" s="1"/>
  <c r="Q68" i="71"/>
  <c r="P68" i="71"/>
  <c r="O68" i="71"/>
  <c r="N68" i="71"/>
  <c r="F68" i="71"/>
  <c r="F67" i="71"/>
  <c r="Q67" i="71"/>
  <c r="P67" i="71"/>
  <c r="O67" i="71"/>
  <c r="N67" i="71"/>
  <c r="Q66" i="71"/>
  <c r="P66" i="71"/>
  <c r="O66" i="71"/>
  <c r="N66" i="71"/>
  <c r="D66" i="71"/>
  <c r="Q65" i="71"/>
  <c r="P65" i="71"/>
  <c r="O65" i="71"/>
  <c r="N65" i="71"/>
  <c r="F65" i="71"/>
  <c r="V65" i="71"/>
  <c r="E65" i="71"/>
  <c r="U65" i="71" s="1"/>
  <c r="C65" i="71"/>
  <c r="T65" i="71" s="1"/>
  <c r="B65" i="71"/>
  <c r="Q64" i="71"/>
  <c r="P64" i="71"/>
  <c r="O64" i="71"/>
  <c r="N64" i="71"/>
  <c r="F64" i="71"/>
  <c r="F63" i="71" s="1"/>
  <c r="Q63" i="71"/>
  <c r="P63" i="71"/>
  <c r="O63" i="71"/>
  <c r="N63" i="71"/>
  <c r="Q62" i="71"/>
  <c r="P62" i="71"/>
  <c r="O62" i="71"/>
  <c r="N62" i="71"/>
  <c r="D62" i="71"/>
  <c r="Q61" i="71"/>
  <c r="P61" i="71"/>
  <c r="O61" i="71"/>
  <c r="N61" i="71"/>
  <c r="F61" i="71"/>
  <c r="V61" i="71" s="1"/>
  <c r="E61" i="71"/>
  <c r="U61" i="71"/>
  <c r="C61" i="71"/>
  <c r="T61" i="71" s="1"/>
  <c r="B61" i="71"/>
  <c r="S61" i="71"/>
  <c r="Q60" i="71"/>
  <c r="P60" i="71"/>
  <c r="O60" i="71"/>
  <c r="N60" i="71"/>
  <c r="F60" i="71"/>
  <c r="F59" i="71" s="1"/>
  <c r="B60" i="71"/>
  <c r="B59" i="71"/>
  <c r="Q59" i="71"/>
  <c r="P59" i="71"/>
  <c r="O59" i="71"/>
  <c r="N59" i="71"/>
  <c r="Q58" i="71"/>
  <c r="P58" i="71"/>
  <c r="O58" i="71"/>
  <c r="N58" i="71"/>
  <c r="D58" i="71"/>
  <c r="F57" i="71"/>
  <c r="V57" i="71" s="1"/>
  <c r="E57" i="71"/>
  <c r="P57" i="71"/>
  <c r="C57" i="71"/>
  <c r="C56" i="71" s="1"/>
  <c r="B57" i="71"/>
  <c r="S57" i="71"/>
  <c r="F56" i="71"/>
  <c r="B56" i="71"/>
  <c r="D54" i="71"/>
  <c r="Q53" i="71"/>
  <c r="P53" i="71"/>
  <c r="O53" i="71"/>
  <c r="N53" i="71"/>
  <c r="Q52" i="71"/>
  <c r="P52" i="71"/>
  <c r="O52" i="71"/>
  <c r="N52" i="71"/>
  <c r="Q51" i="71"/>
  <c r="P51" i="71"/>
  <c r="O51" i="71"/>
  <c r="N51" i="71"/>
  <c r="Q50" i="71"/>
  <c r="F51" i="71" s="1"/>
  <c r="F52" i="71" s="1"/>
  <c r="F53" i="71" s="1"/>
  <c r="V53" i="71" s="1"/>
  <c r="P50" i="71"/>
  <c r="E51" i="7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c r="P46" i="71"/>
  <c r="E47" i="71" s="1"/>
  <c r="O46" i="71"/>
  <c r="C47" i="71" s="1"/>
  <c r="D47" i="71" s="1"/>
  <c r="N46" i="71"/>
  <c r="B47" i="71" s="1"/>
  <c r="D46" i="71"/>
  <c r="Q45" i="71"/>
  <c r="P45" i="71"/>
  <c r="O45" i="71"/>
  <c r="N45" i="71"/>
  <c r="Q44" i="71"/>
  <c r="P44" i="71"/>
  <c r="O44" i="71"/>
  <c r="N44" i="71"/>
  <c r="Q43" i="71"/>
  <c r="P43" i="71"/>
  <c r="O43" i="71"/>
  <c r="N43" i="71"/>
  <c r="C43" i="71"/>
  <c r="C44" i="71" s="1"/>
  <c r="Q42" i="71"/>
  <c r="F43" i="71" s="1"/>
  <c r="F44" i="71" s="1"/>
  <c r="F45" i="71" s="1"/>
  <c r="V45" i="71" s="1"/>
  <c r="P42" i="71"/>
  <c r="E43" i="71" s="1"/>
  <c r="O42" i="71"/>
  <c r="N42" i="71"/>
  <c r="B43" i="71" s="1"/>
  <c r="B44" i="71" s="1"/>
  <c r="B45" i="71" s="1"/>
  <c r="S45" i="71" s="1"/>
  <c r="D42" i="71"/>
  <c r="Q41" i="71"/>
  <c r="P41" i="71"/>
  <c r="O41" i="71"/>
  <c r="N41" i="71"/>
  <c r="Q40" i="71"/>
  <c r="P40" i="71"/>
  <c r="O40" i="71"/>
  <c r="N40" i="71"/>
  <c r="Q39" i="71"/>
  <c r="P39" i="71"/>
  <c r="O39" i="71"/>
  <c r="N39" i="71"/>
  <c r="Q38" i="71"/>
  <c r="F39" i="71"/>
  <c r="P38" i="71"/>
  <c r="E39" i="71"/>
  <c r="E40" i="71" s="1"/>
  <c r="E41" i="71" s="1"/>
  <c r="U41" i="71" s="1"/>
  <c r="O38" i="71"/>
  <c r="C39" i="71" s="1"/>
  <c r="N38" i="71"/>
  <c r="B39" i="71" s="1"/>
  <c r="B40" i="71" s="1"/>
  <c r="B41" i="71" s="1"/>
  <c r="S41" i="71" s="1"/>
  <c r="D38" i="71"/>
  <c r="T37" i="71"/>
  <c r="Q37" i="71"/>
  <c r="P37" i="71"/>
  <c r="O37" i="71"/>
  <c r="N37" i="71"/>
  <c r="D37" i="71"/>
  <c r="Q36" i="71"/>
  <c r="P36" i="71"/>
  <c r="O36" i="71"/>
  <c r="N36" i="71"/>
  <c r="Q35" i="71"/>
  <c r="P35" i="71"/>
  <c r="O35" i="71"/>
  <c r="C36" i="71" s="1"/>
  <c r="N35" i="71"/>
  <c r="Q34" i="71"/>
  <c r="F35" i="71" s="1"/>
  <c r="F36" i="71" s="1"/>
  <c r="F37" i="71" s="1"/>
  <c r="V37" i="71" s="1"/>
  <c r="P34" i="71"/>
  <c r="E35" i="71"/>
  <c r="O34" i="71"/>
  <c r="C35" i="71" s="1"/>
  <c r="N34" i="71"/>
  <c r="B35" i="71" s="1"/>
  <c r="B36" i="71" s="1"/>
  <c r="B37" i="71" s="1"/>
  <c r="S37" i="71" s="1"/>
  <c r="D34" i="71"/>
  <c r="Q33" i="71"/>
  <c r="P33" i="71"/>
  <c r="O33" i="71"/>
  <c r="N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c r="B33" i="71" s="1"/>
  <c r="S33" i="71" s="1"/>
  <c r="D30" i="71"/>
  <c r="Q29" i="71"/>
  <c r="P29" i="71"/>
  <c r="O29" i="71"/>
  <c r="N29" i="71"/>
  <c r="AB28" i="71"/>
  <c r="Q28" i="71"/>
  <c r="P28" i="71"/>
  <c r="AA28" i="71" s="1"/>
  <c r="O28" i="71"/>
  <c r="Y28" i="71"/>
  <c r="Z28" i="71" s="1"/>
  <c r="N28" i="71"/>
  <c r="X28" i="71"/>
  <c r="Q27" i="71"/>
  <c r="P27" i="71"/>
  <c r="O27" i="71"/>
  <c r="Y27" i="71"/>
  <c r="Z27" i="71" s="1"/>
  <c r="N27" i="71"/>
  <c r="Q26" i="71"/>
  <c r="F27" i="71" s="1"/>
  <c r="F28" i="71" s="1"/>
  <c r="F29" i="71" s="1"/>
  <c r="V29" i="71" s="1"/>
  <c r="P26" i="71"/>
  <c r="O26" i="71"/>
  <c r="N26" i="71"/>
  <c r="D26" i="71"/>
  <c r="Q25" i="71"/>
  <c r="AB25" i="71"/>
  <c r="P25" i="71"/>
  <c r="O25" i="71"/>
  <c r="Y25" i="71" s="1"/>
  <c r="Z25" i="71"/>
  <c r="N25" i="71"/>
  <c r="Q24" i="71"/>
  <c r="AB24" i="71" s="1"/>
  <c r="P24" i="71"/>
  <c r="O24" i="71"/>
  <c r="N24" i="71"/>
  <c r="Q23" i="71"/>
  <c r="P23" i="71"/>
  <c r="O23" i="71"/>
  <c r="Y23" i="71" s="1"/>
  <c r="Z23" i="71" s="1"/>
  <c r="N23" i="71"/>
  <c r="Q22" i="71"/>
  <c r="F23" i="71" s="1"/>
  <c r="F24" i="71" s="1"/>
  <c r="F25" i="71" s="1"/>
  <c r="V25" i="71" s="1"/>
  <c r="P22" i="71"/>
  <c r="O22" i="71"/>
  <c r="N22" i="71"/>
  <c r="D22" i="71"/>
  <c r="Q21" i="71"/>
  <c r="AB21" i="71"/>
  <c r="P21" i="71"/>
  <c r="O21" i="71"/>
  <c r="N21" i="71"/>
  <c r="Q20" i="71"/>
  <c r="P20" i="71"/>
  <c r="O20" i="71"/>
  <c r="Y20" i="71"/>
  <c r="Z20" i="71" s="1"/>
  <c r="N20" i="71"/>
  <c r="Q19" i="71"/>
  <c r="AB19" i="71" s="1"/>
  <c r="P19" i="71"/>
  <c r="O19" i="71"/>
  <c r="Y19" i="71" s="1"/>
  <c r="Z19" i="71" s="1"/>
  <c r="N19" i="71"/>
  <c r="Q18" i="71"/>
  <c r="P18" i="71"/>
  <c r="AA18" i="71" s="1"/>
  <c r="O18" i="71"/>
  <c r="C19" i="71" s="1"/>
  <c r="D19" i="71" s="1"/>
  <c r="N18" i="71"/>
  <c r="D18" i="71"/>
  <c r="O17" i="71"/>
  <c r="C17" i="71" s="1"/>
  <c r="N17" i="71"/>
  <c r="B19" i="71"/>
  <c r="B20" i="71"/>
  <c r="B21" i="71" s="1"/>
  <c r="S21" i="71" s="1"/>
  <c r="B27" i="71"/>
  <c r="B28" i="71" s="1"/>
  <c r="B29" i="71"/>
  <c r="S29" i="71" s="1"/>
  <c r="X26" i="71"/>
  <c r="N57" i="71"/>
  <c r="E23" i="71"/>
  <c r="E24" i="71"/>
  <c r="E25" i="71" s="1"/>
  <c r="U25" i="71" s="1"/>
  <c r="AA20" i="71"/>
  <c r="Y22" i="71"/>
  <c r="Z22" i="71" s="1"/>
  <c r="AA24" i="71"/>
  <c r="X25" i="71"/>
  <c r="AA25" i="71"/>
  <c r="X27" i="71"/>
  <c r="AA27" i="71"/>
  <c r="F40" i="71"/>
  <c r="F41" i="71" s="1"/>
  <c r="V41" i="71" s="1"/>
  <c r="D36" i="71"/>
  <c r="D35" i="71"/>
  <c r="C40" i="71"/>
  <c r="D39" i="71"/>
  <c r="P17" i="71"/>
  <c r="E44" i="71"/>
  <c r="E45" i="71" s="1"/>
  <c r="U45" i="71" s="1"/>
  <c r="E48" i="71"/>
  <c r="E49" i="71" s="1"/>
  <c r="U49" i="71" s="1"/>
  <c r="E53" i="71"/>
  <c r="U53" i="71" s="1"/>
  <c r="U57" i="71"/>
  <c r="E56" i="71"/>
  <c r="E55" i="71" s="1"/>
  <c r="P55" i="71" s="1"/>
  <c r="Q17" i="71"/>
  <c r="AB16" i="71" s="1"/>
  <c r="C48" i="71"/>
  <c r="D48" i="71" s="1"/>
  <c r="N56" i="71"/>
  <c r="B55" i="71"/>
  <c r="N55" i="71" s="1"/>
  <c r="O57" i="71"/>
  <c r="D57" i="71"/>
  <c r="Q57" i="71"/>
  <c r="C60" i="71"/>
  <c r="E60" i="71"/>
  <c r="E59" i="71" s="1"/>
  <c r="C64" i="71"/>
  <c r="E64" i="71"/>
  <c r="E63" i="71" s="1"/>
  <c r="D65" i="71"/>
  <c r="C68" i="71"/>
  <c r="D69" i="71"/>
  <c r="C72" i="71"/>
  <c r="D72" i="71" s="1"/>
  <c r="C76" i="71"/>
  <c r="D76" i="71" s="1"/>
  <c r="F17" i="71"/>
  <c r="F16" i="71" s="1"/>
  <c r="F15" i="71" s="1"/>
  <c r="AB14" i="71"/>
  <c r="E17" i="71"/>
  <c r="AA14" i="71"/>
  <c r="D17" i="71"/>
  <c r="U17" i="71" s="1"/>
  <c r="D56" i="71"/>
  <c r="C71" i="71"/>
  <c r="D71" i="71" s="1"/>
  <c r="N54" i="71"/>
  <c r="C75" i="71"/>
  <c r="D75" i="71" s="1"/>
  <c r="C49" i="71"/>
  <c r="C41" i="71"/>
  <c r="D40" i="71"/>
  <c r="P54" i="71"/>
  <c r="T41" i="71"/>
  <c r="D41"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25" i="40"/>
  <c r="AA25" i="40" s="1"/>
  <c r="Z29" i="39"/>
  <c r="Q29" i="39"/>
  <c r="D103" i="39"/>
  <c r="E103" i="39" s="1"/>
  <c r="F29" i="39"/>
  <c r="AA29" i="39" s="1"/>
  <c r="Q18" i="36"/>
  <c r="Z18" i="36" s="1"/>
  <c r="D66" i="36"/>
  <c r="E66" i="36" s="1"/>
  <c r="F66" i="36"/>
  <c r="H18" i="36"/>
  <c r="AB18" i="36"/>
  <c r="F18" i="36"/>
  <c r="AA18" i="36"/>
  <c r="C18" i="36"/>
  <c r="Z18" i="35"/>
  <c r="Q18" i="35"/>
  <c r="D68" i="35"/>
  <c r="E68" i="35" s="1"/>
  <c r="F18" i="35"/>
  <c r="S18" i="35" s="1"/>
  <c r="C18" i="35"/>
  <c r="Q21" i="37"/>
  <c r="Z21" i="37" s="1"/>
  <c r="D77" i="37"/>
  <c r="E77" i="37" s="1"/>
  <c r="F77" i="37" s="1"/>
  <c r="G77" i="37" s="1"/>
  <c r="C21" i="37"/>
  <c r="Q21" i="34"/>
  <c r="Z21" i="34" s="1"/>
  <c r="D84" i="34"/>
  <c r="E84" i="34" s="1"/>
  <c r="F21" i="34"/>
  <c r="AA21" i="34" s="1"/>
  <c r="C21" i="34"/>
  <c r="Q21" i="33"/>
  <c r="Z21" i="33" s="1"/>
  <c r="D83" i="33"/>
  <c r="E83" i="33"/>
  <c r="C21" i="33"/>
  <c r="C21" i="21"/>
  <c r="Q21" i="21"/>
  <c r="Z21" i="21"/>
  <c r="H19" i="21"/>
  <c r="D83" i="21"/>
  <c r="F21" i="21"/>
  <c r="AA21" i="21"/>
  <c r="D81" i="21"/>
  <c r="G20" i="20"/>
  <c r="B86" i="43"/>
  <c r="C22" i="20"/>
  <c r="B55" i="43" s="1"/>
  <c r="C25" i="40"/>
  <c r="S25" i="40"/>
  <c r="S18" i="36"/>
  <c r="U18" i="36"/>
  <c r="S21" i="34"/>
  <c r="F94" i="40"/>
  <c r="G94" i="40" s="1"/>
  <c r="H25" i="40"/>
  <c r="AB25" i="40" s="1"/>
  <c r="J25" i="40"/>
  <c r="F103" i="39"/>
  <c r="G103" i="39" s="1"/>
  <c r="H29" i="39"/>
  <c r="AB29" i="39" s="1"/>
  <c r="J29" i="39"/>
  <c r="AC29" i="39" s="1"/>
  <c r="G66" i="36"/>
  <c r="J18" i="36"/>
  <c r="W18" i="36" s="1"/>
  <c r="F68" i="35"/>
  <c r="H18" i="35"/>
  <c r="AB18" i="35" s="1"/>
  <c r="G68" i="35"/>
  <c r="J18" i="35"/>
  <c r="H21" i="37"/>
  <c r="F21" i="37"/>
  <c r="S21" i="37" s="1"/>
  <c r="F84" i="34"/>
  <c r="H21" i="34"/>
  <c r="AB21" i="34" s="1"/>
  <c r="F83" i="33"/>
  <c r="H21" i="33"/>
  <c r="AB21" i="33" s="1"/>
  <c r="F21" i="33"/>
  <c r="AA21" i="33" s="1"/>
  <c r="E83" i="21"/>
  <c r="F83" i="21" s="1"/>
  <c r="G83" i="21" s="1"/>
  <c r="S21" i="21"/>
  <c r="H1" i="69"/>
  <c r="AC25" i="40"/>
  <c r="W25" i="40"/>
  <c r="U25" i="40"/>
  <c r="U29" i="39"/>
  <c r="W29" i="39"/>
  <c r="AB21" i="37"/>
  <c r="U21" i="37"/>
  <c r="U21" i="34"/>
  <c r="S21" i="33"/>
  <c r="U18" i="35"/>
  <c r="AC18" i="35"/>
  <c r="W18" i="35"/>
  <c r="J21" i="37"/>
  <c r="AC21" i="37" s="1"/>
  <c r="G84" i="34"/>
  <c r="J21" i="34"/>
  <c r="W21" i="34" s="1"/>
  <c r="G83" i="33"/>
  <c r="J21" i="33"/>
  <c r="AC21" i="33" s="1"/>
  <c r="H21" i="21"/>
  <c r="U21" i="21" s="1"/>
  <c r="F38" i="69"/>
  <c r="E37" i="69"/>
  <c r="F36" i="69"/>
  <c r="F35" i="69"/>
  <c r="F21" i="69"/>
  <c r="C21" i="69" s="1"/>
  <c r="F20" i="69"/>
  <c r="E10" i="69"/>
  <c r="E9" i="69"/>
  <c r="C7" i="69"/>
  <c r="W21" i="37"/>
  <c r="W21" i="33"/>
  <c r="J21" i="21"/>
  <c r="AC21" i="21" s="1"/>
  <c r="C40" i="69"/>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5" i="66" s="1"/>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A6" i="1"/>
  <c r="B11" i="1"/>
  <c r="E11" i="1" s="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AZ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AZ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L19" i="3"/>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L190" i="3" s="1"/>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AZ242" i="3" s="1"/>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c r="R278" i="31"/>
  <c r="R279" i="31"/>
  <c r="S279" i="31" s="1"/>
  <c r="R280" i="31"/>
  <c r="R281" i="31"/>
  <c r="S281" i="31" s="1"/>
  <c r="R282" i="31"/>
  <c r="R283" i="31"/>
  <c r="S283" i="31"/>
  <c r="R284" i="31"/>
  <c r="R285" i="31"/>
  <c r="S285" i="31"/>
  <c r="R286" i="31"/>
  <c r="R287" i="31"/>
  <c r="S287" i="31" s="1"/>
  <c r="R288" i="31"/>
  <c r="R289" i="31"/>
  <c r="S289" i="31"/>
  <c r="R290" i="31"/>
  <c r="R291" i="31"/>
  <c r="S291" i="31" s="1"/>
  <c r="R292" i="31"/>
  <c r="R293" i="31"/>
  <c r="S293" i="3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c r="R310" i="31"/>
  <c r="R311" i="31"/>
  <c r="S311" i="31" s="1"/>
  <c r="R312" i="31"/>
  <c r="R313" i="31"/>
  <c r="S313" i="31" s="1"/>
  <c r="R314" i="31"/>
  <c r="R315" i="31"/>
  <c r="S315" i="3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H39" i="40" s="1"/>
  <c r="U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s="1"/>
  <c r="Q44" i="39"/>
  <c r="Z44" i="39" s="1"/>
  <c r="Q45" i="39"/>
  <c r="Z45" i="39" s="1"/>
  <c r="Q38" i="39"/>
  <c r="Z38" i="39"/>
  <c r="Q36" i="39"/>
  <c r="Z36" i="39" s="1"/>
  <c r="Q37" i="39"/>
  <c r="Z37" i="39"/>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c r="Q11" i="39"/>
  <c r="Z11" i="39"/>
  <c r="Q10" i="39"/>
  <c r="Z10" i="39"/>
  <c r="Q9" i="39"/>
  <c r="Z9" i="39"/>
  <c r="J9" i="39"/>
  <c r="AC9" i="39" s="1"/>
  <c r="H9" i="39"/>
  <c r="AB9" i="39" s="1"/>
  <c r="F9" i="39"/>
  <c r="AA9" i="39" s="1"/>
  <c r="J8" i="39"/>
  <c r="AC8" i="39" s="1"/>
  <c r="H8" i="39"/>
  <c r="U8" i="39" s="1"/>
  <c r="F8" i="39"/>
  <c r="AA8" i="39"/>
  <c r="C20" i="36"/>
  <c r="C20" i="35"/>
  <c r="C16" i="36"/>
  <c r="C16" i="35"/>
  <c r="C14" i="36"/>
  <c r="C14" i="35"/>
  <c r="B80" i="37"/>
  <c r="F25" i="37" s="1"/>
  <c r="AA25" i="37" s="1"/>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J36" i="35"/>
  <c r="AC36" i="35" s="1"/>
  <c r="Q35" i="35"/>
  <c r="Z35" i="35"/>
  <c r="Q34" i="35"/>
  <c r="Z34" i="35" s="1"/>
  <c r="Q33" i="35"/>
  <c r="Z33" i="35" s="1"/>
  <c r="Q32" i="35"/>
  <c r="Z32" i="35"/>
  <c r="H32" i="35"/>
  <c r="AB32" i="35" s="1"/>
  <c r="F32" i="35"/>
  <c r="AA32" i="35"/>
  <c r="Q31" i="35"/>
  <c r="Z31" i="35" s="1"/>
  <c r="AC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H12" i="35"/>
  <c r="U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c r="H12" i="34"/>
  <c r="S12" i="34"/>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c r="AC41" i="33"/>
  <c r="W41" i="33"/>
  <c r="Q41" i="33"/>
  <c r="Z41" i="33"/>
  <c r="Q40" i="33"/>
  <c r="Z40" i="33" s="1"/>
  <c r="J40" i="33"/>
  <c r="AC40" i="33"/>
  <c r="H40" i="33"/>
  <c r="AB40" i="33" s="1"/>
  <c r="AA40" i="33"/>
  <c r="Q39" i="33"/>
  <c r="Z39" i="33"/>
  <c r="J39" i="33"/>
  <c r="AC39" i="33"/>
  <c r="Q38" i="33"/>
  <c r="Z38" i="33"/>
  <c r="J38" i="33"/>
  <c r="AC38" i="33"/>
  <c r="H38" i="33"/>
  <c r="AB38" i="33"/>
  <c r="F38" i="33"/>
  <c r="AA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c r="D77" i="21"/>
  <c r="E77" i="21" s="1"/>
  <c r="F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6"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c r="F41" i="39"/>
  <c r="S41" i="39"/>
  <c r="H40" i="39"/>
  <c r="AB40" i="39"/>
  <c r="H39" i="39"/>
  <c r="U39" i="39"/>
  <c r="S34" i="39"/>
  <c r="H34" i="39"/>
  <c r="U34" i="39"/>
  <c r="E109" i="39"/>
  <c r="H31" i="39"/>
  <c r="AB31" i="39" s="1"/>
  <c r="F31" i="39"/>
  <c r="AA31" i="39" s="1"/>
  <c r="E101" i="39"/>
  <c r="H19" i="39"/>
  <c r="AB19" i="39" s="1"/>
  <c r="F19" i="39"/>
  <c r="AA19" i="39" s="1"/>
  <c r="H17" i="39"/>
  <c r="AB17" i="39" s="1"/>
  <c r="F17" i="39"/>
  <c r="AA17" i="39"/>
  <c r="J23" i="40"/>
  <c r="AC23" i="40"/>
  <c r="F21" i="40"/>
  <c r="AA21" i="40"/>
  <c r="J21" i="40"/>
  <c r="W21" i="40"/>
  <c r="H42" i="39"/>
  <c r="AB42" i="39"/>
  <c r="J34" i="39"/>
  <c r="AC34" i="39"/>
  <c r="F109" i="39"/>
  <c r="G109" i="39"/>
  <c r="H109" i="39"/>
  <c r="I109" i="39"/>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S40" i="39"/>
  <c r="C15" i="39"/>
  <c r="H32" i="33"/>
  <c r="AB32" i="33"/>
  <c r="H11" i="21"/>
  <c r="U11" i="21" s="1"/>
  <c r="J11" i="21"/>
  <c r="W11" i="21"/>
  <c r="H37" i="40"/>
  <c r="U37" i="40" s="1"/>
  <c r="H36" i="40"/>
  <c r="AB36" i="40"/>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c r="H85" i="36"/>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c r="J29" i="35"/>
  <c r="H33" i="35"/>
  <c r="AB33" i="35" s="1"/>
  <c r="AC8" i="35"/>
  <c r="J20" i="35"/>
  <c r="W20" i="35" s="1"/>
  <c r="F35" i="37"/>
  <c r="S35" i="37"/>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c r="S35" i="34"/>
  <c r="F28" i="34"/>
  <c r="AA28" i="34" s="1"/>
  <c r="F27" i="34"/>
  <c r="AA27" i="34"/>
  <c r="F25" i="34"/>
  <c r="S25" i="34" s="1"/>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c r="H33" i="37"/>
  <c r="AB33" i="37" s="1"/>
  <c r="F33" i="37"/>
  <c r="AA33" i="37"/>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s="1"/>
  <c r="J25" i="34"/>
  <c r="AC25" i="34"/>
  <c r="AB23" i="34"/>
  <c r="F23" i="34"/>
  <c r="AA23" i="34"/>
  <c r="J19" i="34"/>
  <c r="AC19" i="34" s="1"/>
  <c r="F17" i="34"/>
  <c r="AA17" i="34"/>
  <c r="J17" i="34"/>
  <c r="W17" i="34" s="1"/>
  <c r="AB17" i="34"/>
  <c r="AA15" i="34"/>
  <c r="S15" i="34"/>
  <c r="F113" i="33"/>
  <c r="G113" i="33"/>
  <c r="H113" i="33"/>
  <c r="I113" i="33" s="1"/>
  <c r="J113" i="33" s="1"/>
  <c r="K113" i="33" s="1"/>
  <c r="L113" i="33" s="1"/>
  <c r="M113" i="33" s="1"/>
  <c r="H37" i="33"/>
  <c r="AB37" i="33"/>
  <c r="H15" i="33"/>
  <c r="AB15" i="33" s="1"/>
  <c r="H11" i="33"/>
  <c r="AB11" i="33"/>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AA14" i="33" s="1"/>
  <c r="S14" i="33"/>
  <c r="J14" i="33"/>
  <c r="H30" i="33"/>
  <c r="AB30" i="33"/>
  <c r="F30" i="33"/>
  <c r="J30" i="33"/>
  <c r="H44" i="33"/>
  <c r="J44" i="33"/>
  <c r="AC44" i="33"/>
  <c r="F44" i="33"/>
  <c r="S44" i="33"/>
  <c r="J46" i="33"/>
  <c r="AC46" i="33"/>
  <c r="F46" i="33"/>
  <c r="AA46" i="33"/>
  <c r="H46" i="33"/>
  <c r="U46" i="33" s="1"/>
  <c r="AB46" i="33"/>
  <c r="H13" i="34"/>
  <c r="U13" i="34"/>
  <c r="J13" i="34"/>
  <c r="W13" i="34"/>
  <c r="F13" i="34"/>
  <c r="AA13" i="34"/>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c r="F14" i="40"/>
  <c r="AA14" i="40" s="1"/>
  <c r="J14" i="37"/>
  <c r="AC14" i="37"/>
  <c r="J27" i="37"/>
  <c r="AC27" i="37" s="1"/>
  <c r="AA44" i="33"/>
  <c r="AA13" i="35"/>
  <c r="U31" i="34"/>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AZ570" i="3" s="1"/>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BA568" i="3"/>
  <c r="AZ568" i="3" s="1"/>
  <c r="BA566" i="3"/>
  <c r="AZ566" i="3"/>
  <c r="BA564" i="3"/>
  <c r="AZ564" i="3" s="1"/>
  <c r="BA562" i="3"/>
  <c r="AZ562" i="3"/>
  <c r="BA560" i="3"/>
  <c r="AZ560" i="3" s="1"/>
  <c r="BA558" i="3"/>
  <c r="BA556" i="3"/>
  <c r="AZ556" i="3"/>
  <c r="BA554" i="3"/>
  <c r="BA552" i="3"/>
  <c r="AZ552" i="3"/>
  <c r="BA548" i="3"/>
  <c r="AZ548" i="3" s="1"/>
  <c r="BA546" i="3"/>
  <c r="BA544" i="3"/>
  <c r="AZ544" i="3"/>
  <c r="BA542" i="3"/>
  <c r="AZ542" i="3"/>
  <c r="BA540" i="3"/>
  <c r="AZ540" i="3"/>
  <c r="BA538" i="3"/>
  <c r="AZ538" i="3"/>
  <c r="BA536" i="3"/>
  <c r="AZ536" i="3"/>
  <c r="BA534" i="3"/>
  <c r="BA532" i="3"/>
  <c r="AZ532" i="3"/>
  <c r="BA530" i="3"/>
  <c r="BA528" i="3"/>
  <c r="AZ528" i="3"/>
  <c r="BA526" i="3"/>
  <c r="AZ526" i="3" s="1"/>
  <c r="BA524" i="3"/>
  <c r="AZ524" i="3"/>
  <c r="BA522" i="3"/>
  <c r="BA520" i="3"/>
  <c r="BA518" i="3"/>
  <c r="AZ518" i="3"/>
  <c r="BA516" i="3"/>
  <c r="AZ516" i="3" s="1"/>
  <c r="BA514" i="3"/>
  <c r="BA512" i="3"/>
  <c r="AZ512" i="3"/>
  <c r="BA510" i="3"/>
  <c r="BA508" i="3"/>
  <c r="BA506" i="3"/>
  <c r="BA504" i="3"/>
  <c r="AZ504" i="3"/>
  <c r="BA502" i="3"/>
  <c r="BA500" i="3"/>
  <c r="BA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C557" i="3"/>
  <c r="G557" i="3"/>
  <c r="BQ557" i="3"/>
  <c r="BL557" i="3" s="1"/>
  <c r="BQ583" i="3"/>
  <c r="BL583" i="3"/>
  <c r="AZ583" i="3"/>
  <c r="BQ581" i="3"/>
  <c r="BL581" i="3"/>
  <c r="BQ579" i="3"/>
  <c r="BL579" i="3"/>
  <c r="BQ577" i="3"/>
  <c r="BL577" i="3"/>
  <c r="AZ577" i="3"/>
  <c r="BQ575" i="3"/>
  <c r="BL575" i="3"/>
  <c r="BQ573" i="3"/>
  <c r="BL573" i="3" s="1"/>
  <c r="AZ573" i="3" s="1"/>
  <c r="BQ571" i="3"/>
  <c r="BL571" i="3"/>
  <c r="BQ569" i="3"/>
  <c r="BL569" i="3"/>
  <c r="AZ569" i="3"/>
  <c r="BQ567" i="3"/>
  <c r="BL567" i="3"/>
  <c r="BQ565" i="3"/>
  <c r="BL565" i="3" s="1"/>
  <c r="AZ565" i="3" s="1"/>
  <c r="BQ563" i="3"/>
  <c r="BL563" i="3"/>
  <c r="BQ561" i="3"/>
  <c r="BL561" i="3"/>
  <c r="AZ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AZ547" i="3"/>
  <c r="BQ545" i="3"/>
  <c r="BL545" i="3"/>
  <c r="AZ545" i="3"/>
  <c r="BQ543" i="3"/>
  <c r="BL543" i="3" s="1"/>
  <c r="AZ543" i="3" s="1"/>
  <c r="BQ541" i="3"/>
  <c r="BL541" i="3"/>
  <c r="BQ539" i="3"/>
  <c r="BL539" i="3"/>
  <c r="AZ539" i="3"/>
  <c r="BQ537" i="3"/>
  <c r="BL537" i="3"/>
  <c r="AZ537" i="3"/>
  <c r="BQ535" i="3"/>
  <c r="BL535" i="3" s="1"/>
  <c r="AZ535" i="3" s="1"/>
  <c r="BQ533" i="3"/>
  <c r="BL533" i="3"/>
  <c r="BQ531" i="3"/>
  <c r="BL531" i="3"/>
  <c r="AZ531" i="3"/>
  <c r="BQ529" i="3"/>
  <c r="BL529" i="3"/>
  <c r="AZ529" i="3"/>
  <c r="BQ527" i="3"/>
  <c r="BL527" i="3" s="1"/>
  <c r="AZ527" i="3" s="1"/>
  <c r="BQ525" i="3"/>
  <c r="BL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s="1"/>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F71" i="37"/>
  <c r="G71" i="37" s="1"/>
  <c r="J15" i="37"/>
  <c r="W15" i="37" s="1"/>
  <c r="U12" i="37"/>
  <c r="AT6" i="3"/>
  <c r="H5" i="3"/>
  <c r="C12" i="43"/>
  <c r="H19" i="40"/>
  <c r="U19" i="40"/>
  <c r="F88" i="40"/>
  <c r="G88" i="40"/>
  <c r="F19" i="40"/>
  <c r="S19"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F59" i="43"/>
  <c r="H62" i="43"/>
  <c r="AZ20" i="3"/>
  <c r="AZ28" i="3"/>
  <c r="AZ32"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G326" i="3"/>
  <c r="BA327" i="3"/>
  <c r="AZ327" i="3" s="1"/>
  <c r="G335" i="3"/>
  <c r="BL336" i="3"/>
  <c r="G337" i="3"/>
  <c r="BL338" i="3"/>
  <c r="BA340" i="3"/>
  <c r="AZ340" i="3"/>
  <c r="BA341" i="3"/>
  <c r="BL341" i="3"/>
  <c r="AZ341" i="3" s="1"/>
  <c r="BA343" i="3"/>
  <c r="AZ343" i="3" s="1"/>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AZ136" i="3" s="1"/>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AZ168" i="3" s="1"/>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G197" i="3"/>
  <c r="BA199" i="3"/>
  <c r="AZ199" i="3"/>
  <c r="BL200" i="3"/>
  <c r="AZ200" i="3" s="1"/>
  <c r="G201" i="3"/>
  <c r="BA203" i="3"/>
  <c r="BL204" i="3"/>
  <c r="AZ204" i="3"/>
  <c r="AZ47" i="3"/>
  <c r="AZ55" i="3"/>
  <c r="AZ59" i="3"/>
  <c r="AZ63" i="3"/>
  <c r="AZ67" i="3"/>
  <c r="AZ71" i="3"/>
  <c r="AZ75" i="3"/>
  <c r="AZ83" i="3"/>
  <c r="AZ144" i="3"/>
  <c r="AZ152" i="3"/>
  <c r="AZ176" i="3"/>
  <c r="AZ184" i="3"/>
  <c r="AZ85" i="3"/>
  <c r="AZ89" i="3"/>
  <c r="AZ93"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8"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33" i="3"/>
  <c r="AZ237"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AC5" i="3"/>
  <c r="AZ506" i="3"/>
  <c r="AZ496" i="3"/>
  <c r="G548" i="3"/>
  <c r="G538" i="3"/>
  <c r="G520" i="3"/>
  <c r="G502" i="3"/>
  <c r="BS5" i="3"/>
  <c r="BP5" i="3"/>
  <c r="G29" i="6" s="1"/>
  <c r="BN5" i="3"/>
  <c r="BK5" i="3"/>
  <c r="BI5" i="3"/>
  <c r="BG5" i="3"/>
  <c r="BE5" i="3"/>
  <c r="BC5" i="3"/>
  <c r="G17" i="3"/>
  <c r="BA17" i="3"/>
  <c r="BT5" i="3"/>
  <c r="AZ350" i="3"/>
  <c r="AZ352" i="3"/>
  <c r="AZ356" i="3"/>
  <c r="AZ364" i="3"/>
  <c r="AZ368" i="3"/>
  <c r="BA15" i="3"/>
  <c r="AZ15" i="3" s="1"/>
  <c r="BB5" i="3"/>
  <c r="BR5" i="3"/>
  <c r="G28" i="6" s="1"/>
  <c r="AZ384" i="3"/>
  <c r="AZ388" i="3"/>
  <c r="AZ392" i="3"/>
  <c r="AZ396" i="3"/>
  <c r="AZ394" i="3"/>
  <c r="AZ499" i="3"/>
  <c r="AZ509" i="3"/>
  <c r="E8" i="6"/>
  <c r="F27" i="6" s="1"/>
  <c r="G509" i="3"/>
  <c r="BL493" i="3"/>
  <c r="AZ493" i="3" s="1"/>
  <c r="AZ491" i="3"/>
  <c r="AZ376"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c r="G97" i="39" s="1"/>
  <c r="AZ353" i="3"/>
  <c r="AZ354" i="3"/>
  <c r="AZ386" i="3"/>
  <c r="C40" i="11"/>
  <c r="AZ215" i="3"/>
  <c r="AZ227" i="3"/>
  <c r="AZ235" i="3"/>
  <c r="AZ240" i="3"/>
  <c r="AZ248" i="3"/>
  <c r="AZ251" i="3"/>
  <c r="AZ256" i="3"/>
  <c r="AZ259" i="3"/>
  <c r="AZ268" i="3"/>
  <c r="AZ271" i="3"/>
  <c r="AZ280" i="3"/>
  <c r="AZ288" i="3"/>
  <c r="AZ296" i="3"/>
  <c r="AZ114" i="3"/>
  <c r="AZ117" i="3"/>
  <c r="AZ130" i="3"/>
  <c r="AZ133" i="3"/>
  <c r="AZ21" i="3"/>
  <c r="AZ31" i="3"/>
  <c r="AZ33" i="3"/>
  <c r="AZ50" i="3"/>
  <c r="AZ53" i="3"/>
  <c r="AZ58" i="3"/>
  <c r="AZ61" i="3"/>
  <c r="AZ66" i="3"/>
  <c r="AZ72" i="3"/>
  <c r="AZ77" i="3"/>
  <c r="AZ94" i="3"/>
  <c r="H75" i="43"/>
  <c r="H50" i="43"/>
  <c r="I20" i="43"/>
  <c r="F23" i="39"/>
  <c r="AA23" i="39" s="1"/>
  <c r="H27" i="36"/>
  <c r="AB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K9" i="1"/>
  <c r="M9" i="1" s="1"/>
  <c r="AE9" i="1"/>
  <c r="K6" i="1"/>
  <c r="AC26" i="33"/>
  <c r="W26" i="33"/>
  <c r="W27" i="34"/>
  <c r="AC27" i="34"/>
  <c r="AB34" i="36"/>
  <c r="U34" i="36"/>
  <c r="AB33" i="36"/>
  <c r="U33" i="36"/>
  <c r="AC12" i="39"/>
  <c r="W12" i="39"/>
  <c r="AZ401" i="3"/>
  <c r="AZ412" i="3"/>
  <c r="AZ417" i="3"/>
  <c r="AZ428" i="3"/>
  <c r="AZ433" i="3"/>
  <c r="AZ465" i="3"/>
  <c r="W12" i="33"/>
  <c r="AC12" i="33"/>
  <c r="AA32" i="36"/>
  <c r="S32" i="36"/>
  <c r="AZ551" i="3"/>
  <c r="AZ550" i="3"/>
  <c r="AZ437" i="3"/>
  <c r="AZ441" i="3"/>
  <c r="AZ457" i="3"/>
  <c r="AZ473" i="3"/>
  <c r="AZ490" i="3"/>
  <c r="BL14" i="3"/>
  <c r="AZ266" i="3"/>
  <c r="U30" i="33"/>
  <c r="AC13" i="34"/>
  <c r="AA47" i="34"/>
  <c r="W28" i="37"/>
  <c r="F12" i="33"/>
  <c r="H12" i="39"/>
  <c r="AB12" i="39"/>
  <c r="F39" i="40"/>
  <c r="BA14" i="3"/>
  <c r="AZ14" i="3" s="1"/>
  <c r="AZ367" i="3"/>
  <c r="AZ213" i="3"/>
  <c r="AZ224" i="3"/>
  <c r="AZ250" i="3"/>
  <c r="AZ254" i="3"/>
  <c r="AZ281" i="3"/>
  <c r="AZ286" i="3"/>
  <c r="AZ297" i="3"/>
  <c r="AZ149" i="3"/>
  <c r="AZ157" i="3"/>
  <c r="AZ165" i="3"/>
  <c r="AZ173" i="3"/>
  <c r="AZ181" i="3"/>
  <c r="AZ189" i="3"/>
  <c r="AZ19" i="3"/>
  <c r="AZ26" i="3"/>
  <c r="AZ35" i="3"/>
  <c r="S12" i="1"/>
  <c r="T12" i="1" s="1"/>
  <c r="R12" i="1"/>
  <c r="B12" i="1"/>
  <c r="E12" i="1"/>
  <c r="S10" i="1"/>
  <c r="AQ10" i="1" s="1"/>
  <c r="R10" i="1"/>
  <c r="B10" i="1"/>
  <c r="E10" i="1" s="1"/>
  <c r="AZ80" i="3"/>
  <c r="AZ88" i="3"/>
  <c r="AZ107" i="3"/>
  <c r="AZ111" i="3"/>
  <c r="K12" i="1"/>
  <c r="M12" i="1" s="1"/>
  <c r="O12" i="1" s="1"/>
  <c r="S13" i="1"/>
  <c r="AR13" i="1" s="1"/>
  <c r="R13" i="1"/>
  <c r="S11" i="1"/>
  <c r="AQ11" i="1" s="1"/>
  <c r="R11" i="1"/>
  <c r="S9" i="1"/>
  <c r="AR9" i="1" s="1"/>
  <c r="R9" i="1"/>
  <c r="J51" i="67"/>
  <c r="C42" i="1"/>
  <c r="C77" i="9" s="1"/>
  <c r="C74" i="9" s="1"/>
  <c r="H100" i="43"/>
  <c r="C30" i="66"/>
  <c r="E26" i="66" s="1"/>
  <c r="L26" i="66" s="1"/>
  <c r="AC34" i="33"/>
  <c r="B41" i="1"/>
  <c r="F28" i="67" s="1"/>
  <c r="C28" i="67" s="1"/>
  <c r="F53" i="9"/>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D6" i="52" s="1"/>
  <c r="C18" i="9"/>
  <c r="D18" i="9" s="1"/>
  <c r="F34" i="67"/>
  <c r="F62" i="67" s="1"/>
  <c r="M20" i="67"/>
  <c r="F34" i="15"/>
  <c r="F62" i="15" s="1"/>
  <c r="G13" i="3"/>
  <c r="BA13" i="3"/>
  <c r="E10" i="6"/>
  <c r="BL17" i="3"/>
  <c r="AZ17" i="3" s="1"/>
  <c r="BL13" i="3"/>
  <c r="J56" i="9"/>
  <c r="A24" i="51"/>
  <c r="B18" i="72" s="1"/>
  <c r="U29" i="34"/>
  <c r="E14" i="6"/>
  <c r="E64" i="39" s="1"/>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7" i="35"/>
  <c r="C48" i="35" s="1"/>
  <c r="C7" i="33"/>
  <c r="C58" i="33" s="1"/>
  <c r="C7" i="21"/>
  <c r="C58" i="21"/>
  <c r="D58" i="21" s="1"/>
  <c r="E58" i="21" s="1"/>
  <c r="C7" i="40"/>
  <c r="C63" i="40" s="1"/>
  <c r="M47" i="9"/>
  <c r="G19" i="43"/>
  <c r="O19" i="43" s="1"/>
  <c r="C19" i="43" s="1"/>
  <c r="T35" i="4"/>
  <c r="A19" i="51" s="1"/>
  <c r="B14" i="72" s="1"/>
  <c r="C46" i="36"/>
  <c r="D46" i="36"/>
  <c r="E46" i="36" s="1"/>
  <c r="F46" i="36" s="1"/>
  <c r="G46" i="36" s="1"/>
  <c r="H46" i="36" s="1"/>
  <c r="I46" i="36" s="1"/>
  <c r="J46" i="36" s="1"/>
  <c r="K46" i="36" s="1"/>
  <c r="L46" i="36" s="1"/>
  <c r="M46" i="36" s="1"/>
  <c r="N46" i="36" s="1"/>
  <c r="O46" i="36" s="1"/>
  <c r="C59" i="34"/>
  <c r="D59" i="34"/>
  <c r="E59" i="34" s="1"/>
  <c r="F59" i="34" s="1"/>
  <c r="G59" i="34" s="1"/>
  <c r="H59" i="34" s="1"/>
  <c r="I59" i="34" s="1"/>
  <c r="J59" i="34" s="1"/>
  <c r="C52" i="37"/>
  <c r="D52" i="37"/>
  <c r="E52" i="37" s="1"/>
  <c r="F52" i="37" s="1"/>
  <c r="G52" i="37" s="1"/>
  <c r="H52" i="37" s="1"/>
  <c r="I52" i="37" s="1"/>
  <c r="J52" i="37" s="1"/>
  <c r="A4" i="51"/>
  <c r="B6" i="72" s="1"/>
  <c r="D48" i="35"/>
  <c r="E48" i="35" s="1"/>
  <c r="H66" i="43"/>
  <c r="H65" i="43"/>
  <c r="H64" i="43"/>
  <c r="H63" i="43"/>
  <c r="H55" i="43"/>
  <c r="H56" i="43"/>
  <c r="H72" i="43"/>
  <c r="L20" i="6"/>
  <c r="B6" i="1"/>
  <c r="E6" i="1" s="1"/>
  <c r="S8" i="1"/>
  <c r="AR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B4" i="62" s="1"/>
  <c r="B71" i="72" s="1"/>
  <c r="F30" i="68"/>
  <c r="C30" i="68" s="1"/>
  <c r="F30" i="11"/>
  <c r="C30" i="11" s="1"/>
  <c r="F30" i="69"/>
  <c r="C48" i="69" s="1"/>
  <c r="AA39" i="40"/>
  <c r="S39" i="40"/>
  <c r="S12" i="33"/>
  <c r="AA12" i="33"/>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AC23" i="21" s="1"/>
  <c r="F85" i="21"/>
  <c r="G85" i="21" s="1"/>
  <c r="H23" i="21"/>
  <c r="S13" i="21"/>
  <c r="K120" i="9"/>
  <c r="R22" i="31"/>
  <c r="B21" i="31"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11" i="37"/>
  <c r="W11" i="37"/>
  <c r="W11" i="34"/>
  <c r="AC11" i="34"/>
  <c r="R8" i="1"/>
  <c r="AE8" i="1"/>
  <c r="AG6" i="1"/>
  <c r="H109" i="9"/>
  <c r="M49" i="9" s="1"/>
  <c r="H112" i="9"/>
  <c r="D21" i="53"/>
  <c r="B39" i="72" s="1"/>
  <c r="H111" i="9"/>
  <c r="D126" i="9" s="1"/>
  <c r="D59" i="9"/>
  <c r="M55" i="9"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s="1"/>
  <c r="H48" i="35" s="1"/>
  <c r="C48" i="68"/>
  <c r="S13" i="71"/>
  <c r="AB11" i="71"/>
  <c r="X9" i="71"/>
  <c r="X8" i="71"/>
  <c r="AA9" i="71"/>
  <c r="AA8" i="71"/>
  <c r="X12" i="71"/>
  <c r="Y8" i="71"/>
  <c r="Z8" i="71" s="1"/>
  <c r="AB9" i="71"/>
  <c r="AB8" i="71"/>
  <c r="S9" i="71"/>
  <c r="F10" i="71"/>
  <c r="F9" i="71"/>
  <c r="F8" i="71" s="1"/>
  <c r="F7" i="71" s="1"/>
  <c r="F6" i="71" s="1"/>
  <c r="F5" i="71" s="1"/>
  <c r="Y9" i="71"/>
  <c r="Z9" i="71" s="1"/>
  <c r="AB3" i="71"/>
  <c r="X3" i="71"/>
  <c r="AF3" i="71"/>
  <c r="G20" i="43"/>
  <c r="E41" i="43"/>
  <c r="C41" i="43" s="1"/>
  <c r="F4" i="73"/>
  <c r="E8" i="76"/>
  <c r="E12" i="76"/>
  <c r="F41" i="67"/>
  <c r="F6" i="15"/>
  <c r="C76" i="67"/>
  <c r="F37" i="15"/>
  <c r="F42" i="15"/>
  <c r="F36" i="15"/>
  <c r="M22" i="15"/>
  <c r="F7" i="15"/>
  <c r="M6" i="67"/>
  <c r="AO8" i="1"/>
  <c r="D6" i="73"/>
  <c r="D2" i="21"/>
  <c r="F9" i="67"/>
  <c r="M21" i="67"/>
  <c r="M8" i="15"/>
  <c r="F35" i="67"/>
  <c r="B8" i="76"/>
  <c r="E10" i="76"/>
  <c r="AO10" i="1"/>
  <c r="F13" i="15"/>
  <c r="M8" i="67"/>
  <c r="AO9" i="1"/>
  <c r="E2" i="68"/>
  <c r="M28" i="15"/>
  <c r="F26" i="67"/>
  <c r="F8" i="67"/>
  <c r="F40" i="67"/>
  <c r="D5" i="73"/>
  <c r="D7" i="73"/>
  <c r="B9" i="76"/>
  <c r="F38" i="15"/>
  <c r="B13" i="76"/>
  <c r="F5" i="73"/>
  <c r="F13" i="67"/>
  <c r="AO12" i="1"/>
  <c r="L48" i="15"/>
  <c r="D4" i="73"/>
  <c r="M26" i="15"/>
  <c r="E9" i="76"/>
  <c r="M29" i="67"/>
  <c r="B7" i="76"/>
  <c r="M27" i="67"/>
  <c r="F20" i="31"/>
  <c r="L48" i="67"/>
  <c r="AO13" i="1"/>
  <c r="D2" i="33"/>
  <c r="B10" i="76"/>
  <c r="F7" i="67"/>
  <c r="C76" i="15"/>
  <c r="M29" i="15"/>
  <c r="F26" i="15"/>
  <c r="F43" i="15"/>
  <c r="B11" i="76"/>
  <c r="AO11" i="1"/>
  <c r="M28" i="67"/>
  <c r="F3" i="73"/>
  <c r="E7" i="76"/>
  <c r="F6" i="73"/>
  <c r="F36" i="67"/>
  <c r="B12" i="76"/>
  <c r="D2" i="34"/>
  <c r="D3" i="73"/>
  <c r="M23" i="67"/>
  <c r="M22" i="67"/>
  <c r="F37" i="67"/>
  <c r="M9" i="67"/>
  <c r="F43" i="67"/>
  <c r="F16" i="67"/>
  <c r="F40" i="15"/>
  <c r="F6" i="67"/>
  <c r="J15" i="15"/>
  <c r="E2" i="69"/>
  <c r="M27" i="15"/>
  <c r="D2" i="35"/>
  <c r="M26" i="67"/>
  <c r="F16" i="15"/>
  <c r="M6" i="15"/>
  <c r="L47" i="67"/>
  <c r="F9" i="15"/>
  <c r="J15" i="67"/>
  <c r="F42" i="67"/>
  <c r="F8" i="15"/>
  <c r="M24" i="67"/>
  <c r="D2" i="36"/>
  <c r="M24" i="15"/>
  <c r="E11" i="76"/>
  <c r="F38" i="67"/>
  <c r="M23" i="15"/>
  <c r="E13" i="76"/>
  <c r="L47" i="15"/>
  <c r="M9" i="15"/>
  <c r="D2" i="37"/>
  <c r="F7" i="73"/>
  <c r="W27" i="39" l="1"/>
  <c r="W19" i="39"/>
  <c r="S19" i="39"/>
  <c r="E6" i="49"/>
  <c r="E7" i="49"/>
  <c r="B11" i="49"/>
  <c r="G1" i="81"/>
  <c r="M7" i="1"/>
  <c r="D121" i="9"/>
  <c r="D7" i="52" s="1"/>
  <c r="I10" i="66"/>
  <c r="AR12" i="1"/>
  <c r="M6" i="1"/>
  <c r="O6" i="1" s="1"/>
  <c r="P6" i="1" s="1"/>
  <c r="F81" i="39"/>
  <c r="G81" i="39" s="1"/>
  <c r="H81" i="39" s="1"/>
  <c r="I81" i="39" s="1"/>
  <c r="J81" i="39" s="1"/>
  <c r="K81" i="39" s="1"/>
  <c r="L81" i="39" s="1"/>
  <c r="M81" i="39" s="1"/>
  <c r="J11" i="39"/>
  <c r="AC11" i="39" s="1"/>
  <c r="F11" i="39"/>
  <c r="S11" i="39" s="1"/>
  <c r="H11" i="39"/>
  <c r="AB11" i="39" s="1"/>
  <c r="U9" i="39"/>
  <c r="G17" i="43"/>
  <c r="C16" i="43" s="1"/>
  <c r="K4" i="4"/>
  <c r="B46" i="48" s="1"/>
  <c r="B4" i="72" s="1"/>
  <c r="D23" i="67"/>
  <c r="D22" i="67"/>
  <c r="D58" i="33"/>
  <c r="E58" i="33" s="1"/>
  <c r="F58" i="33" s="1"/>
  <c r="G58" i="33" s="1"/>
  <c r="H58" i="33" s="1"/>
  <c r="I58" i="33" s="1"/>
  <c r="J58" i="33" s="1"/>
  <c r="K58" i="33" s="1"/>
  <c r="L58" i="33" s="1"/>
  <c r="M58" i="33" s="1"/>
  <c r="N58" i="33" s="1"/>
  <c r="O58" i="33" s="1"/>
  <c r="J7" i="33"/>
  <c r="H7" i="33"/>
  <c r="C65" i="40"/>
  <c r="D63" i="40"/>
  <c r="P23" i="43"/>
  <c r="B71" i="39" s="1"/>
  <c r="P21" i="43"/>
  <c r="C68" i="39"/>
  <c r="P25" i="43"/>
  <c r="P24" i="43"/>
  <c r="B66" i="40" s="1"/>
  <c r="B13" i="49"/>
  <c r="E14" i="49"/>
  <c r="B6" i="49"/>
  <c r="E21" i="49"/>
  <c r="B22" i="49"/>
  <c r="W11" i="39"/>
  <c r="S38" i="39"/>
  <c r="U38" i="39"/>
  <c r="AC38" i="39"/>
  <c r="J57" i="9"/>
  <c r="J59" i="9" s="1"/>
  <c r="J61" i="9" s="1"/>
  <c r="P61" i="15"/>
  <c r="E22" i="49"/>
  <c r="C94" i="9"/>
  <c r="C92" i="9"/>
  <c r="F32" i="15"/>
  <c r="F60" i="15" s="1"/>
  <c r="C48" i="11"/>
  <c r="D93" i="9"/>
  <c r="M18" i="67"/>
  <c r="C30" i="69"/>
  <c r="F28" i="15"/>
  <c r="C28" i="15" s="1"/>
  <c r="F52" i="9"/>
  <c r="F31" i="12"/>
  <c r="C24" i="12"/>
  <c r="D68" i="9"/>
  <c r="M18" i="15"/>
  <c r="F32" i="67"/>
  <c r="F60" i="67" s="1"/>
  <c r="E11" i="49"/>
  <c r="E13" i="49"/>
  <c r="E4" i="49"/>
  <c r="E10" i="49"/>
  <c r="B10" i="49"/>
  <c r="B8" i="49"/>
  <c r="C36" i="69"/>
  <c r="AQ12" i="1"/>
  <c r="E12" i="6"/>
  <c r="E62" i="39" s="1"/>
  <c r="E56" i="39"/>
  <c r="AQ9" i="1"/>
  <c r="AQ13" i="1"/>
  <c r="E51" i="40"/>
  <c r="T13" i="1"/>
  <c r="T10" i="1"/>
  <c r="AZ13" i="3"/>
  <c r="T9" i="1"/>
  <c r="AR10" i="1"/>
  <c r="E11" i="6"/>
  <c r="AR11" i="1"/>
  <c r="G30" i="6"/>
  <c r="G31" i="6" s="1"/>
  <c r="E13" i="6"/>
  <c r="E58" i="40" s="1"/>
  <c r="T8" i="1"/>
  <c r="L27" i="6"/>
  <c r="AQ8" i="1"/>
  <c r="T11" i="1"/>
  <c r="E59" i="40"/>
  <c r="O10" i="1"/>
  <c r="P10" i="1" s="1"/>
  <c r="D9" i="68"/>
  <c r="C9" i="68" s="1"/>
  <c r="H16" i="1"/>
  <c r="Q16" i="1"/>
  <c r="D19" i="12"/>
  <c r="C19" i="12" s="1"/>
  <c r="F28" i="6"/>
  <c r="E28" i="6" s="1"/>
  <c r="D9" i="69"/>
  <c r="C9" i="69" s="1"/>
  <c r="P11" i="1"/>
  <c r="E15" i="6"/>
  <c r="F29" i="6"/>
  <c r="E29" i="6" s="1"/>
  <c r="K15" i="1" s="1"/>
  <c r="O13" i="1"/>
  <c r="P13" i="1" s="1"/>
  <c r="B4" i="49"/>
  <c r="E8" i="49"/>
  <c r="E9" i="49"/>
  <c r="B14" i="49"/>
  <c r="B9" i="49"/>
  <c r="B113" i="43"/>
  <c r="G101" i="43"/>
  <c r="G102" i="43" s="1"/>
  <c r="L101" i="43"/>
  <c r="M101" i="43"/>
  <c r="E101" i="43"/>
  <c r="AB11" i="43"/>
  <c r="AI11" i="43"/>
  <c r="AI13" i="43" s="1"/>
  <c r="Y11" i="43"/>
  <c r="Y13" i="43" s="1"/>
  <c r="H101" i="43"/>
  <c r="G22" i="43"/>
  <c r="AH11" i="43"/>
  <c r="Z11" i="43"/>
  <c r="AC11" i="43"/>
  <c r="K101" i="43"/>
  <c r="N101" i="43"/>
  <c r="C101" i="43"/>
  <c r="J101" i="43"/>
  <c r="D101" i="43"/>
  <c r="I101" i="43"/>
  <c r="AF11" i="43"/>
  <c r="Z7" i="43"/>
  <c r="AG11" i="43"/>
  <c r="AA11" i="43"/>
  <c r="AA13" i="43" s="1"/>
  <c r="J22" i="43"/>
  <c r="F22" i="43"/>
  <c r="F101" i="43"/>
  <c r="E22" i="43"/>
  <c r="N104" i="46"/>
  <c r="H22" i="43"/>
  <c r="AJ11" i="43"/>
  <c r="AJ13" i="43" s="1"/>
  <c r="AD11" i="43"/>
  <c r="AE11" i="43"/>
  <c r="AE13" i="43" s="1"/>
  <c r="G13" i="1"/>
  <c r="G16" i="1" s="1"/>
  <c r="J10" i="39" s="1"/>
  <c r="C20" i="43"/>
  <c r="I14" i="74"/>
  <c r="B8" i="74" s="1"/>
  <c r="D127" i="9"/>
  <c r="D13" i="52" s="1"/>
  <c r="D19" i="53"/>
  <c r="P22" i="43"/>
  <c r="F7" i="33"/>
  <c r="B9" i="70"/>
  <c r="N59" i="67"/>
  <c r="L58" i="67"/>
  <c r="L59" i="67"/>
  <c r="M59" i="67"/>
  <c r="F63" i="67"/>
  <c r="C62" i="67" s="1"/>
  <c r="C34" i="67"/>
  <c r="F68" i="15"/>
  <c r="K1" i="73"/>
  <c r="B10" i="70"/>
  <c r="Q71" i="15"/>
  <c r="C6" i="67"/>
  <c r="B20" i="31"/>
  <c r="I54" i="15"/>
  <c r="J53" i="15"/>
  <c r="L56" i="15" s="1"/>
  <c r="J57" i="15"/>
  <c r="J55" i="15" s="1"/>
  <c r="J58" i="15" s="1"/>
  <c r="Q50" i="15" s="1"/>
  <c r="F71" i="67"/>
  <c r="B13" i="70"/>
  <c r="I1" i="73"/>
  <c r="B39" i="1" s="1"/>
  <c r="F51" i="67"/>
  <c r="F65" i="67"/>
  <c r="F50" i="15"/>
  <c r="M7" i="15"/>
  <c r="J20" i="67"/>
  <c r="F51" i="15"/>
  <c r="B12" i="70"/>
  <c r="F71" i="15"/>
  <c r="J53" i="67"/>
  <c r="I54" i="67"/>
  <c r="J57" i="67"/>
  <c r="J55" i="67" s="1"/>
  <c r="J58" i="67" s="1"/>
  <c r="Q50" i="67" s="1"/>
  <c r="L56" i="67"/>
  <c r="C27" i="15"/>
  <c r="F65" i="15"/>
  <c r="M7" i="67"/>
  <c r="F50" i="67"/>
  <c r="F68" i="67"/>
  <c r="F64" i="67"/>
  <c r="C6" i="15"/>
  <c r="F69" i="67"/>
  <c r="E20" i="43"/>
  <c r="F66" i="67"/>
  <c r="B11" i="70"/>
  <c r="M59" i="15"/>
  <c r="L59" i="15" s="1"/>
  <c r="L58" i="15"/>
  <c r="N59" i="15"/>
  <c r="B8" i="70"/>
  <c r="F66" i="15"/>
  <c r="Q71" i="67"/>
  <c r="F64" i="15"/>
  <c r="F70" i="67"/>
  <c r="C27" i="67"/>
  <c r="D5" i="43"/>
  <c r="C5" i="43"/>
  <c r="F7" i="21"/>
  <c r="F58" i="21"/>
  <c r="G58" i="21" s="1"/>
  <c r="H58" i="21" s="1"/>
  <c r="I58" i="21" s="1"/>
  <c r="J58" i="21" s="1"/>
  <c r="K58" i="21" s="1"/>
  <c r="L58" i="21" s="1"/>
  <c r="M58" i="21" s="1"/>
  <c r="N58" i="21" s="1"/>
  <c r="O58" i="21" s="1"/>
  <c r="J7" i="21"/>
  <c r="K59" i="34"/>
  <c r="L59" i="34" s="1"/>
  <c r="M59" i="34" s="1"/>
  <c r="N59" i="34" s="1"/>
  <c r="O59" i="34" s="1"/>
  <c r="I48" i="35"/>
  <c r="L65" i="9"/>
  <c r="M65" i="9" s="1"/>
  <c r="L64" i="9"/>
  <c r="M64" i="9" s="1"/>
  <c r="L67" i="9"/>
  <c r="M67" i="9" s="1"/>
  <c r="L68" i="9"/>
  <c r="M68" i="9" s="1"/>
  <c r="L66" i="9"/>
  <c r="M66" i="9" s="1"/>
  <c r="L63" i="9"/>
  <c r="M63" i="9" s="1"/>
  <c r="M69" i="9" s="1"/>
  <c r="N69" i="9" s="1"/>
  <c r="H7" i="21"/>
  <c r="F7" i="36"/>
  <c r="H7" i="36"/>
  <c r="J7" i="37"/>
  <c r="K52" i="37"/>
  <c r="L52" i="37" s="1"/>
  <c r="M52" i="37" s="1"/>
  <c r="N52" i="37" s="1"/>
  <c r="O52" i="37" s="1"/>
  <c r="F7" i="37"/>
  <c r="J7" i="36"/>
  <c r="H7" i="37"/>
  <c r="D12" i="52"/>
  <c r="D16" i="53"/>
  <c r="H110" i="9"/>
  <c r="D18" i="53" s="1"/>
  <c r="B35" i="72" s="1"/>
  <c r="W23" i="21"/>
  <c r="D124" i="9"/>
  <c r="O7" i="1"/>
  <c r="B24" i="72"/>
  <c r="D9" i="53"/>
  <c r="B25" i="72" s="1"/>
  <c r="E60" i="40"/>
  <c r="E65" i="39"/>
  <c r="F30" i="6"/>
  <c r="F31" i="6" s="1"/>
  <c r="AA12" i="21"/>
  <c r="S12" i="21"/>
  <c r="O9" i="1"/>
  <c r="P9" i="1" s="1"/>
  <c r="AZ503" i="3"/>
  <c r="AZ559" i="3"/>
  <c r="AZ557" i="3"/>
  <c r="AZ515" i="3"/>
  <c r="J106" i="43"/>
  <c r="C102" i="43"/>
  <c r="D115" i="43"/>
  <c r="E115" i="43" s="1"/>
  <c r="F115" i="43" s="1"/>
  <c r="G115" i="43" s="1"/>
  <c r="H115" i="43" s="1"/>
  <c r="I118" i="43"/>
  <c r="J118" i="43" s="1"/>
  <c r="K118" i="43" s="1"/>
  <c r="L118" i="43" s="1"/>
  <c r="M118" i="43" s="1"/>
  <c r="C105" i="43"/>
  <c r="C106" i="43"/>
  <c r="AA35" i="33"/>
  <c r="AC39" i="34"/>
  <c r="AA27" i="40"/>
  <c r="AB27" i="40"/>
  <c r="AA34" i="33"/>
  <c r="AA39" i="34"/>
  <c r="H87" i="43"/>
  <c r="U27" i="36"/>
  <c r="S14" i="40"/>
  <c r="AA25" i="21"/>
  <c r="AB28" i="37"/>
  <c r="H12" i="21"/>
  <c r="S32" i="37"/>
  <c r="P12" i="1"/>
  <c r="AZ399" i="3"/>
  <c r="W47" i="34"/>
  <c r="W31" i="34"/>
  <c r="S41" i="33"/>
  <c r="J12" i="21"/>
  <c r="J34" i="35"/>
  <c r="F34" i="35"/>
  <c r="AZ398" i="3"/>
  <c r="AZ400" i="3"/>
  <c r="H34" i="35"/>
  <c r="J24" i="36"/>
  <c r="H38" i="40"/>
  <c r="J39" i="40"/>
  <c r="G402" i="3"/>
  <c r="BA405" i="3"/>
  <c r="AZ405" i="3" s="1"/>
  <c r="G409" i="3"/>
  <c r="AZ420" i="3"/>
  <c r="AZ425" i="3"/>
  <c r="AZ430" i="3"/>
  <c r="AZ432" i="3"/>
  <c r="AZ436" i="3"/>
  <c r="AZ444" i="3"/>
  <c r="AZ447" i="3"/>
  <c r="AZ452" i="3"/>
  <c r="AZ455" i="3"/>
  <c r="AZ458" i="3"/>
  <c r="AZ459" i="3"/>
  <c r="AZ464" i="3"/>
  <c r="AZ470" i="3"/>
  <c r="AZ472" i="3"/>
  <c r="AZ474" i="3"/>
  <c r="AZ487" i="3"/>
  <c r="AZ210" i="3"/>
  <c r="AZ211" i="3"/>
  <c r="H12" i="36"/>
  <c r="J38" i="40"/>
  <c r="BL404" i="3"/>
  <c r="AZ404" i="3" s="1"/>
  <c r="AZ418" i="3"/>
  <c r="AZ421" i="3"/>
  <c r="AZ422" i="3"/>
  <c r="AZ431" i="3"/>
  <c r="AZ435" i="3"/>
  <c r="AZ443" i="3"/>
  <c r="AZ446" i="3"/>
  <c r="AZ451" i="3"/>
  <c r="AZ454" i="3"/>
  <c r="AZ462" i="3"/>
  <c r="AZ463" i="3"/>
  <c r="AZ471" i="3"/>
  <c r="AZ208" i="3"/>
  <c r="AZ216" i="3"/>
  <c r="G399" i="3"/>
  <c r="BA408" i="3"/>
  <c r="AZ408" i="3" s="1"/>
  <c r="AZ410" i="3"/>
  <c r="AZ413" i="3"/>
  <c r="AZ415" i="3"/>
  <c r="AZ448" i="3"/>
  <c r="AZ456" i="3"/>
  <c r="AZ461" i="3"/>
  <c r="AZ466" i="3"/>
  <c r="AZ468" i="3"/>
  <c r="AZ479" i="3"/>
  <c r="AZ480" i="3"/>
  <c r="AZ482" i="3"/>
  <c r="AZ486" i="3"/>
  <c r="AZ492" i="3"/>
  <c r="AZ332" i="3"/>
  <c r="BL221" i="3"/>
  <c r="AZ221" i="3" s="1"/>
  <c r="BA229" i="3"/>
  <c r="AZ229" i="3" s="1"/>
  <c r="BA234" i="3"/>
  <c r="AZ234" i="3" s="1"/>
  <c r="BL238" i="3"/>
  <c r="AZ238" i="3" s="1"/>
  <c r="BL241" i="3"/>
  <c r="AZ241" i="3" s="1"/>
  <c r="BL243" i="3"/>
  <c r="AZ243" i="3" s="1"/>
  <c r="AZ134" i="3"/>
  <c r="AZ18" i="3"/>
  <c r="BA232" i="3"/>
  <c r="AZ232" i="3" s="1"/>
  <c r="AZ236" i="3"/>
  <c r="G240" i="3"/>
  <c r="AZ244" i="3"/>
  <c r="AZ246" i="3"/>
  <c r="AZ258" i="3"/>
  <c r="AZ264" i="3"/>
  <c r="AZ267" i="3"/>
  <c r="AZ290" i="3"/>
  <c r="AZ292" i="3"/>
  <c r="AZ298" i="3"/>
  <c r="AZ301" i="3"/>
  <c r="AZ118" i="3"/>
  <c r="AZ121" i="3"/>
  <c r="AZ207" i="3"/>
  <c r="BL223" i="3"/>
  <c r="AZ223" i="3" s="1"/>
  <c r="BA239" i="3"/>
  <c r="AZ239" i="3" s="1"/>
  <c r="G242" i="3"/>
  <c r="AZ247" i="3"/>
  <c r="AZ252" i="3"/>
  <c r="AZ262" i="3"/>
  <c r="AZ293" i="3"/>
  <c r="AZ294" i="3"/>
  <c r="AZ122" i="3"/>
  <c r="AZ141" i="3"/>
  <c r="AZ161" i="3"/>
  <c r="AZ38" i="3"/>
  <c r="BL34" i="3"/>
  <c r="AZ34" i="3" s="1"/>
  <c r="BA36" i="3"/>
  <c r="BA37" i="3"/>
  <c r="AZ37" i="3" s="1"/>
  <c r="BL39" i="3"/>
  <c r="AZ39" i="3" s="1"/>
  <c r="AZ48" i="3"/>
  <c r="BA82" i="3"/>
  <c r="AZ82" i="3" s="1"/>
  <c r="BA197" i="3"/>
  <c r="AZ197" i="3" s="1"/>
  <c r="BL203" i="3"/>
  <c r="AZ203" i="3" s="1"/>
  <c r="BL18" i="3"/>
  <c r="BL23" i="3"/>
  <c r="AZ23" i="3" s="1"/>
  <c r="AZ27" i="3"/>
  <c r="AZ60" i="3"/>
  <c r="AZ99" i="3"/>
  <c r="AZ112" i="3"/>
  <c r="BA196" i="3"/>
  <c r="AZ196" i="3" s="1"/>
  <c r="BL24" i="3"/>
  <c r="AZ24" i="3" s="1"/>
  <c r="BL29" i="3"/>
  <c r="AZ29" i="3" s="1"/>
  <c r="BL44" i="3"/>
  <c r="AZ44" i="3" s="1"/>
  <c r="BL45" i="3"/>
  <c r="AZ45" i="3" s="1"/>
  <c r="BA51" i="3"/>
  <c r="AZ51" i="3" s="1"/>
  <c r="AZ52" i="3"/>
  <c r="BA57" i="3"/>
  <c r="AZ57" i="3" s="1"/>
  <c r="BA62" i="3"/>
  <c r="AZ62" i="3" s="1"/>
  <c r="BA86" i="3"/>
  <c r="AZ86" i="3" s="1"/>
  <c r="AZ87" i="3"/>
  <c r="BA92" i="3"/>
  <c r="AZ92" i="3" s="1"/>
  <c r="BL194" i="3"/>
  <c r="AZ194" i="3" s="1"/>
  <c r="BA202" i="3"/>
  <c r="AZ202" i="3" s="1"/>
  <c r="BL205" i="3"/>
  <c r="AZ205" i="3" s="1"/>
  <c r="BL38" i="3"/>
  <c r="BA40" i="3"/>
  <c r="AZ40" i="3" s="1"/>
  <c r="BA41" i="3"/>
  <c r="AZ41" i="3" s="1"/>
  <c r="BA42" i="3"/>
  <c r="AZ42" i="3" s="1"/>
  <c r="BA43" i="3"/>
  <c r="AZ43" i="3" s="1"/>
  <c r="BA49" i="3"/>
  <c r="AZ49" i="3" s="1"/>
  <c r="BA54" i="3"/>
  <c r="AZ54" i="3" s="1"/>
  <c r="AZ56" i="3"/>
  <c r="BL64" i="3"/>
  <c r="AZ64" i="3" s="1"/>
  <c r="BL69" i="3"/>
  <c r="AZ69" i="3" s="1"/>
  <c r="BL74" i="3"/>
  <c r="AZ74" i="3" s="1"/>
  <c r="BL79" i="3"/>
  <c r="AZ79" i="3" s="1"/>
  <c r="BA84" i="3"/>
  <c r="AZ84" i="3" s="1"/>
  <c r="AZ90" i="3"/>
  <c r="AZ91" i="3"/>
  <c r="AZ96" i="3"/>
  <c r="BA101" i="3"/>
  <c r="AZ101" i="3" s="1"/>
  <c r="AZ108" i="3"/>
  <c r="G93" i="3"/>
  <c r="G98" i="3"/>
  <c r="BA103" i="3"/>
  <c r="AZ103" i="3" s="1"/>
  <c r="G107" i="3"/>
  <c r="BA97" i="3"/>
  <c r="AZ97" i="3" s="1"/>
  <c r="BL102" i="3"/>
  <c r="AZ102" i="3" s="1"/>
  <c r="BA106" i="3"/>
  <c r="AZ106" i="3" s="1"/>
  <c r="BL110" i="3"/>
  <c r="AZ110" i="3" s="1"/>
  <c r="B13" i="1"/>
  <c r="E13" i="1" s="1"/>
  <c r="E59" i="43"/>
  <c r="B57" i="43" s="1"/>
  <c r="G95" i="3"/>
  <c r="BL100" i="3"/>
  <c r="AZ100" i="3" s="1"/>
  <c r="BL105" i="3"/>
  <c r="AZ105" i="3" s="1"/>
  <c r="BL108" i="3"/>
  <c r="F3" i="35"/>
  <c r="W21" i="21"/>
  <c r="AB21" i="21"/>
  <c r="AC21" i="34"/>
  <c r="U21" i="33"/>
  <c r="AA21" i="37"/>
  <c r="AC18" i="36"/>
  <c r="C29" i="39"/>
  <c r="B75" i="43"/>
  <c r="AA18" i="35"/>
  <c r="E16" i="71"/>
  <c r="E15" i="71" s="1"/>
  <c r="V17" i="71"/>
  <c r="D60" i="71"/>
  <c r="C59" i="71"/>
  <c r="D59" i="71" s="1"/>
  <c r="X21" i="71"/>
  <c r="X14" i="71"/>
  <c r="C55" i="71"/>
  <c r="O56" i="71"/>
  <c r="S65" i="71"/>
  <c r="B64" i="71"/>
  <c r="B63" i="71" s="1"/>
  <c r="U69" i="71"/>
  <c r="E68" i="71"/>
  <c r="E67" i="71" s="1"/>
  <c r="P27" i="6"/>
  <c r="AA15" i="71"/>
  <c r="AA16" i="71"/>
  <c r="AA3" i="71"/>
  <c r="AA17" i="71"/>
  <c r="T17" i="71"/>
  <c r="C16" i="71"/>
  <c r="AA22" i="71"/>
  <c r="AA23" i="71"/>
  <c r="C45" i="71"/>
  <c r="D44" i="71"/>
  <c r="F55" i="71"/>
  <c r="Q56" i="71"/>
  <c r="AB12" i="43"/>
  <c r="AB10" i="43"/>
  <c r="AF12" i="43"/>
  <c r="AF13" i="43" s="1"/>
  <c r="AF10" i="43"/>
  <c r="C40" i="68"/>
  <c r="S29" i="39"/>
  <c r="B66" i="43"/>
  <c r="P56" i="71"/>
  <c r="D64" i="71"/>
  <c r="C63" i="71"/>
  <c r="D63" i="71" s="1"/>
  <c r="F19" i="71"/>
  <c r="F20" i="71" s="1"/>
  <c r="F21" i="71" s="1"/>
  <c r="V21" i="71" s="1"/>
  <c r="AB18" i="71"/>
  <c r="AB15" i="71"/>
  <c r="X22" i="71"/>
  <c r="C32" i="71"/>
  <c r="D31" i="71"/>
  <c r="E36" i="71"/>
  <c r="E37" i="71" s="1"/>
  <c r="U37" i="71" s="1"/>
  <c r="B68" i="71"/>
  <c r="B67" i="71" s="1"/>
  <c r="T49" i="71"/>
  <c r="D49" i="71"/>
  <c r="D68" i="71"/>
  <c r="C67" i="71"/>
  <c r="D67" i="71" s="1"/>
  <c r="C20" i="71"/>
  <c r="X19" i="71"/>
  <c r="Y17" i="71"/>
  <c r="Z17" i="71" s="1"/>
  <c r="C23" i="71"/>
  <c r="X24" i="71"/>
  <c r="X23" i="71"/>
  <c r="C27" i="71"/>
  <c r="Y24" i="71"/>
  <c r="Z24" i="71" s="1"/>
  <c r="Y26" i="71"/>
  <c r="Z26" i="71" s="1"/>
  <c r="AB27" i="71"/>
  <c r="AB22" i="71"/>
  <c r="AB26" i="71"/>
  <c r="AB23" i="71"/>
  <c r="B48" i="71"/>
  <c r="B49" i="71" s="1"/>
  <c r="S49" i="71" s="1"/>
  <c r="C52" i="71"/>
  <c r="D51" i="71"/>
  <c r="AB17" i="71"/>
  <c r="D61" i="71"/>
  <c r="T57" i="71"/>
  <c r="D43" i="71"/>
  <c r="X17" i="71"/>
  <c r="Y3" i="71"/>
  <c r="Z3" i="71" s="1"/>
  <c r="X20" i="71"/>
  <c r="B23" i="71"/>
  <c r="B24" i="71" s="1"/>
  <c r="B25" i="71" s="1"/>
  <c r="S25" i="71" s="1"/>
  <c r="E19" i="71"/>
  <c r="E20" i="71" s="1"/>
  <c r="E21" i="71" s="1"/>
  <c r="U21" i="71" s="1"/>
  <c r="E27" i="71"/>
  <c r="E28" i="71" s="1"/>
  <c r="E29" i="71" s="1"/>
  <c r="U29" i="71" s="1"/>
  <c r="AA26" i="71"/>
  <c r="AA10" i="43"/>
  <c r="AC12" i="43"/>
  <c r="AC13" i="43" s="1"/>
  <c r="AC10" i="43"/>
  <c r="AG10" i="43"/>
  <c r="AG12" i="43"/>
  <c r="K56" i="9"/>
  <c r="Y14" i="71"/>
  <c r="Z14" i="71" s="1"/>
  <c r="X13" i="71"/>
  <c r="AA10" i="71"/>
  <c r="X6" i="71"/>
  <c r="AA6" i="71"/>
  <c r="X16" i="71"/>
  <c r="Y15" i="71"/>
  <c r="Z15" i="71" s="1"/>
  <c r="B17" i="71"/>
  <c r="X15" i="71"/>
  <c r="Y18" i="71"/>
  <c r="Z18" i="71" s="1"/>
  <c r="AA19" i="71"/>
  <c r="Y21" i="71"/>
  <c r="Z21" i="71" s="1"/>
  <c r="Z12" i="43"/>
  <c r="Z13" i="43" s="1"/>
  <c r="Z10" i="43"/>
  <c r="AD12" i="43"/>
  <c r="AD13" i="43" s="1"/>
  <c r="AD10" i="43"/>
  <c r="AH12" i="43"/>
  <c r="AH13" i="43" s="1"/>
  <c r="AH10" i="43"/>
  <c r="N56" i="9"/>
  <c r="AB12" i="71"/>
  <c r="AB10" i="71"/>
  <c r="AB13" i="71"/>
  <c r="Y7" i="71"/>
  <c r="Z7" i="71" s="1"/>
  <c r="X5" i="71"/>
  <c r="AA5" i="71"/>
  <c r="X18" i="71"/>
  <c r="AB20" i="71"/>
  <c r="AA21" i="71"/>
  <c r="Y16" i="71"/>
  <c r="Z16" i="71" s="1"/>
  <c r="Y13" i="71"/>
  <c r="Z13" i="71" s="1"/>
  <c r="E12" i="71"/>
  <c r="E11" i="71" s="1"/>
  <c r="E10" i="71" s="1"/>
  <c r="E9" i="71" s="1"/>
  <c r="V13" i="71"/>
  <c r="X7" i="71"/>
  <c r="AA7" i="71"/>
  <c r="Y6" i="71"/>
  <c r="Z6" i="71" s="1"/>
  <c r="AB6" i="71"/>
  <c r="Y11" i="71"/>
  <c r="Z11" i="71" s="1"/>
  <c r="C13" i="71"/>
  <c r="Y10" i="71"/>
  <c r="Z10" i="71" s="1"/>
  <c r="Y12" i="71"/>
  <c r="Z12" i="71" s="1"/>
  <c r="AA11" i="71"/>
  <c r="AB7" i="71"/>
  <c r="Y5" i="71"/>
  <c r="Z5" i="71" s="1"/>
  <c r="AB5" i="71"/>
  <c r="AA13" i="71"/>
  <c r="AA12" i="71"/>
  <c r="X11" i="71"/>
  <c r="P74" i="67"/>
  <c r="X10" i="71"/>
  <c r="F7" i="81"/>
  <c r="F26" i="81"/>
  <c r="J15" i="81"/>
  <c r="M23" i="81"/>
  <c r="L48" i="81"/>
  <c r="M6" i="81"/>
  <c r="M26" i="81"/>
  <c r="M8" i="81"/>
  <c r="G1" i="73"/>
  <c r="F59" i="15"/>
  <c r="F31" i="67"/>
  <c r="M29" i="81"/>
  <c r="F43" i="81"/>
  <c r="C76" i="81"/>
  <c r="M9" i="81"/>
  <c r="M27" i="81"/>
  <c r="F42" i="81"/>
  <c r="F13" i="81"/>
  <c r="F8" i="81"/>
  <c r="F37" i="81"/>
  <c r="F16" i="81"/>
  <c r="M28" i="81"/>
  <c r="F40" i="81"/>
  <c r="M22" i="81"/>
  <c r="F9" i="81"/>
  <c r="C16" i="67"/>
  <c r="C17" i="67"/>
  <c r="M17" i="15"/>
  <c r="C16" i="15"/>
  <c r="F59" i="67"/>
  <c r="M17" i="67"/>
  <c r="F6" i="81"/>
  <c r="M24" i="81"/>
  <c r="L47" i="81"/>
  <c r="F36" i="81"/>
  <c r="F38" i="81"/>
  <c r="C14" i="67"/>
  <c r="F31" i="15"/>
  <c r="F66" i="81" l="1"/>
  <c r="F68" i="81"/>
  <c r="F64" i="81"/>
  <c r="F65" i="81"/>
  <c r="L58" i="81"/>
  <c r="Q60" i="81" s="1"/>
  <c r="M59" i="81"/>
  <c r="L59" i="81" s="1"/>
  <c r="Q61" i="81" s="1"/>
  <c r="N59" i="81"/>
  <c r="F51" i="81"/>
  <c r="L60" i="81"/>
  <c r="Q66" i="81" s="1"/>
  <c r="J59" i="81"/>
  <c r="J60" i="81"/>
  <c r="Q48" i="81" s="1"/>
  <c r="L57" i="81"/>
  <c r="I54" i="81"/>
  <c r="L56" i="81"/>
  <c r="J57" i="81"/>
  <c r="J55" i="81" s="1"/>
  <c r="J58" i="81" s="1"/>
  <c r="Q50" i="81" s="1"/>
  <c r="J53" i="81"/>
  <c r="F1" i="81" s="1"/>
  <c r="C6" i="81"/>
  <c r="C32" i="81" s="1"/>
  <c r="Q71" i="81"/>
  <c r="C27" i="81"/>
  <c r="F71" i="81"/>
  <c r="M7" i="81"/>
  <c r="J6" i="81" s="1"/>
  <c r="J18" i="81" s="1"/>
  <c r="F50" i="81"/>
  <c r="E57" i="40"/>
  <c r="I21" i="66"/>
  <c r="D1" i="66" s="1"/>
  <c r="E10" i="66" s="1"/>
  <c r="Q74" i="81"/>
  <c r="F11" i="81"/>
  <c r="M11" i="81"/>
  <c r="AA11" i="39"/>
  <c r="U11" i="39"/>
  <c r="D68" i="39"/>
  <c r="C70" i="39"/>
  <c r="AB7" i="33"/>
  <c r="T48" i="33" s="1"/>
  <c r="G48" i="33" s="1"/>
  <c r="U7" i="33"/>
  <c r="AC7" i="33"/>
  <c r="V48" i="33" s="1"/>
  <c r="I48" i="33" s="1"/>
  <c r="I52" i="33" s="1"/>
  <c r="J52" i="33" s="1"/>
  <c r="W7" i="33"/>
  <c r="D65" i="40"/>
  <c r="E63" i="40"/>
  <c r="AG13" i="43"/>
  <c r="G109" i="43"/>
  <c r="E16" i="6"/>
  <c r="AB13" i="43"/>
  <c r="E61" i="39"/>
  <c r="E56" i="40"/>
  <c r="E63" i="39"/>
  <c r="F28" i="12"/>
  <c r="C29" i="12" s="1"/>
  <c r="D28" i="12" s="1"/>
  <c r="F27" i="11"/>
  <c r="F27" i="68"/>
  <c r="C29" i="68" s="1"/>
  <c r="D27" i="68" s="1"/>
  <c r="F27" i="69"/>
  <c r="E30" i="6"/>
  <c r="K14" i="1"/>
  <c r="J104" i="43"/>
  <c r="J105" i="43"/>
  <c r="J102" i="43"/>
  <c r="J107" i="43"/>
  <c r="J109" i="43"/>
  <c r="J103" i="43"/>
  <c r="D22" i="43"/>
  <c r="M102" i="43"/>
  <c r="M103" i="43"/>
  <c r="M109" i="43"/>
  <c r="M106" i="43"/>
  <c r="M107" i="43"/>
  <c r="M104" i="43"/>
  <c r="M105" i="43"/>
  <c r="C104" i="43"/>
  <c r="C107" i="43"/>
  <c r="C103" i="43"/>
  <c r="C109" i="43"/>
  <c r="H103" i="43"/>
  <c r="H102" i="43"/>
  <c r="H104" i="43"/>
  <c r="H107" i="43"/>
  <c r="H105" i="43"/>
  <c r="H109" i="43"/>
  <c r="H106" i="43"/>
  <c r="L109" i="43"/>
  <c r="L102" i="43"/>
  <c r="L104" i="43"/>
  <c r="L105" i="43"/>
  <c r="L107" i="43"/>
  <c r="L106" i="43"/>
  <c r="L103" i="43"/>
  <c r="I102" i="43"/>
  <c r="I103" i="43"/>
  <c r="I105" i="43"/>
  <c r="I106" i="43"/>
  <c r="I109" i="43"/>
  <c r="I107" i="43"/>
  <c r="I104" i="43"/>
  <c r="N105" i="43"/>
  <c r="N104" i="43"/>
  <c r="N106" i="43"/>
  <c r="N107" i="43"/>
  <c r="N102" i="43"/>
  <c r="N109" i="43"/>
  <c r="N103" i="43"/>
  <c r="G105" i="43"/>
  <c r="G107" i="43"/>
  <c r="G103" i="43"/>
  <c r="G106" i="43"/>
  <c r="G104" i="43"/>
  <c r="F104" i="43"/>
  <c r="F107" i="43"/>
  <c r="F102" i="43"/>
  <c r="F103" i="43"/>
  <c r="F109" i="43"/>
  <c r="F106" i="43"/>
  <c r="F105" i="43"/>
  <c r="D104" i="43"/>
  <c r="D103" i="43"/>
  <c r="D107" i="43"/>
  <c r="D109" i="43"/>
  <c r="D105" i="43"/>
  <c r="D102" i="43"/>
  <c r="D106" i="43"/>
  <c r="K104" i="43"/>
  <c r="K105" i="43"/>
  <c r="K109" i="43"/>
  <c r="K103" i="43"/>
  <c r="K107" i="43"/>
  <c r="K102" i="43"/>
  <c r="K106" i="43"/>
  <c r="E106" i="43"/>
  <c r="E102" i="43"/>
  <c r="E103" i="43"/>
  <c r="E109" i="43"/>
  <c r="E104" i="43"/>
  <c r="E105" i="43"/>
  <c r="E107" i="43"/>
  <c r="B115" i="43"/>
  <c r="D117" i="43"/>
  <c r="E117" i="43" s="1"/>
  <c r="F117" i="43" s="1"/>
  <c r="G117" i="43" s="1"/>
  <c r="H117" i="43" s="1"/>
  <c r="D116" i="43"/>
  <c r="E116" i="43" s="1"/>
  <c r="F116" i="43" s="1"/>
  <c r="G116" i="43" s="1"/>
  <c r="H116" i="43" s="1"/>
  <c r="B116" i="43"/>
  <c r="C116" i="43" s="1"/>
  <c r="I116" i="43"/>
  <c r="J116" i="43" s="1"/>
  <c r="K116" i="43" s="1"/>
  <c r="L116" i="43" s="1"/>
  <c r="M116" i="43" s="1"/>
  <c r="I115" i="43"/>
  <c r="J115" i="43" s="1"/>
  <c r="K115" i="43" s="1"/>
  <c r="L115" i="43" s="1"/>
  <c r="M115" i="43" s="1"/>
  <c r="D118" i="43"/>
  <c r="E118" i="43" s="1"/>
  <c r="F118" i="43" s="1"/>
  <c r="B118" i="43"/>
  <c r="C118" i="43" s="1"/>
  <c r="I117" i="43"/>
  <c r="J117" i="43" s="1"/>
  <c r="K117" i="43" s="1"/>
  <c r="L117" i="43" s="1"/>
  <c r="M117" i="43" s="1"/>
  <c r="G118" i="43"/>
  <c r="H118" i="43" s="1"/>
  <c r="B117" i="43"/>
  <c r="C117" i="43" s="1"/>
  <c r="H10" i="39"/>
  <c r="AB10" i="39" s="1"/>
  <c r="H10" i="40"/>
  <c r="AB10" i="40" s="1"/>
  <c r="F10" i="40"/>
  <c r="W10" i="39"/>
  <c r="AC10" i="39"/>
  <c r="F10" i="39"/>
  <c r="S10" i="39" s="1"/>
  <c r="J10" i="40"/>
  <c r="W10" i="40" s="1"/>
  <c r="B38" i="72"/>
  <c r="D20" i="53"/>
  <c r="B40" i="72" s="1"/>
  <c r="AA7" i="33"/>
  <c r="R48" i="33" s="1"/>
  <c r="S7" i="33"/>
  <c r="C15" i="67"/>
  <c r="C18" i="67"/>
  <c r="B40" i="1"/>
  <c r="F24" i="81" s="1"/>
  <c r="B16" i="71"/>
  <c r="B15" i="71" s="1"/>
  <c r="S17" i="71"/>
  <c r="E8" i="71"/>
  <c r="E7" i="71" s="1"/>
  <c r="E6" i="71" s="1"/>
  <c r="E5" i="71" s="1"/>
  <c r="V9" i="71"/>
  <c r="D23" i="71"/>
  <c r="C24" i="71"/>
  <c r="D16" i="71"/>
  <c r="C15" i="71"/>
  <c r="D15" i="71" s="1"/>
  <c r="O55" i="71"/>
  <c r="D55" i="71"/>
  <c r="O54" i="71"/>
  <c r="U12" i="36"/>
  <c r="AB12" i="36"/>
  <c r="C12" i="71"/>
  <c r="D13" i="71"/>
  <c r="U13" i="71" s="1"/>
  <c r="T13" i="71"/>
  <c r="C53" i="71"/>
  <c r="D52" i="71"/>
  <c r="C28" i="71"/>
  <c r="D27" i="71"/>
  <c r="T45" i="71"/>
  <c r="D45" i="71"/>
  <c r="AB34" i="35"/>
  <c r="U34" i="35"/>
  <c r="S34" i="35"/>
  <c r="AA34" i="35"/>
  <c r="W7" i="37"/>
  <c r="AC7" i="37"/>
  <c r="V42" i="37" s="1"/>
  <c r="I42" i="37" s="1"/>
  <c r="H7" i="34"/>
  <c r="C38" i="43"/>
  <c r="C33" i="43"/>
  <c r="C34" i="43"/>
  <c r="C39" i="43"/>
  <c r="C36" i="43"/>
  <c r="C35" i="43"/>
  <c r="C37" i="43"/>
  <c r="M28" i="43"/>
  <c r="O28" i="43"/>
  <c r="P28" i="43"/>
  <c r="N28" i="43"/>
  <c r="Q61" i="67"/>
  <c r="Q74" i="67"/>
  <c r="AC39" i="40"/>
  <c r="W39" i="40"/>
  <c r="W34" i="35"/>
  <c r="AC34" i="35"/>
  <c r="P7" i="1"/>
  <c r="AB7" i="36"/>
  <c r="T36" i="36" s="1"/>
  <c r="G36" i="36" s="1"/>
  <c r="U7" i="36"/>
  <c r="AA7" i="21"/>
  <c r="R48" i="21" s="1"/>
  <c r="S7" i="21"/>
  <c r="Q74" i="15"/>
  <c r="Q61" i="15"/>
  <c r="Q60" i="67"/>
  <c r="Q73" i="67"/>
  <c r="G5" i="3"/>
  <c r="B3" i="3" s="1"/>
  <c r="E98" i="3" s="1"/>
  <c r="C21" i="71"/>
  <c r="D20" i="71"/>
  <c r="D32" i="71"/>
  <c r="C33" i="71"/>
  <c r="Q55" i="71"/>
  <c r="Q54" i="71"/>
  <c r="AZ36" i="3"/>
  <c r="BA5" i="3"/>
  <c r="E27" i="6" s="1"/>
  <c r="AZ5" i="3"/>
  <c r="AC38" i="40"/>
  <c r="W38" i="40"/>
  <c r="AB38" i="40"/>
  <c r="U38" i="40"/>
  <c r="AC12" i="21"/>
  <c r="W12" i="21"/>
  <c r="AB12" i="21"/>
  <c r="U12" i="21"/>
  <c r="D10" i="52"/>
  <c r="D125" i="9"/>
  <c r="D11" i="52" s="1"/>
  <c r="H14" i="74"/>
  <c r="B7" i="74" s="1"/>
  <c r="AB7" i="37"/>
  <c r="T42" i="37" s="1"/>
  <c r="G42" i="37" s="1"/>
  <c r="U7" i="37"/>
  <c r="S7" i="37"/>
  <c r="AA7" i="37"/>
  <c r="R42" i="37" s="1"/>
  <c r="S7" i="36"/>
  <c r="AA7" i="36"/>
  <c r="R36" i="36" s="1"/>
  <c r="F7" i="34"/>
  <c r="C32" i="15"/>
  <c r="F1" i="67"/>
  <c r="Q52" i="67"/>
  <c r="C49" i="67"/>
  <c r="Q52" i="15"/>
  <c r="F1" i="15"/>
  <c r="BL5" i="3"/>
  <c r="AC24" i="36"/>
  <c r="W24" i="36"/>
  <c r="B34" i="72"/>
  <c r="D17" i="53"/>
  <c r="B36" i="72" s="1"/>
  <c r="W7" i="36"/>
  <c r="AC7" i="36"/>
  <c r="V36" i="36" s="1"/>
  <c r="I36" i="36" s="1"/>
  <c r="U7" i="21"/>
  <c r="AB7" i="21"/>
  <c r="T48" i="21" s="1"/>
  <c r="G48" i="21" s="1"/>
  <c r="J48" i="35"/>
  <c r="K48" i="35" s="1"/>
  <c r="L48" i="35" s="1"/>
  <c r="M48" i="35" s="1"/>
  <c r="N48" i="35" s="1"/>
  <c r="O48" i="35" s="1"/>
  <c r="J7" i="34"/>
  <c r="AC7" i="21"/>
  <c r="V48" i="21" s="1"/>
  <c r="I48" i="21" s="1"/>
  <c r="W7" i="21"/>
  <c r="T14" i="43"/>
  <c r="V14" i="43" s="1"/>
  <c r="T8" i="43"/>
  <c r="V8" i="43" s="1"/>
  <c r="T13" i="43"/>
  <c r="V13" i="43" s="1"/>
  <c r="T16" i="43"/>
  <c r="V16" i="43" s="1"/>
  <c r="T10" i="43"/>
  <c r="V10" i="43" s="1"/>
  <c r="T15" i="43"/>
  <c r="V15" i="43" s="1"/>
  <c r="T9" i="43"/>
  <c r="V9" i="43" s="1"/>
  <c r="T12" i="43"/>
  <c r="V12" i="43" s="1"/>
  <c r="T11" i="43"/>
  <c r="V11" i="43" s="1"/>
  <c r="J6" i="67"/>
  <c r="Q60" i="15"/>
  <c r="Q73" i="15"/>
  <c r="C49" i="15"/>
  <c r="J6" i="15"/>
  <c r="M11" i="67"/>
  <c r="J10" i="67" s="1"/>
  <c r="M11" i="15"/>
  <c r="F11" i="67"/>
  <c r="F11" i="15"/>
  <c r="C32" i="67"/>
  <c r="C16" i="81"/>
  <c r="AE7" i="1"/>
  <c r="F31" i="81"/>
  <c r="M17" i="81"/>
  <c r="AE6" i="1"/>
  <c r="F59" i="81"/>
  <c r="C33" i="81" l="1"/>
  <c r="L46" i="81"/>
  <c r="C49" i="81"/>
  <c r="Q57" i="81"/>
  <c r="Q52" i="81"/>
  <c r="Q73" i="81"/>
  <c r="E107" i="3"/>
  <c r="J10" i="81"/>
  <c r="J5" i="81" s="1"/>
  <c r="J26" i="81" s="1"/>
  <c r="E66" i="39"/>
  <c r="C24" i="81"/>
  <c r="C53" i="81"/>
  <c r="C48" i="81" s="1"/>
  <c r="C10" i="81"/>
  <c r="C5" i="81" s="1"/>
  <c r="E65" i="40"/>
  <c r="F63" i="40"/>
  <c r="G52" i="33"/>
  <c r="H52" i="33" s="1"/>
  <c r="G53" i="33"/>
  <c r="H53" i="33" s="1"/>
  <c r="D70" i="39"/>
  <c r="E68" i="39"/>
  <c r="S6" i="43"/>
  <c r="T6" i="43" s="1"/>
  <c r="V6" i="43" s="1"/>
  <c r="U10" i="39"/>
  <c r="S7" i="43"/>
  <c r="T7" i="43" s="1"/>
  <c r="V7" i="43" s="1"/>
  <c r="S3" i="43"/>
  <c r="T3" i="43" s="1"/>
  <c r="V3" i="43" s="1"/>
  <c r="S2" i="43"/>
  <c r="T2" i="43" s="1"/>
  <c r="V2" i="43" s="1"/>
  <c r="C23" i="43"/>
  <c r="C21" i="43" s="1"/>
  <c r="C29" i="43" s="1"/>
  <c r="E29" i="43" s="1"/>
  <c r="S5" i="43"/>
  <c r="T5" i="43" s="1"/>
  <c r="V5" i="43" s="1"/>
  <c r="E409" i="3"/>
  <c r="E242" i="3"/>
  <c r="E399" i="3"/>
  <c r="S4" i="43"/>
  <c r="T4" i="43" s="1"/>
  <c r="V4" i="43" s="1"/>
  <c r="C47" i="68"/>
  <c r="D45" i="68" s="1"/>
  <c r="AC10" i="40"/>
  <c r="M14" i="1"/>
  <c r="C34" i="69"/>
  <c r="K16" i="1"/>
  <c r="C29" i="11"/>
  <c r="D27" i="11" s="1"/>
  <c r="C47" i="11"/>
  <c r="D45" i="11" s="1"/>
  <c r="C47" i="69"/>
  <c r="D45" i="69" s="1"/>
  <c r="C29" i="69"/>
  <c r="D27" i="69" s="1"/>
  <c r="C115" i="43"/>
  <c r="D113" i="43" s="1"/>
  <c r="U10" i="40"/>
  <c r="AA10" i="40"/>
  <c r="S10" i="40"/>
  <c r="AA10" i="39"/>
  <c r="C19" i="67"/>
  <c r="C20" i="67" s="1"/>
  <c r="C26" i="67" s="1"/>
  <c r="H7" i="35"/>
  <c r="AB7" i="35" s="1"/>
  <c r="T38" i="35" s="1"/>
  <c r="G38" i="35" s="1"/>
  <c r="E48" i="33"/>
  <c r="R49" i="33"/>
  <c r="C53" i="15"/>
  <c r="C48" i="15" s="1"/>
  <c r="C10" i="15"/>
  <c r="C5" i="15" s="1"/>
  <c r="J18" i="67"/>
  <c r="J5" i="67"/>
  <c r="I52" i="21"/>
  <c r="J52" i="21" s="1"/>
  <c r="G52" i="21"/>
  <c r="H52" i="21" s="1"/>
  <c r="G53" i="21"/>
  <c r="H53" i="21" s="1"/>
  <c r="E36" i="36"/>
  <c r="R37" i="36"/>
  <c r="G41" i="36"/>
  <c r="H41" i="36" s="1"/>
  <c r="G40" i="36"/>
  <c r="H40" i="36" s="1"/>
  <c r="E39" i="43"/>
  <c r="G39" i="43"/>
  <c r="I39" i="43" s="1"/>
  <c r="U7" i="34"/>
  <c r="AB7" i="34"/>
  <c r="T49" i="34" s="1"/>
  <c r="G49" i="34" s="1"/>
  <c r="C29" i="71"/>
  <c r="D28" i="71"/>
  <c r="E240" i="3"/>
  <c r="F25" i="12"/>
  <c r="C26" i="12" s="1"/>
  <c r="D25" i="12" s="1"/>
  <c r="F22" i="68"/>
  <c r="F22" i="69"/>
  <c r="F24" i="67"/>
  <c r="C24" i="67" s="1"/>
  <c r="F22" i="11"/>
  <c r="F24" i="15"/>
  <c r="C24" i="15" s="1"/>
  <c r="J10" i="15"/>
  <c r="J5" i="15" s="1"/>
  <c r="J18" i="15"/>
  <c r="AC7" i="34"/>
  <c r="V49" i="34" s="1"/>
  <c r="I49" i="34" s="1"/>
  <c r="W7" i="34"/>
  <c r="G46" i="37"/>
  <c r="H46" i="37" s="1"/>
  <c r="G47" i="37"/>
  <c r="H47" i="37" s="1"/>
  <c r="K20" i="6"/>
  <c r="K26" i="6"/>
  <c r="M26" i="6" s="1"/>
  <c r="I26" i="6" s="1"/>
  <c r="S26" i="6" s="1"/>
  <c r="K23" i="6"/>
  <c r="M23" i="6" s="1"/>
  <c r="I23" i="6" s="1"/>
  <c r="S23" i="6" s="1"/>
  <c r="E31" i="6"/>
  <c r="K25" i="6"/>
  <c r="M25" i="6" s="1"/>
  <c r="I25" i="6" s="1"/>
  <c r="S25" i="6" s="1"/>
  <c r="K24" i="6"/>
  <c r="M24" i="6" s="1"/>
  <c r="I24" i="6" s="1"/>
  <c r="S24" i="6" s="1"/>
  <c r="K22" i="6"/>
  <c r="M22" i="6" s="1"/>
  <c r="I22" i="6" s="1"/>
  <c r="S22" i="6" s="1"/>
  <c r="K19" i="6"/>
  <c r="S6" i="1" s="1"/>
  <c r="K21" i="6"/>
  <c r="M21" i="6" s="1"/>
  <c r="I21" i="6" s="1"/>
  <c r="S21" i="6" s="1"/>
  <c r="T21" i="71"/>
  <c r="D21" i="71"/>
  <c r="E37" i="43"/>
  <c r="G37" i="43"/>
  <c r="I37" i="43" s="1"/>
  <c r="G34" i="43"/>
  <c r="I34" i="43" s="1"/>
  <c r="E34" i="43"/>
  <c r="I46" i="37"/>
  <c r="J46" i="37" s="1"/>
  <c r="E402" i="3"/>
  <c r="C11" i="71"/>
  <c r="D12" i="71"/>
  <c r="E95" i="3"/>
  <c r="J7" i="35"/>
  <c r="C53" i="67"/>
  <c r="C48" i="67" s="1"/>
  <c r="C10" i="67"/>
  <c r="C5" i="67" s="1"/>
  <c r="F7" i="35"/>
  <c r="I40" i="36"/>
  <c r="J40" i="36" s="1"/>
  <c r="I41" i="36"/>
  <c r="J41" i="36" s="1"/>
  <c r="E42" i="37"/>
  <c r="R43" i="37"/>
  <c r="T33" i="71"/>
  <c r="D33" i="71"/>
  <c r="E93" i="3"/>
  <c r="R49" i="21"/>
  <c r="E48" i="21"/>
  <c r="I53" i="21" s="1"/>
  <c r="J53" i="21" s="1"/>
  <c r="E35" i="43"/>
  <c r="G35" i="43"/>
  <c r="I35" i="43" s="1"/>
  <c r="G33" i="43"/>
  <c r="I33" i="43" s="1"/>
  <c r="E33" i="43"/>
  <c r="T53" i="71"/>
  <c r="D53" i="71"/>
  <c r="AA7" i="34"/>
  <c r="R49" i="34" s="1"/>
  <c r="S7" i="34"/>
  <c r="AY6" i="3"/>
  <c r="E3" i="6"/>
  <c r="L19" i="1" s="1"/>
  <c r="E237" i="3"/>
  <c r="E261" i="3"/>
  <c r="E304" i="3"/>
  <c r="E528" i="3"/>
  <c r="E565" i="3"/>
  <c r="E183" i="3"/>
  <c r="E213" i="3"/>
  <c r="E361" i="3"/>
  <c r="E17" i="3"/>
  <c r="E503" i="3"/>
  <c r="E302" i="3"/>
  <c r="E125" i="3"/>
  <c r="E217" i="3"/>
  <c r="E366" i="3"/>
  <c r="E526" i="3"/>
  <c r="E553" i="3"/>
  <c r="E268" i="3"/>
  <c r="E282" i="3"/>
  <c r="E322" i="3"/>
  <c r="N6" i="3"/>
  <c r="AJ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131" i="3"/>
  <c r="E152" i="3"/>
  <c r="E187" i="3"/>
  <c r="E132" i="3"/>
  <c r="E155" i="3"/>
  <c r="E192" i="3"/>
  <c r="E258" i="3"/>
  <c r="E297" i="3"/>
  <c r="E241" i="3"/>
  <c r="E259" i="3"/>
  <c r="E292" i="3"/>
  <c r="E348" i="3"/>
  <c r="E363" i="3"/>
  <c r="E378" i="3"/>
  <c r="E349" i="3"/>
  <c r="E375" i="3"/>
  <c r="E389" i="3"/>
  <c r="E504" i="3"/>
  <c r="E544" i="3"/>
  <c r="E58" i="3"/>
  <c r="E76" i="3"/>
  <c r="E110" i="3"/>
  <c r="E59" i="3"/>
  <c r="E540" i="3"/>
  <c r="E462" i="3"/>
  <c r="E521" i="3"/>
  <c r="E446" i="3"/>
  <c r="E47" i="3"/>
  <c r="E65" i="3"/>
  <c r="E138" i="3"/>
  <c r="E195" i="3"/>
  <c r="E163" i="3"/>
  <c r="E248" i="3"/>
  <c r="E209" i="3"/>
  <c r="E266" i="3"/>
  <c r="E307" i="3"/>
  <c r="E386" i="3"/>
  <c r="E354" i="3"/>
  <c r="E584" i="3"/>
  <c r="E66" i="3"/>
  <c r="E24" i="3"/>
  <c r="E48" i="3"/>
  <c r="E87" i="3"/>
  <c r="E127" i="3"/>
  <c r="E250" i="3"/>
  <c r="E284" i="3"/>
  <c r="E341" i="3"/>
  <c r="Y6" i="3"/>
  <c r="E51" i="3"/>
  <c r="E19" i="3"/>
  <c r="E154" i="3"/>
  <c r="E179" i="3"/>
  <c r="E222" i="3"/>
  <c r="E53" i="3"/>
  <c r="E175" i="3"/>
  <c r="E319" i="3"/>
  <c r="E530" i="3"/>
  <c r="E501" i="3"/>
  <c r="E343" i="3"/>
  <c r="E153" i="3"/>
  <c r="E305" i="3"/>
  <c r="E426" i="3"/>
  <c r="E508" i="3"/>
  <c r="E328" i="3"/>
  <c r="E347" i="3"/>
  <c r="E545" i="3"/>
  <c r="E574" i="3"/>
  <c r="E352" i="3"/>
  <c r="E285" i="3"/>
  <c r="E124" i="3"/>
  <c r="E128" i="3"/>
  <c r="E390" i="3"/>
  <c r="E568" i="3"/>
  <c r="E559" i="3"/>
  <c r="E523" i="3"/>
  <c r="E536" i="3"/>
  <c r="V6" i="3"/>
  <c r="E418" i="3"/>
  <c r="E453" i="3"/>
  <c r="E320" i="3"/>
  <c r="E321" i="3"/>
  <c r="E244" i="3"/>
  <c r="E230" i="3"/>
  <c r="E169" i="3"/>
  <c r="E156" i="3"/>
  <c r="E254" i="3"/>
  <c r="E290" i="3"/>
  <c r="E122" i="3"/>
  <c r="E149" i="3"/>
  <c r="E252" i="3"/>
  <c r="E238" i="3"/>
  <c r="E167" i="3"/>
  <c r="E164" i="3"/>
  <c r="E105" i="3"/>
  <c r="E369" i="3"/>
  <c r="E519" i="3"/>
  <c r="E585" i="3"/>
  <c r="E534" i="3"/>
  <c r="E573" i="3"/>
  <c r="E515" i="3"/>
  <c r="E405" i="3"/>
  <c r="E458" i="3"/>
  <c r="E478" i="3"/>
  <c r="E469" i="3"/>
  <c r="E527" i="3"/>
  <c r="E414" i="3"/>
  <c r="E408" i="3"/>
  <c r="E457" i="3"/>
  <c r="E477" i="3"/>
  <c r="E360" i="3"/>
  <c r="E562" i="3"/>
  <c r="E505" i="3"/>
  <c r="E497" i="3"/>
  <c r="E571" i="3"/>
  <c r="AS6" i="3"/>
  <c r="E494" i="3"/>
  <c r="E450" i="3"/>
  <c r="E476" i="3"/>
  <c r="E470" i="3"/>
  <c r="E433" i="3"/>
  <c r="E447" i="3"/>
  <c r="E26" i="3"/>
  <c r="E72" i="3"/>
  <c r="E27" i="3"/>
  <c r="E41" i="3"/>
  <c r="E111" i="3"/>
  <c r="E162" i="3"/>
  <c r="E198" i="3"/>
  <c r="E150" i="3"/>
  <c r="E186" i="3"/>
  <c r="E225" i="3"/>
  <c r="E279" i="3"/>
  <c r="E210" i="3"/>
  <c r="E243" i="3"/>
  <c r="E351" i="3"/>
  <c r="E331" i="3"/>
  <c r="E391" i="3"/>
  <c r="E318" i="3"/>
  <c r="E384" i="3"/>
  <c r="AL6" i="3"/>
  <c r="E31" i="3"/>
  <c r="E44" i="3"/>
  <c r="E94" i="3"/>
  <c r="E75" i="3"/>
  <c r="E441" i="3"/>
  <c r="E482" i="3"/>
  <c r="E455" i="3"/>
  <c r="E64" i="3"/>
  <c r="E78" i="3"/>
  <c r="E170" i="3"/>
  <c r="E142" i="3"/>
  <c r="E220" i="3"/>
  <c r="E219" i="3"/>
  <c r="E300" i="3"/>
  <c r="E383" i="3"/>
  <c r="E392" i="3"/>
  <c r="E23" i="3"/>
  <c r="E86" i="3"/>
  <c r="E112" i="3"/>
  <c r="E144" i="3"/>
  <c r="E232" i="3"/>
  <c r="E340" i="3"/>
  <c r="E381" i="3"/>
  <c r="E102" i="3"/>
  <c r="E62" i="3"/>
  <c r="E118" i="3"/>
  <c r="E287" i="3"/>
  <c r="E323" i="3"/>
  <c r="E373" i="3"/>
  <c r="E82" i="3"/>
  <c r="E539" i="3"/>
  <c r="E555" i="3"/>
  <c r="X6" i="3"/>
  <c r="E461" i="3"/>
  <c r="E337" i="3"/>
  <c r="E246" i="3"/>
  <c r="E165" i="3"/>
  <c r="E270" i="3"/>
  <c r="E314" i="3"/>
  <c r="E514" i="3"/>
  <c r="AR6" i="3"/>
  <c r="E16" i="3"/>
  <c r="M6" i="3"/>
  <c r="E538" i="3"/>
  <c r="E434" i="3"/>
  <c r="E387" i="3"/>
  <c r="E380" i="3"/>
  <c r="E296" i="3"/>
  <c r="E215" i="3"/>
  <c r="E216" i="3"/>
  <c r="E136" i="3"/>
  <c r="E134" i="3"/>
  <c r="E135" i="3"/>
  <c r="E269" i="3"/>
  <c r="E180" i="3"/>
  <c r="E207" i="3"/>
  <c r="E223" i="3"/>
  <c r="E253" i="3"/>
  <c r="E145" i="3"/>
  <c r="E173" i="3"/>
  <c r="E330" i="3"/>
  <c r="E576" i="3"/>
  <c r="E493" i="3"/>
  <c r="Q6" i="3"/>
  <c r="AG6" i="3"/>
  <c r="E543" i="3"/>
  <c r="E437" i="3"/>
  <c r="E448" i="3"/>
  <c r="E486" i="3"/>
  <c r="E481" i="3"/>
  <c r="P6" i="3"/>
  <c r="E422" i="3"/>
  <c r="E424" i="3"/>
  <c r="E443" i="3"/>
  <c r="E490" i="3"/>
  <c r="E344" i="3"/>
  <c r="E558" i="3"/>
  <c r="AH6" i="3"/>
  <c r="AE6" i="3"/>
  <c r="E581" i="3"/>
  <c r="E498" i="3"/>
  <c r="E429" i="3"/>
  <c r="E444" i="3"/>
  <c r="E483" i="3"/>
  <c r="E496" i="3"/>
  <c r="E404" i="3"/>
  <c r="E463" i="3"/>
  <c r="E55" i="3"/>
  <c r="E88" i="3"/>
  <c r="E25" i="3"/>
  <c r="E73" i="3"/>
  <c r="E121" i="3"/>
  <c r="E178" i="3"/>
  <c r="E203" i="3"/>
  <c r="E166" i="3"/>
  <c r="E202" i="3"/>
  <c r="E256" i="3"/>
  <c r="E295" i="3"/>
  <c r="E226" i="3"/>
  <c r="E274" i="3"/>
  <c r="E316" i="3"/>
  <c r="E346" i="3"/>
  <c r="E394" i="3"/>
  <c r="E334" i="3"/>
  <c r="E372" i="3"/>
  <c r="E580" i="3"/>
  <c r="E30" i="3"/>
  <c r="E60" i="3"/>
  <c r="E32" i="3"/>
  <c r="E480" i="3"/>
  <c r="E428" i="3"/>
  <c r="E15" i="3"/>
  <c r="E467" i="3"/>
  <c r="E96" i="3"/>
  <c r="E100" i="3"/>
  <c r="E160" i="3"/>
  <c r="E174" i="3"/>
  <c r="E234" i="3"/>
  <c r="E249" i="3"/>
  <c r="E324" i="3"/>
  <c r="E325" i="3"/>
  <c r="E492" i="3"/>
  <c r="E35" i="3"/>
  <c r="E36" i="3"/>
  <c r="E33" i="3"/>
  <c r="E206" i="3"/>
  <c r="E289" i="3"/>
  <c r="E355" i="3"/>
  <c r="AF6" i="3"/>
  <c r="E20" i="3"/>
  <c r="E81" i="3"/>
  <c r="E158" i="3"/>
  <c r="E265" i="3"/>
  <c r="E365" i="3"/>
  <c r="E524" i="3"/>
  <c r="E101" i="3"/>
  <c r="E329" i="3"/>
  <c r="O6" i="3"/>
  <c r="AA6" i="3"/>
  <c r="E510" i="3"/>
  <c r="E359" i="3"/>
  <c r="E280" i="3"/>
  <c r="E205" i="3"/>
  <c r="E97" i="3"/>
  <c r="E397" i="3"/>
  <c r="E358" i="3"/>
  <c r="S6" i="3"/>
  <c r="I6" i="3"/>
  <c r="E551" i="3"/>
  <c r="E506" i="3"/>
  <c r="E549" i="3"/>
  <c r="E407" i="3"/>
  <c r="E338" i="3"/>
  <c r="E368" i="3"/>
  <c r="E294" i="3"/>
  <c r="E298" i="3"/>
  <c r="E196" i="3"/>
  <c r="E130" i="3"/>
  <c r="E61" i="3"/>
  <c r="E148" i="3"/>
  <c r="E221" i="3"/>
  <c r="E117" i="3"/>
  <c r="E85" i="3"/>
  <c r="E212" i="3"/>
  <c r="E204" i="3"/>
  <c r="E116" i="3"/>
  <c r="E141" i="3"/>
  <c r="E313" i="3"/>
  <c r="E379" i="3"/>
  <c r="E525" i="3"/>
  <c r="E532" i="3"/>
  <c r="U6" i="3"/>
  <c r="T6" i="3"/>
  <c r="E529" i="3"/>
  <c r="E411" i="3"/>
  <c r="E456" i="3"/>
  <c r="E474" i="3"/>
  <c r="E548" i="3"/>
  <c r="E512" i="3"/>
  <c r="E438" i="3"/>
  <c r="E432" i="3"/>
  <c r="E451" i="3"/>
  <c r="E288" i="3"/>
  <c r="E367" i="3"/>
  <c r="E556" i="3"/>
  <c r="W6" i="3"/>
  <c r="E547" i="3"/>
  <c r="E13" i="3"/>
  <c r="E537" i="3"/>
  <c r="E403" i="3"/>
  <c r="E452" i="3"/>
  <c r="E471" i="3"/>
  <c r="E546" i="3"/>
  <c r="E420" i="3"/>
  <c r="E475" i="3"/>
  <c r="E71" i="3"/>
  <c r="E104" i="3"/>
  <c r="E54" i="3"/>
  <c r="E92" i="3"/>
  <c r="E115" i="3"/>
  <c r="E168" i="3"/>
  <c r="E126" i="3"/>
  <c r="E139" i="3"/>
  <c r="E208" i="3"/>
  <c r="E272" i="3"/>
  <c r="E281" i="3"/>
  <c r="E257" i="3"/>
  <c r="E291" i="3"/>
  <c r="E332" i="3"/>
  <c r="E357" i="3"/>
  <c r="E317" i="3"/>
  <c r="E356" i="3"/>
  <c r="E14" i="3"/>
  <c r="AM6" i="3"/>
  <c r="E42" i="3"/>
  <c r="E29" i="3"/>
  <c r="E488" i="3"/>
  <c r="E473" i="3"/>
  <c r="E425" i="3"/>
  <c r="E18" i="3"/>
  <c r="E38" i="3"/>
  <c r="E103" i="3"/>
  <c r="E190" i="3"/>
  <c r="E194" i="3"/>
  <c r="E267" i="3"/>
  <c r="E235" i="3"/>
  <c r="E339" i="3"/>
  <c r="E310" i="3"/>
  <c r="E522" i="3"/>
  <c r="E52" i="3"/>
  <c r="E67" i="3"/>
  <c r="E49" i="3"/>
  <c r="E147" i="3"/>
  <c r="E233" i="3"/>
  <c r="E370" i="3"/>
  <c r="E50" i="3"/>
  <c r="E63" i="3"/>
  <c r="E113" i="3"/>
  <c r="E218" i="3"/>
  <c r="E283" i="3"/>
  <c r="E309" i="3"/>
  <c r="E513" i="3"/>
  <c r="E21" i="3"/>
  <c r="E388" i="3"/>
  <c r="E583" i="3"/>
  <c r="E567" i="3"/>
  <c r="E410" i="3"/>
  <c r="E336" i="3"/>
  <c r="E227" i="3"/>
  <c r="E143" i="3"/>
  <c r="E293" i="3"/>
  <c r="E311" i="3"/>
  <c r="E533" i="3"/>
  <c r="E511" i="3"/>
  <c r="E570" i="3"/>
  <c r="E561" i="3"/>
  <c r="AK6" i="3"/>
  <c r="AB6" i="3"/>
  <c r="E439" i="3"/>
  <c r="E306" i="3"/>
  <c r="E335" i="3"/>
  <c r="E231" i="3"/>
  <c r="E262" i="3"/>
  <c r="E189" i="3"/>
  <c r="E185" i="3"/>
  <c r="E236" i="3"/>
  <c r="E91" i="3"/>
  <c r="E161" i="3"/>
  <c r="E89" i="3"/>
  <c r="E140" i="3"/>
  <c r="E77" i="3"/>
  <c r="E271" i="3"/>
  <c r="E197" i="3"/>
  <c r="E199" i="3"/>
  <c r="E327" i="3"/>
  <c r="E393" i="3"/>
  <c r="K6" i="3"/>
  <c r="Z6" i="3"/>
  <c r="E564" i="3"/>
  <c r="E560" i="3"/>
  <c r="AO6" i="3"/>
  <c r="E427" i="3"/>
  <c r="E472" i="3"/>
  <c r="E485" i="3"/>
  <c r="E507" i="3"/>
  <c r="E406" i="3"/>
  <c r="E400" i="3"/>
  <c r="E440" i="3"/>
  <c r="E465" i="3"/>
  <c r="E345" i="3"/>
  <c r="E376" i="3"/>
  <c r="E587" i="3"/>
  <c r="E557" i="3"/>
  <c r="J6" i="3"/>
  <c r="E577" i="3"/>
  <c r="E531" i="3"/>
  <c r="E419" i="3"/>
  <c r="E468" i="3"/>
  <c r="E489" i="3"/>
  <c r="E401" i="3"/>
  <c r="E454" i="3"/>
  <c r="E28" i="3"/>
  <c r="E40" i="3"/>
  <c r="E106" i="3"/>
  <c r="E70" i="3"/>
  <c r="E108" i="3"/>
  <c r="E146" i="3"/>
  <c r="E182" i="3"/>
  <c r="E119" i="3"/>
  <c r="E171" i="3"/>
  <c r="E211" i="3"/>
  <c r="E214" i="3"/>
  <c r="E273" i="3"/>
  <c r="E276" i="3"/>
  <c r="E315" i="3"/>
  <c r="E377" i="3"/>
  <c r="E333" i="3"/>
  <c r="E362" i="3"/>
  <c r="E572" i="3"/>
  <c r="L6" i="3"/>
  <c r="E74" i="3"/>
  <c r="E109" i="3"/>
  <c r="E43" i="3"/>
  <c r="E484" i="3"/>
  <c r="E412" i="3"/>
  <c r="E79" i="3"/>
  <c r="E46" i="3"/>
  <c r="E129" i="3"/>
  <c r="E137" i="3"/>
  <c r="E200" i="3"/>
  <c r="E275" i="3"/>
  <c r="E299" i="3"/>
  <c r="E371" i="3"/>
  <c r="E342" i="3"/>
  <c r="AQ6" i="3"/>
  <c r="E84" i="3"/>
  <c r="E34" i="3"/>
  <c r="E123" i="3"/>
  <c r="E184" i="3"/>
  <c r="E251" i="3"/>
  <c r="E364" i="3"/>
  <c r="E68" i="3"/>
  <c r="E80" i="3"/>
  <c r="E176" i="3"/>
  <c r="E264" i="3"/>
  <c r="E308" i="3"/>
  <c r="E326" i="3"/>
  <c r="E22" i="3"/>
  <c r="E83" i="3"/>
  <c r="E36" i="43"/>
  <c r="G36" i="43"/>
  <c r="I36" i="43" s="1"/>
  <c r="G38" i="43"/>
  <c r="I38" i="43" s="1"/>
  <c r="E38" i="43"/>
  <c r="D24" i="71"/>
  <c r="C25" i="71"/>
  <c r="F41" i="15"/>
  <c r="F41" i="81"/>
  <c r="C17" i="15"/>
  <c r="J24" i="81" l="1"/>
  <c r="E6" i="70"/>
  <c r="F69" i="81"/>
  <c r="J29" i="81"/>
  <c r="C38" i="81"/>
  <c r="C66" i="81"/>
  <c r="C60" i="81"/>
  <c r="M20" i="6"/>
  <c r="I20" i="6" s="1"/>
  <c r="S20" i="6" s="1"/>
  <c r="S7" i="1"/>
  <c r="F69" i="15"/>
  <c r="F68" i="39"/>
  <c r="E70" i="39"/>
  <c r="F65" i="40"/>
  <c r="G63" i="40"/>
  <c r="U7" i="35"/>
  <c r="C30" i="43"/>
  <c r="E30" i="43" s="1"/>
  <c r="C27" i="43" s="1"/>
  <c r="AQ6" i="1"/>
  <c r="AR6" i="1"/>
  <c r="T6" i="1"/>
  <c r="H6" i="3"/>
  <c r="AC6" i="3"/>
  <c r="C38" i="69"/>
  <c r="C35" i="69"/>
  <c r="O14" i="1"/>
  <c r="O16" i="1" s="1"/>
  <c r="M16" i="1"/>
  <c r="C48" i="33"/>
  <c r="C49" i="33"/>
  <c r="E53" i="33"/>
  <c r="F53" i="33" s="1"/>
  <c r="I53" i="33"/>
  <c r="J53" i="33" s="1"/>
  <c r="E52" i="33"/>
  <c r="F52" i="33" s="1"/>
  <c r="C66" i="67"/>
  <c r="C60" i="67"/>
  <c r="T25" i="71"/>
  <c r="D25" i="71"/>
  <c r="E49" i="34"/>
  <c r="R50" i="34"/>
  <c r="C48" i="21"/>
  <c r="C49" i="21"/>
  <c r="E47" i="37"/>
  <c r="F47" i="37" s="1"/>
  <c r="E46" i="37"/>
  <c r="F46" i="37" s="1"/>
  <c r="C60" i="15"/>
  <c r="C66" i="15"/>
  <c r="C10" i="71"/>
  <c r="D11" i="71"/>
  <c r="C26" i="68"/>
  <c r="D22" i="68" s="1"/>
  <c r="C44" i="68"/>
  <c r="D41" i="68" s="1"/>
  <c r="T29" i="71"/>
  <c r="D29" i="71"/>
  <c r="E41" i="36"/>
  <c r="F41" i="36" s="1"/>
  <c r="E40" i="36"/>
  <c r="F40" i="36" s="1"/>
  <c r="C23" i="67"/>
  <c r="C29" i="67" s="1"/>
  <c r="D3" i="21"/>
  <c r="D19" i="11"/>
  <c r="C19" i="11" s="1"/>
  <c r="D3" i="33"/>
  <c r="B2" i="33" s="1"/>
  <c r="B3" i="33" s="1"/>
  <c r="D37" i="11"/>
  <c r="C17" i="4"/>
  <c r="B4" i="52" s="1"/>
  <c r="B43" i="72" s="1"/>
  <c r="L18" i="9"/>
  <c r="D3" i="37"/>
  <c r="D3" i="34"/>
  <c r="E6" i="6"/>
  <c r="D14" i="12"/>
  <c r="M18" i="9"/>
  <c r="B118" i="9" s="1"/>
  <c r="B14" i="74" s="1"/>
  <c r="B1" i="74" s="1"/>
  <c r="AA7" i="35"/>
  <c r="R38" i="35" s="1"/>
  <c r="S7" i="35"/>
  <c r="C38" i="67"/>
  <c r="W7" i="35"/>
  <c r="AC7" i="35"/>
  <c r="V38" i="35" s="1"/>
  <c r="I38" i="35" s="1"/>
  <c r="J24" i="15"/>
  <c r="J26" i="15"/>
  <c r="J29" i="15" s="1"/>
  <c r="C44" i="11"/>
  <c r="D41" i="11" s="1"/>
  <c r="C23" i="11"/>
  <c r="C26" i="11"/>
  <c r="D22" i="11" s="1"/>
  <c r="G54" i="34"/>
  <c r="H54" i="34" s="1"/>
  <c r="G53" i="34"/>
  <c r="H53" i="34" s="1"/>
  <c r="C38"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53" i="34"/>
  <c r="J53" i="34" s="1"/>
  <c r="I54" i="34"/>
  <c r="J54" i="34" s="1"/>
  <c r="E52" i="21"/>
  <c r="F52" i="21" s="1"/>
  <c r="E53" i="21"/>
  <c r="F53" i="21" s="1"/>
  <c r="C42" i="37"/>
  <c r="C43" i="37"/>
  <c r="G42" i="35"/>
  <c r="H42" i="35" s="1"/>
  <c r="G43" i="35"/>
  <c r="H43" i="35" s="1"/>
  <c r="I47" i="37"/>
  <c r="J47" i="37" s="1"/>
  <c r="M19" i="6"/>
  <c r="K27" i="6"/>
  <c r="C26" i="43"/>
  <c r="C26" i="69"/>
  <c r="D22" i="69" s="1"/>
  <c r="C44" i="69"/>
  <c r="D41" i="69" s="1"/>
  <c r="C36" i="36"/>
  <c r="C37" i="36"/>
  <c r="B2" i="36" s="1"/>
  <c r="B3" i="36" s="1"/>
  <c r="J26" i="67"/>
  <c r="J29" i="67" s="1"/>
  <c r="J24" i="67"/>
  <c r="C14" i="15"/>
  <c r="C17" i="81"/>
  <c r="E6" i="76"/>
  <c r="C18" i="15" l="1"/>
  <c r="C15" i="15"/>
  <c r="S16" i="1"/>
  <c r="E7" i="70"/>
  <c r="E2" i="70" s="1"/>
  <c r="AR7" i="1"/>
  <c r="T7" i="1"/>
  <c r="T16" i="1" s="1"/>
  <c r="AQ7" i="1"/>
  <c r="B2" i="37"/>
  <c r="B3" i="37" s="1"/>
  <c r="H63" i="40"/>
  <c r="G65" i="40"/>
  <c r="G68" i="39"/>
  <c r="F70" i="39"/>
  <c r="E6" i="3"/>
  <c r="L16" i="1"/>
  <c r="N16" i="1"/>
  <c r="P14" i="1"/>
  <c r="P16" i="1" s="1"/>
  <c r="C11" i="12" s="1"/>
  <c r="E2" i="76"/>
  <c r="M19" i="9"/>
  <c r="C118" i="9" s="1"/>
  <c r="C14" i="74" s="1"/>
  <c r="B2" i="74" s="1"/>
  <c r="D26" i="6"/>
  <c r="D8" i="6"/>
  <c r="D14" i="6"/>
  <c r="D5" i="6"/>
  <c r="D11" i="6"/>
  <c r="D28" i="6"/>
  <c r="D30" i="6" s="1"/>
  <c r="H26" i="6"/>
  <c r="D15" i="6"/>
  <c r="D21" i="6"/>
  <c r="D20" i="6"/>
  <c r="D6" i="6"/>
  <c r="D10" i="6"/>
  <c r="D29" i="6"/>
  <c r="H22" i="6"/>
  <c r="H24" i="6"/>
  <c r="D19" i="6"/>
  <c r="C18" i="4"/>
  <c r="D23" i="6"/>
  <c r="D12" i="6"/>
  <c r="D13" i="6"/>
  <c r="E61" i="40"/>
  <c r="H23" i="6"/>
  <c r="H20" i="6"/>
  <c r="D25" i="6"/>
  <c r="D22" i="6"/>
  <c r="D24" i="6"/>
  <c r="D9" i="6"/>
  <c r="L19" i="9"/>
  <c r="H25" i="6"/>
  <c r="H21" i="6"/>
  <c r="E53" i="34"/>
  <c r="F53" i="34" s="1"/>
  <c r="E54" i="34"/>
  <c r="F54" i="34" s="1"/>
  <c r="I42" i="35"/>
  <c r="J42" i="35" s="1"/>
  <c r="C8" i="74"/>
  <c r="C7" i="74"/>
  <c r="B2" i="21"/>
  <c r="B3" i="21" s="1"/>
  <c r="C57" i="67"/>
  <c r="C36" i="67"/>
  <c r="C13" i="67"/>
  <c r="J14" i="67"/>
  <c r="C33" i="67"/>
  <c r="C31" i="67" s="1"/>
  <c r="Q49" i="67"/>
  <c r="J19" i="67"/>
  <c r="J17" i="67" s="1"/>
  <c r="J59" i="67"/>
  <c r="J60" i="67" s="1"/>
  <c r="E38" i="35"/>
  <c r="I43" i="35" s="1"/>
  <c r="J43" i="35" s="1"/>
  <c r="R39" i="35"/>
  <c r="D17" i="12"/>
  <c r="C17" i="12" s="1"/>
  <c r="B2" i="43"/>
  <c r="I19" i="6"/>
  <c r="M27" i="6"/>
  <c r="D10" i="11"/>
  <c r="C10" i="11" s="1"/>
  <c r="D10" i="69"/>
  <c r="D10" i="68"/>
  <c r="D20" i="12"/>
  <c r="C20" i="12" s="1"/>
  <c r="C18" i="12" s="1"/>
  <c r="C24" i="11"/>
  <c r="C20" i="11"/>
  <c r="C25" i="11" s="1"/>
  <c r="C9" i="71"/>
  <c r="D10" i="71"/>
  <c r="C49" i="34"/>
  <c r="C50" i="34"/>
  <c r="B2" i="34" s="1"/>
  <c r="B3" i="34" s="1"/>
  <c r="C14" i="81"/>
  <c r="B6" i="76"/>
  <c r="C19" i="15" l="1"/>
  <c r="C20" i="15" s="1"/>
  <c r="C23" i="15" s="1"/>
  <c r="C18" i="81"/>
  <c r="C15" i="81"/>
  <c r="D16" i="6"/>
  <c r="G70" i="39"/>
  <c r="H68" i="39"/>
  <c r="I63" i="40"/>
  <c r="H65" i="40"/>
  <c r="F34" i="68"/>
  <c r="F34" i="11"/>
  <c r="F11" i="12"/>
  <c r="C14" i="12" s="1"/>
  <c r="C22" i="11"/>
  <c r="F50" i="68"/>
  <c r="F50" i="11"/>
  <c r="F50" i="69"/>
  <c r="C15" i="12"/>
  <c r="C12" i="12"/>
  <c r="R25" i="6"/>
  <c r="J59" i="15"/>
  <c r="J60" i="15" s="1"/>
  <c r="L46" i="15" s="1"/>
  <c r="C33" i="15"/>
  <c r="R22" i="6"/>
  <c r="R24" i="6"/>
  <c r="B2" i="76"/>
  <c r="B3" i="76" s="1"/>
  <c r="C8" i="71"/>
  <c r="D9" i="71"/>
  <c r="U9" i="71" s="1"/>
  <c r="T9" i="71"/>
  <c r="C28" i="11"/>
  <c r="C27" i="11" s="1"/>
  <c r="B3" i="43"/>
  <c r="Q48" i="67"/>
  <c r="L46" i="67"/>
  <c r="J22" i="67"/>
  <c r="J13" i="67"/>
  <c r="J23" i="67" s="1"/>
  <c r="R23" i="6"/>
  <c r="R20" i="6"/>
  <c r="R7" i="1" s="1"/>
  <c r="C37" i="67"/>
  <c r="C30" i="67" s="1"/>
  <c r="C39" i="67" s="1"/>
  <c r="C56" i="67"/>
  <c r="C65" i="67" s="1"/>
  <c r="C75" i="67"/>
  <c r="Q70" i="67"/>
  <c r="A7" i="51"/>
  <c r="B7" i="72" s="1"/>
  <c r="A10" i="51"/>
  <c r="B9" i="72" s="1"/>
  <c r="C4" i="52"/>
  <c r="B45" i="72" s="1"/>
  <c r="R21" i="6"/>
  <c r="C10" i="68"/>
  <c r="D19" i="68"/>
  <c r="C38" i="35"/>
  <c r="C39" i="35"/>
  <c r="B2" i="35" s="1"/>
  <c r="B3" i="35" s="1"/>
  <c r="D27" i="6"/>
  <c r="D31" i="6" s="1"/>
  <c r="R26" i="6"/>
  <c r="C10" i="69"/>
  <c r="C8" i="69" s="1"/>
  <c r="C5" i="69" s="1"/>
  <c r="D19" i="69"/>
  <c r="I27" i="6"/>
  <c r="S19" i="6"/>
  <c r="S27" i="6" s="1"/>
  <c r="E43" i="35"/>
  <c r="F43" i="35" s="1"/>
  <c r="E42" i="35"/>
  <c r="F42" i="35" s="1"/>
  <c r="C64" i="67"/>
  <c r="C61" i="67"/>
  <c r="C59" i="67" s="1"/>
  <c r="H19" i="6"/>
  <c r="H27" i="6" s="1"/>
  <c r="D8" i="74"/>
  <c r="D7" i="74"/>
  <c r="C19" i="81" l="1"/>
  <c r="C20" i="81" s="1"/>
  <c r="C26" i="81" s="1"/>
  <c r="C26" i="15"/>
  <c r="C29" i="15" s="1"/>
  <c r="I65" i="40"/>
  <c r="J63" i="40"/>
  <c r="I68" i="39"/>
  <c r="H70" i="39"/>
  <c r="C31" i="11"/>
  <c r="C36" i="11"/>
  <c r="C37" i="11"/>
  <c r="C34" i="11"/>
  <c r="C36" i="68"/>
  <c r="C34" i="68"/>
  <c r="C16" i="12"/>
  <c r="C21" i="12" s="1"/>
  <c r="C22" i="12" s="1"/>
  <c r="Q48" i="15"/>
  <c r="J16" i="67"/>
  <c r="J25" i="67" s="1"/>
  <c r="C58" i="67"/>
  <c r="C67" i="67" s="1"/>
  <c r="C68" i="67" s="1"/>
  <c r="C71" i="67" s="1"/>
  <c r="C19" i="69"/>
  <c r="C24" i="69" s="1"/>
  <c r="D37" i="69"/>
  <c r="C37" i="69" s="1"/>
  <c r="C33" i="69" s="1"/>
  <c r="R19" i="6"/>
  <c r="C23" i="69"/>
  <c r="C80" i="67"/>
  <c r="C79" i="67" s="1"/>
  <c r="C19" i="68"/>
  <c r="D37" i="68"/>
  <c r="C37" i="68" s="1"/>
  <c r="C7" i="71"/>
  <c r="D8" i="71"/>
  <c r="Q69" i="67"/>
  <c r="Q68" i="67" s="1"/>
  <c r="C40" i="67"/>
  <c r="I6" i="6"/>
  <c r="I5" i="6"/>
  <c r="L51" i="67"/>
  <c r="C23" i="81" l="1"/>
  <c r="C29" i="81" s="1"/>
  <c r="C36" i="81" s="1"/>
  <c r="C13" i="15"/>
  <c r="J19" i="15"/>
  <c r="J14" i="15"/>
  <c r="Q49" i="15"/>
  <c r="C36" i="15"/>
  <c r="C57" i="15"/>
  <c r="I70" i="39"/>
  <c r="J68" i="39"/>
  <c r="K63" i="40"/>
  <c r="J65" i="40"/>
  <c r="C38" i="11"/>
  <c r="C35" i="11"/>
  <c r="C35" i="68"/>
  <c r="C38" i="68"/>
  <c r="R27" i="6"/>
  <c r="R6" i="1"/>
  <c r="C45" i="67"/>
  <c r="C46" i="67" s="1"/>
  <c r="C20" i="69"/>
  <c r="C25" i="69" s="1"/>
  <c r="C22" i="69" s="1"/>
  <c r="Q67" i="67"/>
  <c r="L57" i="67"/>
  <c r="L60" i="67" s="1"/>
  <c r="C6" i="71"/>
  <c r="D7" i="71"/>
  <c r="C24" i="68"/>
  <c r="Q47" i="67"/>
  <c r="Q53" i="67" s="1"/>
  <c r="C43" i="67"/>
  <c r="Q65" i="67"/>
  <c r="Q56" i="67"/>
  <c r="D2" i="67"/>
  <c r="C83" i="67"/>
  <c r="C82" i="67" s="1"/>
  <c r="C42" i="69"/>
  <c r="C39" i="69"/>
  <c r="C43" i="69" s="1"/>
  <c r="M21" i="15"/>
  <c r="M21" i="81"/>
  <c r="F35" i="81"/>
  <c r="F35" i="15"/>
  <c r="J19" i="81" l="1"/>
  <c r="C57" i="81"/>
  <c r="C61" i="81" s="1"/>
  <c r="Q49" i="81"/>
  <c r="C13" i="81"/>
  <c r="C56" i="81" s="1"/>
  <c r="C65" i="81" s="1"/>
  <c r="J14" i="81"/>
  <c r="J22" i="81" s="1"/>
  <c r="C64" i="15"/>
  <c r="C61" i="15"/>
  <c r="C64" i="81"/>
  <c r="J22" i="15"/>
  <c r="J13" i="15"/>
  <c r="J23" i="15" s="1"/>
  <c r="Q70" i="15"/>
  <c r="C56" i="15"/>
  <c r="C65" i="15" s="1"/>
  <c r="C75" i="15"/>
  <c r="C37" i="15"/>
  <c r="J20" i="81"/>
  <c r="C34" i="81"/>
  <c r="C31" i="81" s="1"/>
  <c r="F63" i="81"/>
  <c r="C62" i="81" s="1"/>
  <c r="L63" i="40"/>
  <c r="K65" i="40"/>
  <c r="J70" i="39"/>
  <c r="K68" i="39"/>
  <c r="C33" i="68"/>
  <c r="C42" i="68" s="1"/>
  <c r="C33" i="11"/>
  <c r="C39" i="11" s="1"/>
  <c r="C43" i="11" s="1"/>
  <c r="J20" i="15"/>
  <c r="J17" i="15" s="1"/>
  <c r="C34" i="15"/>
  <c r="C31" i="15" s="1"/>
  <c r="F63" i="15"/>
  <c r="C62" i="15" s="1"/>
  <c r="R16" i="1"/>
  <c r="C41" i="69"/>
  <c r="C46" i="69"/>
  <c r="C45" i="69" s="1"/>
  <c r="C28" i="69"/>
  <c r="C27" i="69" s="1"/>
  <c r="C31" i="69" s="1"/>
  <c r="B3" i="67"/>
  <c r="B2" i="67"/>
  <c r="C5" i="71"/>
  <c r="D6" i="71"/>
  <c r="Q57" i="67"/>
  <c r="Q62" i="67" s="1"/>
  <c r="Q66" i="67"/>
  <c r="Q75" i="67" s="1"/>
  <c r="C30" i="15" l="1"/>
  <c r="C39" i="15" s="1"/>
  <c r="C40" i="15" s="1"/>
  <c r="C37" i="81"/>
  <c r="C59" i="15"/>
  <c r="C58" i="15" s="1"/>
  <c r="C67" i="15" s="1"/>
  <c r="C68" i="15" s="1"/>
  <c r="C71" i="15" s="1"/>
  <c r="J13" i="81"/>
  <c r="J23" i="81" s="1"/>
  <c r="J17" i="81"/>
  <c r="C75" i="81"/>
  <c r="C59" i="81"/>
  <c r="C58" i="81" s="1"/>
  <c r="C67" i="81" s="1"/>
  <c r="C68" i="81" s="1"/>
  <c r="C71" i="81" s="1"/>
  <c r="Q70" i="81"/>
  <c r="J16" i="15"/>
  <c r="J25" i="15" s="1"/>
  <c r="C30" i="81"/>
  <c r="C39" i="81" s="1"/>
  <c r="Q69" i="81" s="1"/>
  <c r="Q68" i="81" s="1"/>
  <c r="K70" i="39"/>
  <c r="L68" i="39"/>
  <c r="M63" i="40"/>
  <c r="L65" i="40"/>
  <c r="C42" i="11"/>
  <c r="C41" i="11" s="1"/>
  <c r="C39" i="68"/>
  <c r="C43" i="68" s="1"/>
  <c r="C41" i="68" s="1"/>
  <c r="C46" i="11"/>
  <c r="C45" i="11" s="1"/>
  <c r="C49" i="69"/>
  <c r="C51" i="69" s="1"/>
  <c r="C52" i="69" s="1"/>
  <c r="B2" i="69" s="1"/>
  <c r="B3" i="69" s="1"/>
  <c r="L57" i="15"/>
  <c r="L60" i="15" s="1"/>
  <c r="D5" i="71"/>
  <c r="M20" i="43"/>
  <c r="L51" i="15"/>
  <c r="L51" i="81"/>
  <c r="C80" i="15" l="1"/>
  <c r="C79" i="15" s="1"/>
  <c r="Q69" i="15"/>
  <c r="Q68" i="15" s="1"/>
  <c r="Q67" i="15"/>
  <c r="J16" i="81"/>
  <c r="J25" i="81" s="1"/>
  <c r="C40" i="81"/>
  <c r="C46" i="81" s="1"/>
  <c r="C80" i="81"/>
  <c r="C79" i="81" s="1"/>
  <c r="Q67" i="81"/>
  <c r="M65" i="40"/>
  <c r="N63" i="40"/>
  <c r="L70" i="39"/>
  <c r="M68" i="39"/>
  <c r="C49" i="11"/>
  <c r="C51" i="11" s="1"/>
  <c r="C52" i="11" s="1"/>
  <c r="B2" i="11" s="1"/>
  <c r="B3" i="11" s="1"/>
  <c r="C46" i="68"/>
  <c r="C45" i="68" s="1"/>
  <c r="C49" i="68" s="1"/>
  <c r="C51" i="68" s="1"/>
  <c r="C43" i="15"/>
  <c r="C83" i="15"/>
  <c r="C82" i="15" s="1"/>
  <c r="C46" i="15"/>
  <c r="Q56" i="15"/>
  <c r="Q47" i="15"/>
  <c r="Q53" i="15" s="1"/>
  <c r="Q65" i="15"/>
  <c r="B2" i="15"/>
  <c r="C8" i="12" s="1"/>
  <c r="Q66" i="15"/>
  <c r="Q57" i="15"/>
  <c r="C57" i="69"/>
  <c r="C56" i="69" s="1"/>
  <c r="AO6" i="1"/>
  <c r="Q65" i="81" l="1"/>
  <c r="Q75" i="81" s="1"/>
  <c r="Q56" i="81"/>
  <c r="Q62" i="81" s="1"/>
  <c r="Q47" i="81"/>
  <c r="Q53" i="81" s="1"/>
  <c r="C83" i="81"/>
  <c r="C82" i="81" s="1"/>
  <c r="C43" i="81"/>
  <c r="B2" i="81"/>
  <c r="N68" i="39"/>
  <c r="M70" i="39"/>
  <c r="N65" i="40"/>
  <c r="O63" i="40"/>
  <c r="O65" i="40" s="1"/>
  <c r="C56" i="11"/>
  <c r="C57" i="11" s="1"/>
  <c r="Q62" i="15"/>
  <c r="B6" i="70"/>
  <c r="Q75" i="15"/>
  <c r="B3" i="15"/>
  <c r="C6" i="12" s="1"/>
  <c r="AO7" i="1"/>
  <c r="B7" i="70" l="1"/>
  <c r="B2" i="70" s="1"/>
  <c r="B3" i="70" s="1"/>
  <c r="D8" i="12"/>
  <c r="C4" i="12" s="1"/>
  <c r="B3" i="81"/>
  <c r="D6" i="12" s="1"/>
  <c r="H7" i="40"/>
  <c r="J7" i="40"/>
  <c r="F7" i="40"/>
  <c r="N70" i="39"/>
  <c r="O68" i="39"/>
  <c r="O70" i="39" s="1"/>
  <c r="C31" i="12" l="1"/>
  <c r="C23" i="12"/>
  <c r="J7" i="39"/>
  <c r="H7" i="39"/>
  <c r="F7" i="39"/>
  <c r="S7" i="40"/>
  <c r="AA7" i="40"/>
  <c r="R42" i="40" s="1"/>
  <c r="AC7" i="40"/>
  <c r="V42" i="40" s="1"/>
  <c r="I42" i="40" s="1"/>
  <c r="I46" i="40" s="1"/>
  <c r="J46" i="40" s="1"/>
  <c r="W7" i="40"/>
  <c r="AB7" i="40"/>
  <c r="T42" i="40" s="1"/>
  <c r="G42" i="40" s="1"/>
  <c r="U7" i="40"/>
  <c r="C30" i="12" l="1"/>
  <c r="C28" i="12" s="1"/>
  <c r="C27" i="12"/>
  <c r="C25" i="12" s="1"/>
  <c r="E42" i="40"/>
  <c r="R43" i="40"/>
  <c r="G47" i="40"/>
  <c r="H47" i="40" s="1"/>
  <c r="G46" i="40"/>
  <c r="H46" i="40" s="1"/>
  <c r="AA7" i="39"/>
  <c r="R47" i="39" s="1"/>
  <c r="S7" i="39"/>
  <c r="U7" i="39"/>
  <c r="AB7" i="39"/>
  <c r="T47" i="39" s="1"/>
  <c r="G47" i="39" s="1"/>
  <c r="W7" i="39"/>
  <c r="AC7" i="39"/>
  <c r="V47" i="39" s="1"/>
  <c r="I47" i="39" s="1"/>
  <c r="I51" i="39" s="1"/>
  <c r="J51" i="39" s="1"/>
  <c r="C32" i="12" l="1"/>
  <c r="B2" i="12" s="1"/>
  <c r="G51" i="39"/>
  <c r="H51" i="39" s="1"/>
  <c r="G52" i="39"/>
  <c r="H52" i="39" s="1"/>
  <c r="C42" i="40"/>
  <c r="C43" i="40"/>
  <c r="E47" i="39"/>
  <c r="R48" i="39"/>
  <c r="I47" i="40"/>
  <c r="J47" i="40" s="1"/>
  <c r="E47" i="40"/>
  <c r="F47" i="40" s="1"/>
  <c r="E46" i="40"/>
  <c r="F46" i="40" s="1"/>
  <c r="D19" i="9"/>
  <c r="D21" i="9" l="1"/>
  <c r="D102" i="9"/>
  <c r="B3" i="12"/>
  <c r="B58" i="40"/>
  <c r="F58" i="40" s="1"/>
  <c r="B52" i="40"/>
  <c r="F52" i="40" s="1"/>
  <c r="B56" i="40"/>
  <c r="F56" i="40" s="1"/>
  <c r="B59" i="40"/>
  <c r="F59" i="40" s="1"/>
  <c r="B55" i="40"/>
  <c r="F55" i="40" s="1"/>
  <c r="B57" i="40"/>
  <c r="F57" i="40" s="1"/>
  <c r="F61" i="40"/>
  <c r="B2" i="40" s="1"/>
  <c r="B3" i="40" s="1"/>
  <c r="B54" i="40"/>
  <c r="F54" i="40" s="1"/>
  <c r="B53" i="40"/>
  <c r="F53" i="40" s="1"/>
  <c r="B60" i="40"/>
  <c r="F60" i="40" s="1"/>
  <c r="B51" i="40"/>
  <c r="F51" i="40" s="1"/>
  <c r="C47" i="39"/>
  <c r="C48" i="39"/>
  <c r="I52" i="39"/>
  <c r="J52" i="39" s="1"/>
  <c r="E51" i="39"/>
  <c r="F51" i="39" s="1"/>
  <c r="E52" i="39"/>
  <c r="F52" i="39" s="1"/>
  <c r="D20" i="9"/>
  <c r="D103" i="9" l="1"/>
  <c r="B59" i="39"/>
  <c r="F59" i="39" s="1"/>
  <c r="B64" i="39"/>
  <c r="F64" i="39" s="1"/>
  <c r="B56" i="39"/>
  <c r="F56" i="39" s="1"/>
  <c r="B58" i="39"/>
  <c r="F58" i="39" s="1"/>
  <c r="B65" i="39"/>
  <c r="F65" i="39" s="1"/>
  <c r="B63" i="39"/>
  <c r="F63" i="39" s="1"/>
  <c r="B57" i="39"/>
  <c r="F57" i="39" s="1"/>
  <c r="B62" i="39"/>
  <c r="F62" i="39" s="1"/>
  <c r="B61" i="39"/>
  <c r="F61" i="39" s="1"/>
  <c r="B60" i="39"/>
  <c r="F60" i="39" s="1"/>
  <c r="F66" i="39" l="1"/>
  <c r="B2" i="39" s="1"/>
  <c r="B3" i="39" l="1"/>
  <c r="C6" i="68"/>
  <c r="C7" i="68" s="1"/>
  <c r="C5" i="68" s="1"/>
  <c r="C23" i="68" l="1"/>
  <c r="C20" i="68"/>
  <c r="C25" i="68" s="1"/>
  <c r="C28" i="68" l="1"/>
  <c r="C27" i="68" s="1"/>
  <c r="C22" i="68"/>
  <c r="C31" i="68" l="1"/>
  <c r="C52" i="68" s="1"/>
  <c r="C57" i="68" s="1"/>
  <c r="C56" i="68" s="1"/>
  <c r="B2" i="68" l="1"/>
  <c r="C19" i="9"/>
  <c r="C102" i="9" l="1"/>
  <c r="C21" i="9"/>
  <c r="G19" i="9"/>
  <c r="C32" i="9" s="1"/>
  <c r="D22" i="9"/>
  <c r="B3" i="68"/>
  <c r="D34" i="9"/>
  <c r="D35" i="9"/>
  <c r="C20" i="9"/>
  <c r="G21" i="9" l="1"/>
  <c r="C103" i="9"/>
  <c r="G20" i="9"/>
  <c r="C35" i="9"/>
  <c r="F118" i="9" s="1"/>
  <c r="H118" i="9"/>
  <c r="C34" i="9" l="1"/>
  <c r="D118" i="9" s="1"/>
  <c r="D119" i="9" s="1"/>
  <c r="D5" i="52" s="1"/>
  <c r="B49" i="72" s="1"/>
  <c r="I118" i="9"/>
  <c r="H4" i="52"/>
  <c r="H101" i="9"/>
  <c r="H119" i="9"/>
  <c r="H5" i="52" s="1"/>
  <c r="C104" i="9"/>
  <c r="D14" i="74"/>
  <c r="F4" i="52"/>
  <c r="B51" i="72" s="1"/>
  <c r="G118" i="9"/>
  <c r="G4" i="52" s="1"/>
  <c r="B52" i="72" s="1"/>
  <c r="F119" i="9"/>
  <c r="F5" i="52" s="1"/>
  <c r="B53" i="72" s="1"/>
  <c r="D4" i="52" l="1"/>
  <c r="B47" i="72" s="1"/>
  <c r="H107" i="9"/>
  <c r="M48" i="9"/>
  <c r="D5" i="53"/>
  <c r="D45" i="9"/>
  <c r="E14" i="74"/>
  <c r="B5" i="74"/>
  <c r="F14" i="74"/>
  <c r="I4" i="52"/>
  <c r="H102" i="9"/>
  <c r="D7" i="53" s="1"/>
  <c r="B21" i="72" s="1"/>
  <c r="C105" i="9"/>
  <c r="E118" i="9"/>
  <c r="E4" i="52" s="1"/>
  <c r="B48" i="72" s="1"/>
  <c r="D6" i="53" l="1"/>
  <c r="B22" i="72" s="1"/>
  <c r="B20" i="72"/>
  <c r="D5" i="74"/>
  <c r="C5" i="74"/>
  <c r="D53" i="9"/>
  <c r="C85" i="9"/>
  <c r="C93" i="9"/>
  <c r="C86" i="9" s="1"/>
  <c r="C72" i="9"/>
  <c r="D55" i="9"/>
  <c r="M53" i="9" s="1"/>
  <c r="C64" i="9"/>
  <c r="C63" i="9" s="1"/>
  <c r="C67" i="9" s="1"/>
  <c r="C68" i="9" s="1"/>
  <c r="D54" i="9" s="1"/>
  <c r="C78" i="9"/>
  <c r="C73" i="9" s="1"/>
  <c r="D52" i="9"/>
  <c r="H108" i="9"/>
  <c r="D15" i="53" s="1"/>
  <c r="B31" i="72" s="1"/>
  <c r="D13" i="53"/>
  <c r="D122" i="9"/>
  <c r="C79" i="9" l="1"/>
  <c r="C80" i="9" s="1"/>
  <c r="E80" i="9" s="1"/>
  <c r="E81" i="9" s="1"/>
  <c r="C95" i="9"/>
  <c r="C96" i="9" s="1"/>
  <c r="D14" i="53"/>
  <c r="B32" i="72" s="1"/>
  <c r="B30" i="72"/>
  <c r="D123" i="9"/>
  <c r="D9" i="52" s="1"/>
  <c r="D8" i="52"/>
  <c r="G14" i="74"/>
  <c r="B6" i="74" s="1"/>
  <c r="E96" i="9" l="1"/>
  <c r="E97" i="9" s="1"/>
  <c r="C97" i="9"/>
  <c r="D58" i="9" s="1"/>
  <c r="D56" i="9" s="1"/>
  <c r="M54" i="9" s="1"/>
  <c r="N57" i="9" s="1"/>
  <c r="N59" i="9" s="1"/>
  <c r="C81" i="9"/>
  <c r="C6" i="74"/>
  <c r="D6" i="74"/>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<sst xmlns="http://schemas.openxmlformats.org/spreadsheetml/2006/main" count="9517" uniqueCount="3577">
  <si>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</si>
  <si>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</si>
  <si>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</si>
  <si>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</si>
  <si>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</si>
  <si>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</si>
  <si>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</si>
  <si>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</si>
  <si>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</si>
  <si>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</si>
  <si>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</si>
  <si>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</si>
  <si>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</si>
  <si>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</si>
  <si>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</si>
  <si>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</si>
  <si>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</si>
  <si>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</si>
  <si>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</si>
  <si>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</si>
  <si>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</si>
  <si>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</si>
  <si>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</si>
  <si>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</si>
  <si>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</si>
  <si>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</si>
  <si>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</si>
  <si>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</si>
  <si>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</si>
  <si>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</si>
  <si>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</si>
  <si>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</si>
  <si>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</si>
  <si>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</si>
  <si>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</si>
  <si>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</si>
  <si>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</si>
  <si>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</si>
  <si>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</si>
  <si>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</si>
  <si>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</si>
  <si>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</si>
  <si>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</si>
  <si>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</si>
  <si>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</si>
  <si>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</si>
  <si>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</si>
  <si>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</si>
  <si>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</si>
  <si>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</si>
  <si>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</si>
  <si>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</si>
  <si>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</si>
  <si>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</si>
  <si>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</si>
  <si>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</si>
  <si>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</si>
  <si>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</si>
  <si>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</si>
  <si>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</si>
  <si>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</si>
  <si>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</si>
  <si>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</si>
  <si>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</si>
  <si>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</si>
  <si>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</si>
  <si>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</si>
  <si>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</si>
  <si>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</si>
  <si>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</si>
  <si>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</si>
  <si>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</si>
  <si>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</si>
  <si>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</si>
  <si>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</si>
  <si>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</si>
  <si>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</si>
  <si>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</si>
  <si>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</si>
  <si>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</si>
  <si>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</si>
  <si>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</si>
  <si>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</si>
  <si>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</si>
  <si>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</si>
  <si>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</si>
  <si>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</si>
  <si>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</si>
  <si>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</si>
  <si>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</si>
  <si>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</si>
  <si>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</si>
  <si>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</si>
  <si>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</si>
  <si>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</si>
  <si>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</si>
  <si>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</si>
  <si>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</si>
  <si>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</si>
  <si>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</si>
  <si>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</si>
  <si>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</si>
  <si>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</si>
  <si>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</si>
  <si>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</si>
  <si>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</si>
  <si>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</si>
  <si>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</si>
  <si>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</si>
  <si>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</si>
  <si>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</si>
  <si>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</si>
  <si>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</si>
  <si>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</si>
  <si>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</si>
  <si>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</si>
  <si>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</si>
  <si>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</si>
  <si>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</si>
  <si>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</si>
  <si>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</si>
  <si>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</si>
  <si>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</si>
  <si>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</si>
  <si>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</si>
  <si>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</si>
  <si>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</si>
  <si>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</si>
  <si>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</si>
  <si>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</si>
  <si>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</si>
  <si>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</si>
  <si>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</si>
  <si>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</si>
  <si>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</si>
  <si>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</si>
  <si>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</si>
  <si>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</si>
  <si>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</si>
  <si>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</si>
  <si>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</si>
  <si>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</si>
  <si>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</si>
  <si>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</si>
  <si>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</si>
  <si>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</si>
  <si>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</si>
  <si>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</si>
  <si>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</si>
  <si>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</si>
  <si>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</si>
  <si>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</si>
  <si>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</si>
  <si>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</si>
  <si>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</si>
  <si>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</si>
  <si>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</si>
  <si>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</si>
  <si>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</si>
  <si>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</si>
  <si>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</si>
  <si>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</si>
  <si>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</si>
  <si>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</si>
  <si>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</si>
  <si>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</si>
  <si>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</si>
  <si>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</si>
  <si>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</si>
  <si>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</si>
  <si>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</si>
  <si>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</si>
  <si>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</si>
  <si>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</si>
  <si>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</si>
  <si>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</si>
  <si>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</si>
  <si>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</si>
  <si>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</si>
  <si>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</si>
  <si>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</si>
  <si>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</si>
  <si>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</si>
  <si>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</si>
  <si>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</si>
  <si>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</si>
  <si>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</si>
  <si>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</si>
  <si>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</si>
  <si>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</si>
  <si>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</si>
  <si>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</si>
  <si>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</si>
  <si>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</si>
  <si>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</si>
  <si>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</si>
  <si>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</si>
  <si>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</si>
  <si>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</si>
  <si>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</si>
  <si>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</si>
  <si>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</si>
  <si>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</si>
  <si>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</si>
  <si>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</si>
  <si>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</si>
  <si>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</si>
  <si>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</si>
  <si>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</si>
  <si>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</si>
  <si>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</si>
  <si>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</si>
  <si>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</si>
  <si>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</si>
  <si>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</si>
  <si>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</si>
  <si>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</si>
  <si>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</si>
  <si>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</si>
  <si>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</si>
  <si>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</si>
  <si>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</si>
  <si>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</si>
  <si>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</si>
  <si>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</si>
  <si>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</si>
  <si>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</si>
  <si>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</si>
  <si>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</si>
  <si>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</si>
  <si>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</si>
  <si>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</si>
  <si>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</si>
  <si>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</si>
  <si>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</si>
  <si>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</si>
  <si>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</si>
  <si>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</si>
  <si>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</si>
  <si>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</si>
  <si>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</si>
  <si>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</si>
  <si>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</si>
  <si>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</si>
  <si>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</si>
  <si>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</si>
  <si>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</si>
  <si>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</si>
  <si>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</si>
  <si>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</si>
  <si>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</si>
  <si>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</si>
  <si>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</si>
  <si>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</si>
  <si>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</si>
  <si>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</si>
  <si>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</si>
  <si>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</si>
  <si>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</si>
  <si>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</si>
  <si>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</si>
  <si>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</si>
  <si>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</si>
  <si>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</si>
  <si>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</si>
  <si>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</si>
  <si>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</si>
  <si>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</si>
  <si>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</si>
  <si>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</si>
  <si>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</si>
  <si>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</si>
  <si>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</si>
  <si>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</si>
  <si>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</si>
  <si>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</si>
  <si>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</si>
  <si>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</si>
  <si>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</si>
  <si>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</si>
  <si>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</si>
  <si>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</si>
  <si>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</si>
  <si>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</si>
  <si>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</si>
  <si>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</si>
  <si>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</si>
  <si>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</si>
  <si>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</si>
  <si>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</si>
  <si>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</si>
  <si>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</si>
  <si>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</si>
  <si>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</si>
  <si>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</si>
  <si>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</si>
  <si>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</si>
  <si>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</si>
  <si>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</si>
  <si>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</si>
  <si>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</si>
  <si>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</si>
  <si>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</si>
  <si>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</si>
  <si>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</si>
  <si>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</si>
  <si>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</si>
  <si>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</si>
  <si>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</si>
  <si>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</si>
  <si>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</si>
  <si>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</si>
  <si>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</si>
  <si>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</si>
  <si>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</si>
  <si>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</si>
  <si>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</si>
  <si>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</si>
  <si>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</si>
  <si>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</si>
  <si>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</si>
  <si>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</si>
  <si>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</si>
  <si>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</si>
  <si>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</si>
  <si>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</si>
  <si>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</si>
  <si>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</si>
  <si>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</si>
  <si>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</si>
  <si>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</si>
  <si>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</si>
  <si>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</si>
  <si>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</si>
  <si>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</si>
  <si>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</si>
  <si>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</si>
  <si>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</si>
  <si>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</si>
  <si>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</si>
  <si>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</si>
  <si>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</si>
  <si>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</si>
  <si>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</si>
  <si>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</si>
  <si>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</si>
  <si>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</si>
  <si>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</si>
  <si>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</si>
  <si>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</si>
  <si>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</si>
  <si>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</si>
  <si>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</si>
  <si>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</si>
  <si>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</si>
  <si>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</si>
  <si>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</si>
  <si>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</si>
  <si>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</si>
  <si>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</si>
  <si>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</si>
  <si>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</si>
  <si>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</si>
  <si>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</si>
  <si>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</si>
  <si>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</si>
  <si>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</si>
  <si>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</si>
  <si>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</si>
  <si>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</si>
  <si>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</si>
  <si>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</si>
  <si>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</si>
  <si>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</si>
  <si>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</si>
  <si>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</si>
  <si>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</si>
  <si>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</si>
  <si>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</si>
  <si>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</si>
  <si>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</si>
  <si>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</si>
  <si>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</si>
  <si>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</si>
  <si>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</si>
  <si>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</si>
  <si>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</si>
  <si>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</si>
  <si>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</si>
  <si>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</si>
  <si>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</si>
  <si>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</si>
  <si>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</si>
  <si>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</si>
  <si>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</si>
  <si>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</si>
  <si>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</si>
  <si>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</si>
  <si>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</si>
  <si>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</si>
  <si>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</si>
  <si>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</si>
  <si>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</si>
  <si>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</si>
  <si>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</si>
  <si>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</si>
  <si>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</si>
  <si>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</si>
  <si>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</si>
  <si>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</si>
  <si>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</si>
  <si>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</si>
  <si>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</si>
  <si>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</si>
  <si>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</si>
  <si>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</si>
  <si>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</si>
  <si>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</si>
  <si>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</si>
  <si>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</si>
  <si>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</si>
  <si>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</si>
  <si>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</si>
  <si>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</si>
  <si>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</si>
  <si>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</si>
  <si>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</si>
  <si>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</si>
  <si>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</si>
  <si>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</si>
  <si>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</si>
  <si>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</si>
  <si>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</si>
  <si>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</si>
  <si>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</si>
  <si>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</si>
  <si>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</si>
  <si>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</si>
  <si>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</si>
  <si>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</si>
  <si>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</si>
  <si>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</si>
  <si>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</si>
  <si>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</si>
  <si>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</si>
  <si>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</si>
  <si>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</si>
  <si>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</si>
  <si>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</si>
  <si>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</si>
  <si>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</si>
  <si>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</si>
  <si>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</si>
  <si>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</si>
  <si>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</si>
  <si>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</si>
  <si>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</si>
  <si>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</si>
  <si>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</si>
  <si>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</si>
  <si>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</si>
  <si>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</si>
  <si>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</si>
  <si>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</si>
  <si>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</si>
  <si>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</si>
  <si>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</si>
  <si>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</si>
  <si>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</si>
  <si>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</si>
  <si>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</si>
  <si>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</si>
  <si>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</si>
  <si>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</si>
  <si>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</si>
  <si>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</si>
  <si>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</si>
  <si>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</si>
  <si>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</si>
  <si>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</si>
  <si>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</si>
  <si>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</si>
  <si>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</si>
  <si>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</si>
  <si>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</si>
  <si>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</si>
  <si>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</si>
  <si>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</si>
  <si>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</si>
  <si>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</si>
  <si>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</si>
  <si>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</si>
  <si>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</si>
  <si>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</si>
  <si>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</si>
  <si>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</si>
  <si>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</si>
  <si>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</si>
  <si>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</si>
  <si>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</si>
  <si>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</si>
  <si>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</si>
  <si>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</si>
  <si>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</si>
  <si>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</si>
  <si>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</si>
  <si>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</si>
  <si>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</si>
  <si>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</si>
  <si>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</si>
  <si>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</si>
  <si>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</si>
  <si>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</si>
  <si>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</si>
  <si>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</si>
  <si>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</si>
  <si>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</si>
  <si>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</si>
  <si>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</si>
  <si>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</si>
  <si>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</si>
  <si>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</si>
  <si>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</si>
  <si>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</si>
  <si>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</si>
  <si>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</si>
  <si>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</si>
  <si>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</si>
  <si>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</si>
  <si>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</si>
  <si>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</si>
  <si>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</si>
  <si>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</si>
  <si>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</si>
  <si>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</si>
  <si>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</si>
  <si>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</si>
  <si>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</si>
  <si>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</si>
  <si>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</si>
  <si>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</si>
  <si>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</si>
  <si>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</si>
  <si>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</si>
  <si>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</si>
  <si>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</si>
  <si>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</si>
  <si>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</si>
  <si>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</si>
  <si>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</si>
  <si>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</si>
  <si>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</si>
  <si>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</si>
  <si>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</si>
  <si>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</si>
  <si>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</si>
  <si>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</si>
  <si>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</si>
  <si>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</si>
  <si>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</si>
  <si>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</si>
  <si>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</si>
  <si>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</si>
  <si>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</si>
  <si>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</si>
  <si>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</si>
  <si>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</si>
  <si>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</si>
  <si>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</si>
  <si>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</si>
  <si>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</si>
  <si>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</si>
  <si>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</si>
  <si>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</si>
  <si>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</si>
  <si>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</si>
  <si>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</si>
  <si>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</si>
  <si>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</si>
  <si>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</si>
  <si>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</si>
  <si>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</si>
  <si>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</si>
  <si>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</si>
  <si>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</si>
  <si>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</si>
  <si>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</si>
  <si>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</si>
  <si>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</si>
  <si>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</si>
  <si>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</si>
  <si>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</si>
  <si>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</si>
  <si>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</si>
  <si>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</si>
  <si>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</si>
  <si>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</si>
  <si>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</si>
  <si>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</si>
  <si>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</si>
  <si>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</si>
  <si>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</si>
  <si>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</si>
  <si>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</si>
  <si>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</si>
  <si>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</si>
  <si>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</si>
  <si>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</si>
  <si>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</si>
  <si>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</si>
  <si>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</si>
  <si>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</si>
  <si>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</si>
  <si>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</si>
  <si>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</si>
  <si>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</si>
  <si>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</si>
  <si>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</si>
  <si>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</si>
  <si>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</si>
  <si>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</si>
  <si>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</si>
  <si>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</si>
  <si>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</si>
  <si>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</si>
  <si>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</si>
  <si>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</si>
  <si>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</si>
  <si>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</si>
  <si>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</si>
  <si>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</si>
  <si>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</si>
  <si>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</si>
  <si>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</si>
  <si>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</si>
  <si>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</si>
  <si>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</si>
  <si>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</si>
  <si>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</si>
  <si>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</si>
  <si>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</si>
  <si>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</si>
  <si>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</si>
  <si>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</si>
  <si>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</si>
  <si>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</si>
  <si>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</si>
  <si>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</si>
  <si>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</si>
  <si>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</si>
  <si>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</si>
  <si>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</si>
  <si>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</si>
  <si>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</si>
  <si>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</si>
  <si>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</si>
  <si>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</si>
  <si>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</si>
  <si>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</si>
  <si>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</si>
  <si>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</si>
  <si>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</si>
  <si>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</si>
  <si>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</si>
  <si>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</si>
  <si>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</si>
  <si>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</si>
  <si>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</si>
  <si>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</si>
  <si>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</si>
  <si>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</si>
  <si>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</si>
  <si>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</si>
  <si>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</si>
  <si>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</si>
  <si>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</si>
  <si>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</si>
  <si>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</si>
  <si>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</si>
  <si>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</si>
  <si>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</si>
  <si>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</si>
  <si>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</si>
  <si>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</si>
  <si>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</si>
  <si>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</si>
  <si>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</si>
  <si>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</si>
  <si>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</si>
  <si>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</si>
  <si>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</si>
  <si>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</si>
  <si>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</si>
  <si>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</si>
  <si>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</si>
  <si>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</si>
  <si>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</si>
  <si>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</si>
  <si>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</si>
  <si>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</si>
  <si>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</si>
  <si>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</si>
  <si>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</si>
  <si>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</si>
  <si>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</si>
  <si>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</si>
  <si>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</si>
  <si>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</si>
  <si>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</si>
  <si>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</si>
  <si>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</si>
  <si>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</si>
  <si>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</si>
  <si>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</si>
  <si>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</si>
  <si>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</si>
  <si>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</si>
  <si>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</si>
  <si>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</si>
  <si>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</si>
  <si>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</si>
  <si>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</si>
  <si>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</si>
  <si>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</si>
  <si>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</si>
  <si>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</si>
  <si>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</si>
  <si>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</si>
  <si>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</si>
  <si>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</si>
  <si>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</si>
  <si>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</si>
  <si>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</si>
  <si>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</si>
  <si>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</si>
  <si>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</si>
  <si>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</si>
  <si>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</si>
  <si>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</si>
  <si>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</si>
  <si>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</si>
  <si>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</si>
  <si>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</si>
  <si>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</si>
  <si>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</si>
  <si>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</si>
  <si>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</si>
  <si>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</si>
  <si>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</si>
  <si>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</si>
  <si>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</si>
  <si>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</si>
  <si>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</si>
  <si>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</si>
  <si>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</si>
  <si>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</si>
  <si>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</si>
  <si>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</si>
  <si>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</si>
  <si>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</si>
  <si>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</si>
  <si>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</si>
  <si>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</si>
  <si>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</si>
  <si>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</si>
  <si>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</si>
  <si>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</si>
  <si>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</si>
  <si>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</si>
  <si>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</si>
  <si>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</si>
  <si>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</si>
  <si>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</si>
  <si>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</si>
  <si>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</si>
  <si>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</si>
  <si>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</si>
  <si>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</si>
  <si>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</si>
  <si>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</si>
  <si>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</si>
  <si>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</si>
  <si>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</si>
  <si>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</si>
  <si>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</si>
  <si>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</si>
  <si>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</si>
  <si>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</si>
  <si>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</si>
  <si>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</si>
  <si>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</si>
  <si>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</si>
  <si>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</si>
  <si>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</si>
  <si>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</si>
  <si>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</si>
  <si>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</si>
  <si>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</si>
  <si>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</si>
  <si>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</si>
  <si>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</si>
  <si>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</si>
  <si>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</si>
  <si>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</si>
  <si>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</si>
  <si>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</si>
  <si>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</si>
  <si>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</si>
  <si>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</si>
  <si>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</si>
  <si>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</si>
  <si>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</si>
  <si>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</si>
  <si>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</si>
  <si>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</si>
  <si>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</si>
  <si>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</si>
  <si>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</si>
  <si>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</si>
  <si>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</si>
  <si>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</si>
  <si>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</si>
  <si>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</si>
  <si>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</si>
  <si>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</si>
  <si>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</si>
  <si>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</si>
  <si>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</si>
  <si>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</si>
  <si>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</si>
  <si>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</si>
  <si>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</si>
  <si>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</si>
  <si>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</si>
  <si>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</si>
  <si>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</si>
  <si>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</si>
  <si>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</si>
  <si>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</si>
  <si>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</si>
  <si>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</si>
  <si>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</si>
  <si>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</si>
  <si>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</si>
  <si>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</si>
  <si>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</si>
  <si>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</si>
  <si>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</si>
  <si>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</si>
  <si>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</si>
  <si>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</si>
  <si>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</si>
  <si>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</si>
  <si>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</si>
  <si>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</si>
  <si>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</si>
  <si>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</si>
  <si>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</si>
  <si>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</si>
  <si>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</si>
  <si>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</si>
  <si>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</si>
  <si>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</si>
  <si>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</si>
  <si>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</si>
  <si>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</si>
  <si>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</si>
  <si>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</si>
  <si>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</si>
  <si>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</si>
  <si>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</si>
  <si>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</si>
  <si>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</si>
  <si>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</si>
  <si>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</si>
  <si>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</si>
  <si>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</si>
  <si>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</si>
  <si>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</si>
  <si>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</si>
  <si>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</si>
  <si>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</si>
  <si>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</si>
  <si>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</si>
  <si>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</si>
  <si>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</si>
  <si>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</si>
  <si>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</si>
  <si>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</si>
  <si>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</si>
  <si>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</si>
  <si>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</si>
  <si>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</si>
  <si>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</si>
  <si>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</si>
  <si>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</si>
  <si>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</si>
  <si>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</si>
  <si>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</si>
  <si>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</si>
  <si>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</si>
  <si>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</si>
  <si>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</si>
  <si>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</si>
  <si>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</si>
  <si>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</si>
  <si>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</si>
  <si>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</si>
  <si>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</si>
  <si>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</si>
  <si>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</si>
  <si>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</si>
  <si>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</si>
  <si>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</si>
  <si>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</si>
  <si>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</si>
  <si>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</si>
  <si>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</si>
  <si>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</si>
  <si>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</si>
  <si>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</si>
  <si>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</si>
  <si>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</si>
  <si>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</si>
  <si>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</si>
  <si>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</si>
  <si>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</si>
  <si>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</si>
  <si>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</si>
  <si>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</si>
  <si>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</si>
  <si>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</si>
  <si>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</si>
  <si>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</si>
  <si>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</si>
  <si>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</si>
  <si>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</si>
  <si>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</si>
  <si>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</si>
  <si>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</si>
  <si>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</si>
  <si>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</si>
  <si>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</si>
  <si>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</si>
  <si>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</si>
  <si>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</si>
  <si>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</si>
  <si>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</si>
  <si>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</si>
  <si>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</si>
  <si>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</si>
  <si>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</si>
  <si>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</si>
  <si>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</si>
  <si>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</si>
  <si>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</si>
  <si>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</si>
  <si>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</si>
  <si>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</si>
  <si>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</si>
  <si>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</si>
  <si>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</si>
  <si>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</si>
  <si>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</si>
  <si>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</si>
  <si>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</si>
  <si>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</si>
  <si>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</si>
  <si>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</si>
  <si>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</si>
  <si>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</si>
  <si>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</si>
  <si>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</si>
  <si>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</si>
  <si>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</si>
  <si>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</si>
  <si>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</si>
  <si>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</si>
  <si>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</si>
  <si>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</si>
  <si>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</si>
  <si>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</si>
  <si>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</si>
  <si>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</si>
  <si>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</si>
  <si>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</si>
  <si>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</si>
  <si>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</si>
  <si>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</si>
  <si>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</si>
  <si>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</si>
  <si>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</si>
  <si>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</si>
  <si>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</si>
  <si>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</si>
  <si>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</si>
  <si>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</si>
  <si>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</si>
  <si>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</si>
  <si>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</si>
  <si>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</si>
  <si>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</si>
  <si>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</si>
  <si>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</si>
  <si>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</si>
  <si>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</si>
  <si>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</si>
  <si>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</si>
  <si>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</si>
  <si>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</si>
  <si>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</si>
  <si>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</si>
  <si>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</si>
  <si>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</si>
  <si>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</si>
  <si>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</si>
  <si>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</si>
  <si>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</si>
  <si>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</si>
  <si>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</si>
  <si>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</si>
  <si>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</si>
  <si>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</si>
  <si>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</si>
  <si>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</si>
  <si>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</si>
  <si>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</si>
  <si>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</si>
  <si>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</si>
  <si>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</si>
  <si>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</si>
  <si>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</si>
  <si>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</si>
  <si>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</si>
  <si>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</si>
  <si>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</si>
  <si>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</si>
  <si>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</si>
  <si>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</si>
  <si>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</si>
  <si>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</si>
  <si>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</si>
  <si>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</si>
  <si>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</si>
  <si>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</si>
  <si>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</si>
  <si>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</si>
  <si>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</si>
  <si>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</si>
  <si>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</si>
  <si>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</si>
  <si>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</si>
  <si>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</si>
  <si>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</si>
  <si>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</si>
  <si>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</si>
  <si>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</si>
  <si>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</si>
  <si>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</si>
  <si>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</si>
  <si>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</si>
  <si>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</si>
  <si>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</si>
  <si>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</si>
  <si>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</si>
  <si>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</si>
  <si>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</si>
  <si>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</si>
  <si>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</si>
  <si>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</si>
  <si>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</si>
  <si>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</si>
  <si>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</si>
  <si>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</si>
  <si>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</si>
  <si>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</si>
  <si>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</si>
  <si>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</si>
  <si>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</si>
  <si>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</si>
  <si>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</si>
  <si>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</si>
  <si>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</si>
  <si>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</si>
  <si>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</si>
  <si>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</si>
  <si>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</si>
  <si>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</si>
  <si>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</si>
  <si>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</si>
  <si>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</si>
  <si>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</si>
  <si>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</si>
  <si>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</si>
  <si>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</si>
  <si>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</si>
  <si>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</si>
  <si>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</si>
  <si>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</si>
  <si>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</si>
  <si>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</si>
  <si>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</si>
  <si>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</si>
  <si>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</si>
  <si>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</si>
  <si>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</si>
  <si>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</si>
  <si>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</si>
  <si>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</si>
  <si>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</si>
  <si>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</si>
  <si>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</si>
  <si>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</si>
  <si>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</si>
  <si>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</si>
  <si>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</si>
  <si>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</si>
  <si>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</si>
  <si>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</si>
  <si>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</si>
  <si>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</si>
  <si>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</si>
  <si>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</si>
  <si>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</si>
  <si>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</si>
  <si>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</si>
  <si>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</si>
  <si>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</si>
  <si>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</si>
  <si>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</si>
  <si>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</si>
  <si>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</si>
  <si>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</si>
  <si>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</si>
  <si>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</si>
  <si>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</si>
  <si>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</si>
  <si>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</si>
  <si>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</si>
  <si>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</si>
  <si>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</si>
  <si>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</si>
  <si>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</si>
  <si>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</si>
  <si>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</si>
  <si>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</si>
  <si>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</si>
  <si>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</si>
  <si>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</si>
  <si>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</si>
  <si>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</si>
  <si>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</si>
  <si>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</si>
  <si>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</si>
  <si>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</si>
  <si>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</si>
  <si>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</si>
  <si>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</si>
  <si>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</si>
  <si>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</si>
  <si>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</si>
  <si>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</si>
  <si>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</si>
  <si>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</si>
  <si>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</si>
  <si>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</si>
  <si>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</si>
  <si>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</si>
  <si>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</si>
  <si>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</si>
  <si>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</si>
  <si>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</si>
  <si>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</si>
  <si>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</si>
  <si>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</si>
  <si>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</si>
  <si>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</si>
  <si>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</si>
  <si>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</si>
  <si>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</si>
  <si>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</si>
  <si>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</si>
  <si>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</si>
  <si>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</si>
  <si>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</si>
  <si>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</si>
  <si>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</si>
  <si>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</si>
  <si>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</si>
  <si>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</si>
  <si>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</si>
  <si>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</si>
  <si>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</si>
  <si>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</si>
  <si>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</si>
  <si>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</si>
  <si>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</si>
  <si>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</si>
  <si>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</si>
  <si>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</si>
  <si>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</si>
  <si>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</si>
  <si>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</si>
  <si>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</si>
  <si>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</si>
  <si>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</si>
  <si>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</si>
  <si>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</si>
  <si>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</si>
  <si>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</si>
  <si>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</si>
  <si>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</si>
  <si>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</si>
  <si>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</si>
  <si>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</si>
  <si>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</si>
  <si>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</si>
  <si>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</si>
  <si>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</si>
  <si>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</si>
  <si>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</si>
  <si>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</si>
  <si>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</si>
  <si>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</si>
  <si>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</si>
  <si>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</si>
  <si>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</si>
  <si>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</si>
  <si>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</si>
  <si>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</si>
  <si>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</si>
  <si>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</si>
  <si>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</si>
  <si>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</si>
  <si>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</si>
  <si>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</si>
  <si>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</si>
  <si>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</si>
  <si>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</si>
  <si>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</si>
  <si>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</si>
  <si>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</si>
  <si>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</si>
  <si>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</si>
  <si>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</si>
  <si>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</si>
  <si>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</si>
  <si>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</si>
  <si>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</si>
  <si>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</si>
  <si>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</si>
  <si>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</si>
  <si>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</si>
  <si>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</si>
  <si>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</si>
  <si>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</si>
  <si>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</si>
  <si>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</si>
  <si>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</si>
  <si>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</si>
  <si>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</si>
  <si>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</si>
  <si>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</si>
  <si>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</si>
  <si>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</si>
  <si>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</si>
  <si>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</si>
  <si>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</si>
  <si>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</si>
  <si>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</si>
  <si>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</si>
  <si>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</si>
  <si>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</si>
  <si>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</si>
  <si>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</si>
  <si>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</si>
  <si>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</si>
  <si>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</si>
  <si>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</si>
  <si>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</si>
  <si>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</si>
  <si>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</si>
  <si>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</si>
  <si>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</si>
  <si>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</si>
  <si>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</si>
  <si>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</si>
  <si>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</si>
  <si>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</si>
  <si>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</si>
  <si>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</si>
  <si>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</si>
  <si>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</si>
  <si>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</si>
  <si>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</si>
  <si>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</si>
  <si>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</si>
  <si>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</si>
  <si>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</si>
  <si>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</si>
  <si>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</si>
  <si>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</si>
  <si>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</si>
  <si>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</si>
  <si>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</si>
  <si>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</si>
  <si>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</si>
  <si>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</si>
  <si>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</si>
  <si>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</si>
  <si>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</si>
  <si>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</si>
  <si>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</si>
  <si>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</si>
  <si>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</si>
  <si>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</si>
  <si>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</si>
  <si>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</si>
  <si>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</si>
  <si>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</si>
  <si>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</si>
  <si>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</si>
  <si>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</si>
  <si>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</si>
  <si>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</si>
  <si>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</si>
  <si>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</si>
  <si>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</si>
  <si>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</si>
  <si>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</si>
  <si>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</si>
  <si>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</si>
  <si>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</si>
  <si>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</si>
  <si>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</si>
  <si>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</si>
  <si>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</si>
  <si>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</si>
  <si>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</si>
  <si>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</si>
  <si>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</si>
  <si>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</si>
  <si>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</si>
  <si>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</si>
  <si>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</si>
  <si>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</si>
  <si>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</si>
  <si>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</si>
  <si>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</si>
  <si>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</si>
  <si>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</si>
  <si>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</si>
  <si>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</si>
  <si>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</si>
  <si>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</si>
  <si>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</si>
  <si>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</si>
  <si>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</si>
  <si>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</si>
  <si>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</si>
  <si>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</si>
  <si>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</si>
  <si>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</si>
  <si>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</si>
  <si>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</si>
  <si>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</si>
  <si>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</si>
  <si>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</si>
  <si>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</si>
  <si>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</si>
  <si>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</si>
  <si>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</si>
  <si>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</si>
  <si>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</si>
  <si>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</si>
  <si>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</si>
  <si>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</si>
  <si>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</si>
  <si>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</si>
  <si>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</si>
  <si>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</si>
  <si>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</si>
  <si>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</si>
  <si>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</si>
  <si>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</si>
  <si>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</si>
  <si>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</si>
  <si>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</si>
  <si>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</si>
  <si>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</si>
  <si>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</si>
  <si>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</si>
  <si>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</si>
  <si>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</si>
  <si>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</si>
  <si>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</si>
  <si>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</si>
  <si>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</si>
  <si>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</si>
  <si>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</si>
  <si>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</si>
  <si>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</si>
  <si>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</si>
  <si>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</si>
  <si>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</si>
  <si>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</si>
  <si>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</si>
  <si>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</si>
  <si>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</si>
  <si>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</si>
  <si>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</si>
  <si>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</si>
  <si>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</si>
  <si>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</si>
  <si>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</si>
  <si>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</si>
  <si>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</si>
  <si>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</si>
  <si>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</si>
  <si>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</si>
  <si>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</si>
  <si>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</si>
  <si>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</si>
  <si>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</si>
  <si>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</si>
  <si>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</si>
  <si>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</si>
  <si>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</si>
  <si>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</si>
  <si>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</si>
  <si>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</si>
  <si>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</si>
  <si>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</si>
  <si>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</si>
  <si>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</si>
  <si>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</si>
  <si>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</si>
  <si>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</si>
  <si>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</si>
  <si>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</si>
  <si>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</si>
  <si>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</si>
  <si>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</si>
  <si>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</si>
  <si>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</si>
  <si>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</si>
  <si>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</si>
  <si>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</si>
  <si>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</si>
  <si>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</si>
  <si>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</si>
  <si>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</si>
  <si>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</si>
  <si>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</si>
  <si>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</si>
  <si>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</si>
  <si>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</si>
  <si>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</si>
  <si>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</si>
  <si>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</si>
  <si>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</si>
  <si>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</si>
  <si>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</si>
  <si>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</si>
  <si>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</si>
  <si>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</si>
  <si>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</si>
  <si>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</si>
  <si>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</si>
  <si>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</si>
  <si>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</si>
  <si>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</si>
  <si>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</si>
  <si>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</si>
  <si>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</si>
  <si>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</si>
  <si>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</si>
  <si>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</si>
  <si>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</si>
  <si>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</si>
  <si>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</si>
  <si>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</si>
  <si>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</si>
  <si>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</si>
  <si>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</si>
  <si>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</si>
  <si>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</si>
  <si>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</si>
  <si>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</si>
  <si>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</si>
  <si>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</si>
  <si>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</si>
  <si>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</si>
  <si>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</si>
  <si>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</si>
  <si>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</si>
  <si>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</si>
  <si>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</si>
  <si>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</si>
  <si>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</si>
  <si>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</si>
  <si>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</si>
  <si>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</si>
  <si>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</si>
  <si>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</si>
  <si>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</si>
  <si>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</si>
  <si>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</si>
  <si>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</si>
  <si>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</si>
  <si>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</si>
  <si>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</si>
  <si>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</si>
  <si>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</si>
  <si>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</si>
  <si>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</si>
  <si>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</si>
  <si>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</si>
  <si>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</si>
  <si>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</si>
  <si>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</si>
  <si>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</si>
  <si>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</si>
  <si>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</si>
  <si>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</si>
  <si>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</si>
  <si>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</si>
  <si>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</si>
  <si>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</si>
  <si>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</si>
  <si>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</si>
  <si>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</si>
  <si>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</si>
  <si>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</si>
  <si>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</si>
  <si>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</si>
  <si>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</si>
  <si>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</si>
  <si>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</si>
  <si>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</si>
  <si>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</si>
  <si>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</si>
  <si>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</si>
  <si>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</si>
  <si>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</si>
  <si>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</si>
  <si>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</si>
  <si>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</si>
  <si>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</si>
  <si>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</si>
  <si>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</si>
  <si>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</si>
  <si>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</si>
  <si>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</si>
  <si>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</si>
  <si>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</si>
  <si>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</si>
  <si>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</si>
  <si>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</si>
  <si>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</si>
  <si>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</si>
  <si>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</si>
  <si>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</si>
  <si>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</si>
  <si>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</si>
  <si>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</si>
  <si>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</si>
  <si>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</si>
  <si>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</si>
  <si>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</si>
  <si>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</si>
  <si>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</si>
  <si>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</si>
  <si>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</si>
  <si>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</si>
  <si>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</si>
  <si>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</si>
  <si>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</si>
  <si>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</si>
  <si>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</si>
  <si>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</si>
  <si>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</si>
  <si>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</si>
  <si>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</si>
  <si>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</si>
  <si>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</si>
  <si>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</si>
  <si>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</si>
  <si>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</si>
  <si>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</si>
  <si>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</si>
  <si>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</si>
  <si>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</si>
  <si>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</si>
  <si>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</si>
  <si>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</si>
  <si>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</si>
  <si>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</si>
  <si>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</si>
  <si>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</si>
  <si>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</si>
  <si>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</si>
  <si>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</si>
  <si>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</si>
  <si>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</si>
  <si>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</si>
  <si>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</si>
  <si>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</si>
  <si>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</si>
  <si>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</si>
  <si>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</si>
  <si>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</si>
  <si>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</si>
  <si>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</si>
  <si>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</si>
  <si>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</si>
  <si>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</si>
  <si>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</si>
  <si>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</si>
  <si>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</si>
  <si>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</si>
  <si>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</si>
  <si>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</si>
  <si>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</si>
  <si>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</si>
  <si>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</si>
  <si>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</si>
  <si>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</si>
  <si>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</si>
  <si>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</si>
  <si>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</si>
  <si>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</si>
  <si>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</si>
  <si>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</si>
  <si>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</si>
  <si>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</si>
  <si>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</si>
  <si>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</si>
  <si>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</si>
  <si>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</si>
  <si>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</si>
  <si>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</si>
  <si>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</si>
  <si>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</si>
  <si>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</si>
  <si>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</si>
  <si>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</si>
  <si>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</si>
  <si>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</si>
  <si>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</si>
  <si>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</si>
  <si>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</si>
  <si>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</si>
  <si>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</si>
  <si>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</si>
  <si>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</si>
  <si>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</si>
  <si>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</si>
  <si>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</si>
  <si>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</si>
  <si>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</si>
  <si>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</si>
  <si>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</si>
  <si>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</si>
  <si>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</si>
  <si>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</si>
  <si>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</si>
  <si>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</si>
  <si>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</si>
  <si>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</si>
  <si>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</si>
  <si>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</si>
  <si>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</si>
  <si>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</si>
  <si>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</si>
  <si>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</si>
  <si>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</si>
  <si>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</si>
  <si>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</si>
  <si>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</si>
  <si>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</si>
  <si>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</si>
  <si>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</si>
  <si>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</si>
  <si>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</si>
  <si>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</si>
  <si>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</si>
  <si>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</si>
  <si>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</si>
  <si>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</si>
  <si>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</si>
  <si>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</si>
  <si>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</si>
  <si>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</si>
  <si>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</si>
  <si>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</si>
  <si>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</si>
  <si>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</si>
  <si>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</si>
  <si>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</si>
  <si>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</si>
  <si>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</si>
  <si>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</si>
  <si>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</si>
  <si>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</si>
  <si>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</si>
  <si>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</si>
  <si>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</si>
  <si>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</si>
  <si>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</si>
  <si>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</si>
  <si>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</si>
  <si>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</si>
  <si>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</si>
  <si>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</si>
  <si>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</si>
  <si>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</si>
  <si>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</si>
  <si>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</si>
  <si>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</si>
  <si>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</si>
  <si>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</si>
  <si>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</si>
  <si>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</si>
  <si>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</si>
  <si>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</si>
  <si>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</si>
  <si>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</si>
  <si>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</si>
  <si>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</si>
  <si>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</si>
  <si>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</si>
  <si>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</si>
  <si>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</si>
  <si>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</si>
  <si>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</si>
  <si>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</si>
  <si>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</si>
  <si>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</si>
  <si>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</si>
  <si>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</si>
  <si>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</si>
  <si>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</si>
  <si>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</si>
  <si>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</si>
  <si>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</si>
  <si>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</si>
  <si>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</si>
  <si>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</si>
  <si>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</si>
  <si>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</si>
  <si>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</si>
  <si>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</si>
  <si>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</si>
  <si>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</si>
  <si>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</si>
  <si>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</si>
  <si>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</si>
  <si>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</si>
  <si>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</si>
  <si>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</si>
  <si>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</si>
  <si>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</si>
  <si>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</si>
  <si>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</si>
  <si>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</si>
  <si>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</si>
  <si>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</si>
  <si>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</si>
  <si>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</si>
  <si>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</si>
  <si>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</si>
  <si>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</si>
  <si>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</si>
  <si>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</si>
  <si>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</si>
  <si>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</si>
  <si>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</si>
  <si>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</si>
  <si>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</si>
  <si>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</si>
  <si>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</si>
  <si>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</si>
  <si>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</si>
  <si>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</si>
  <si>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</si>
  <si>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</si>
  <si>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</si>
  <si>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</si>
  <si>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</si>
  <si>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</si>
  <si>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</si>
  <si>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</si>
  <si>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</si>
  <si>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</si>
  <si>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</si>
  <si>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</si>
  <si>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</si>
  <si>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</si>
  <si>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</si>
  <si>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</si>
  <si>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</si>
  <si>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</si>
  <si>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</si>
  <si>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</si>
  <si>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</si>
  <si>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</si>
  <si>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</si>
  <si>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</si>
  <si>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</si>
  <si>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</si>
  <si>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</si>
  <si>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</si>
  <si>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</si>
  <si>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</si>
  <si>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</si>
  <si>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</si>
  <si>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</si>
  <si>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</si>
  <si>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</si>
  <si>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</si>
  <si>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</si>
  <si>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</si>
  <si>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</si>
  <si>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</si>
  <si>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</si>
  <si>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</si>
  <si>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</si>
  <si>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</si>
  <si>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</si>
  <si>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</si>
  <si>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</si>
  <si>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</si>
  <si>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</si>
  <si>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</si>
  <si>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</si>
  <si>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</si>
  <si>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</si>
  <si>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</si>
  <si>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</si>
  <si>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</si>
  <si>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</si>
  <si>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</si>
  <si>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</si>
  <si>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</si>
  <si>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</si>
  <si>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</si>
  <si>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</si>
  <si>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</si>
  <si>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</si>
  <si>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</si>
  <si>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</si>
  <si>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</si>
  <si>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</si>
  <si>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</si>
  <si>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</si>
  <si>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</si>
  <si>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</si>
  <si>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</si>
  <si>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</si>
  <si>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</si>
  <si>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</si>
  <si>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</si>
  <si>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</si>
  <si>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</si>
  <si>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</si>
  <si>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</si>
  <si>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</si>
  <si>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</si>
  <si>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</si>
  <si>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</si>
  <si>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</si>
  <si>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</si>
  <si>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</si>
  <si>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</si>
  <si>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</si>
  <si>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</si>
  <si>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</si>
  <si>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</si>
  <si>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</si>
  <si>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</si>
  <si>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</si>
  <si>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</si>
  <si>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</si>
  <si>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</si>
  <si>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</si>
  <si>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</si>
  <si>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</si>
  <si>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</si>
  <si>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</si>
  <si>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</si>
  <si>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</si>
  <si>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</si>
  <si>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</si>
  <si>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</si>
  <si>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</si>
  <si>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</si>
  <si>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</si>
  <si>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</si>
  <si>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</si>
  <si>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</si>
  <si>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</si>
  <si>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</si>
  <si>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</si>
  <si>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</si>
  <si>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</si>
  <si>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</si>
  <si>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</si>
  <si>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</si>
  <si>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</si>
  <si>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</si>
  <si>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</si>
  <si>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</si>
  <si>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</si>
  <si>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</si>
  <si>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</si>
  <si>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</si>
  <si>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</si>
  <si>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</si>
  <si>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</si>
  <si>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</si>
  <si>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</si>
  <si>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</si>
  <si>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</si>
  <si>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</si>
  <si>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</si>
  <si>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</si>
  <si>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</si>
  <si>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</si>
  <si>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</si>
  <si>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</si>
  <si>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</si>
  <si>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</si>
  <si>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</si>
  <si>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</si>
  <si>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</si>
  <si>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</si>
  <si>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</si>
  <si>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</si>
  <si>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</si>
  <si>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</si>
  <si>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</si>
  <si>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</si>
  <si>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</si>
  <si>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</si>
  <si>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</si>
  <si>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</si>
  <si>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</si>
  <si>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</si>
  <si>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</si>
  <si>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</si>
  <si>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</si>
  <si>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</si>
  <si>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</si>
  <si>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</si>
  <si>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</si>
  <si>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</si>
  <si>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</si>
  <si>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</si>
  <si>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</si>
  <si>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</si>
  <si>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</si>
  <si>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</si>
  <si>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</si>
  <si>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</si>
  <si>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</si>
  <si>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</si>
  <si>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</si>
  <si>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</si>
  <si>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</si>
  <si>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</si>
  <si>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</si>
  <si>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</si>
  <si>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</si>
  <si>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</si>
  <si>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</si>
  <si>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</si>
  <si>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</si>
  <si>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</si>
  <si>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</si>
  <si>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</si>
  <si>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</si>
  <si>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</si>
  <si>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</si>
  <si>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</si>
  <si>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</si>
  <si>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</si>
  <si>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</si>
  <si>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</si>
  <si>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</si>
  <si>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</si>
  <si>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</si>
  <si>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</si>
  <si>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</si>
  <si>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</si>
  <si>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</si>
  <si>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</si>
  <si>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</si>
  <si>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</si>
  <si>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</si>
  <si>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</si>
  <si>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</si>
  <si>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</si>
  <si>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</si>
  <si>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</si>
  <si>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</si>
  <si>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</si>
  <si>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</si>
  <si>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</si>
  <si>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</si>
  <si>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</si>
  <si>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</si>
  <si>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</si>
  <si>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</si>
  <si>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</si>
  <si>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</si>
  <si>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</si>
  <si>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</si>
  <si>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</si>
  <si>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</si>
  <si>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</si>
  <si>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</si>
  <si>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</si>
  <si>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</si>
  <si>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</si>
  <si>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</si>
  <si>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</si>
  <si>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</si>
  <si>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</si>
  <si>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</si>
  <si>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</si>
  <si>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</si>
  <si>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</si>
  <si>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</si>
  <si>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</si>
  <si>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</si>
  <si>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</si>
  <si>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</si>
  <si>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</si>
  <si>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</si>
  <si>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</si>
  <si>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</si>
  <si>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</si>
  <si>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</si>
  <si>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</si>
  <si>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</si>
  <si>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</si>
  <si>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</si>
  <si>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</si>
  <si>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</si>
  <si>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</si>
  <si>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</si>
  <si>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</si>
  <si>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</si>
  <si>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</si>
  <si>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</si>
  <si>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</si>
  <si>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</si>
  <si>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</si>
  <si>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</si>
  <si>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</si>
  <si>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</si>
  <si>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</si>
  <si>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</si>
  <si>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</si>
  <si>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</si>
  <si>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</si>
  <si>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</si>
  <si>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</si>
  <si>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</si>
  <si>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</si>
  <si>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</si>
  <si>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</si>
  <si>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</si>
  <si>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</si>
  <si>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</si>
  <si>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</si>
  <si>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</si>
  <si>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</si>
  <si>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</si>
  <si>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</si>
  <si>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</si>
  <si>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</si>
  <si>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</si>
  <si>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</si>
  <si>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</si>
  <si>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</si>
  <si>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</si>
  <si>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</si>
  <si>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</si>
  <si>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</si>
  <si>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</si>
  <si>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</si>
  <si>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</si>
  <si>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</si>
  <si>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</si>
  <si>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</si>
  <si>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</si>
  <si>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</si>
  <si>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</si>
  <si>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</si>
  <si>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</si>
  <si>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</si>
  <si>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</si>
  <si>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</si>
  <si>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</si>
  <si>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</si>
  <si>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</si>
  <si>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</si>
  <si>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</si>
  <si>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</si>
  <si>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</si>
  <si>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</si>
  <si>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</si>
  <si>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</si>
  <si>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</si>
  <si>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</si>
  <si>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</si>
  <si>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</si>
  <si>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</si>
  <si>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</si>
  <si>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</si>
  <si>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</si>
  <si>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</si>
  <si>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</si>
  <si>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</si>
  <si>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</si>
  <si>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</si>
  <si>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</si>
  <si>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</si>
  <si>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</si>
  <si>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</si>
  <si>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</si>
  <si>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</si>
  <si>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</si>
  <si>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</si>
  <si>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</si>
  <si>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</si>
  <si>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</si>
  <si>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</si>
  <si>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</si>
  <si>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</si>
  <si>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</si>
  <si>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</si>
  <si>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</si>
  <si>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</si>
  <si>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</si>
  <si>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</si>
  <si>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</si>
  <si>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</si>
  <si>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</si>
  <si>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</si>
  <si>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</si>
  <si>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</si>
  <si>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</si>
  <si>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</si>
  <si>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</si>
  <si>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</si>
  <si>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</si>
  <si>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</si>
  <si>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</si>
  <si>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</si>
  <si>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</si>
  <si>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</si>
  <si>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</si>
  <si>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</si>
  <si>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</si>
  <si>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</si>
  <si>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</si>
  <si>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</si>
  <si>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</si>
  <si>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</si>
  <si>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</si>
  <si>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</si>
  <si>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</si>
  <si>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</si>
  <si>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</si>
  <si>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</si>
  <si>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</si>
  <si>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</si>
  <si>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</si>
  <si>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</si>
  <si>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</si>
  <si>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</si>
  <si>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</si>
  <si>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</si>
  <si>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</si>
  <si>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</si>
  <si>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</si>
  <si>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</si>
  <si>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</si>
  <si>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</si>
  <si>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</si>
  <si>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</si>
  <si>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</si>
  <si>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</si>
  <si>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</si>
  <si>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</si>
  <si>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</si>
  <si>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</si>
  <si>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</si>
  <si>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</si>
  <si>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</si>
  <si>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</si>
  <si>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</si>
  <si>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</si>
  <si>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</si>
  <si>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</si>
  <si>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</si>
  <si>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</si>
  <si>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</si>
  <si>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</si>
  <si>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</si>
  <si>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</si>
  <si>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</si>
  <si>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</si>
  <si>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</si>
  <si>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</si>
  <si>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</si>
  <si>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</si>
  <si>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</si>
  <si>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</si>
  <si>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</si>
  <si>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</si>
  <si>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</si>
  <si>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</si>
  <si>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</si>
  <si>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</si>
  <si>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</si>
  <si>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</si>
  <si>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</si>
  <si>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</si>
  <si>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</si>
  <si>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</si>
  <si>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</si>
  <si>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</si>
  <si>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</si>
  <si>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</si>
  <si>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</si>
  <si>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</si>
  <si>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</si>
  <si>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</si>
  <si>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</si>
  <si>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</si>
  <si>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</si>
  <si>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</si>
  <si>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</si>
  <si>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</si>
  <si>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</si>
  <si>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</si>
  <si>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</si>
  <si>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</si>
  <si>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</si>
  <si>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</si>
  <si>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</si>
  <si>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</si>
  <si>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</si>
  <si>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</si>
  <si>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</si>
  <si>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</si>
  <si>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</si>
  <si>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</si>
  <si>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</si>
  <si>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</si>
  <si>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</si>
  <si>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</si>
  <si>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</si>
  <si>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</si>
  <si>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</si>
  <si>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</si>
  <si>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</si>
  <si>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</si>
  <si>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</si>
  <si>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</si>
  <si>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</si>
  <si>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</si>
  <si>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</si>
  <si>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</si>
  <si>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</si>
  <si>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</si>
  <si>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</si>
  <si>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</si>
  <si>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</si>
  <si>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</si>
  <si>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</si>
  <si>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</si>
  <si>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</si>
  <si>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</si>
  <si>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</si>
  <si>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</si>
  <si>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</si>
  <si>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</si>
  <si>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</si>
  <si>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</si>
  <si>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</si>
  <si>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</si>
  <si>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</si>
  <si>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</si>
  <si>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</si>
  <si>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</si>
  <si>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</si>
  <si>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</si>
  <si>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</si>
  <si>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</si>
  <si>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</si>
  <si>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</si>
  <si>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</si>
  <si>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</si>
  <si>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</si>
  <si>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</si>
  <si>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</si>
  <si>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</si>
  <si>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</si>
  <si>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</si>
  <si>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</si>
  <si>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</si>
  <si>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</si>
  <si>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</si>
  <si>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</si>
  <si>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</si>
  <si>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</si>
  <si>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</si>
  <si>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</si>
  <si>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</si>
  <si>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</si>
  <si>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</si>
  <si>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</si>
  <si>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</si>
  <si>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</si>
  <si>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</si>
  <si>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</si>
  <si>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</si>
  <si>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</si>
  <si>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</si>
  <si>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</si>
  <si>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</si>
  <si>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</si>
  <si>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</si>
  <si>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</si>
  <si>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</si>
  <si>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</si>
  <si>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</si>
  <si>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</si>
  <si>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</si>
  <si>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</si>
  <si>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</si>
  <si>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</si>
  <si>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</si>
  <si>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</si>
  <si>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</si>
  <si>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</si>
  <si>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</si>
  <si>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</si>
  <si>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</si>
  <si>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</si>
  <si>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</si>
  <si>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</si>
  <si>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</si>
  <si>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</si>
  <si>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</si>
  <si>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</si>
  <si>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</si>
  <si>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</si>
  <si>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</si>
  <si>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</si>
  <si>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</si>
  <si>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</si>
  <si>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</si>
  <si>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</si>
  <si>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</si>
  <si>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</si>
  <si>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</si>
  <si>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</si>
  <si>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</si>
  <si>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</si>
  <si>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</si>
  <si>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</si>
  <si>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</si>
  <si>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</si>
  <si>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</si>
  <si>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</si>
  <si>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</si>
  <si>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</si>
  <si>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</si>
  <si>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</si>
  <si>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</si>
  <si>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</si>
  <si>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</si>
  <si>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</si>
  <si>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</si>
  <si>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</si>
  <si>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</si>
  <si>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</si>
  <si>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</si>
  <si>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</si>
  <si>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</si>
  <si>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</si>
  <si>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</si>
  <si>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</si>
  <si>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</si>
  <si>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</si>
  <si>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</si>
  <si>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</si>
  <si>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</si>
  <si>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</si>
  <si>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</si>
  <si>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</si>
  <si>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</si>
  <si>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</si>
  <si>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</si>
  <si>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</si>
  <si>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</si>
  <si>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</si>
  <si>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</si>
  <si>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</si>
  <si>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</si>
  <si>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</si>
  <si>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</si>
  <si>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</si>
  <si>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</si>
  <si>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</si>
  <si>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</si>
  <si>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</si>
  <si>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</si>
  <si>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</si>
  <si>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</si>
  <si>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</si>
  <si>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</si>
  <si>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</si>
  <si>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</si>
  <si>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</si>
  <si>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</si>
  <si>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</si>
  <si>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</si>
  <si>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</si>
  <si>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</si>
  <si>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</si>
  <si>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</si>
  <si>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</si>
  <si>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</si>
  <si>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</si>
  <si>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</si>
  <si>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</si>
  <si>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</si>
  <si>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</si>
  <si>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</si>
  <si>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</si>
  <si>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</si>
  <si>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</si>
  <si>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</si>
  <si>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</si>
  <si>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</si>
  <si>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</si>
  <si>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</si>
  <si>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</si>
  <si>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</si>
  <si>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</si>
  <si>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</si>
  <si>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</si>
  <si>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</si>
  <si>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</si>
  <si>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</si>
  <si>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</si>
  <si>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</si>
  <si>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</si>
  <si>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</si>
  <si>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</si>
  <si>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</si>
  <si>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</si>
  <si>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</si>
  <si>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</si>
  <si>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</si>
  <si>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</si>
  <si>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</si>
  <si>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</si>
  <si>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</si>
  <si>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</si>
  <si>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</si>
  <si>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</si>
  <si>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</si>
  <si>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</si>
  <si>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</si>
  <si>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</si>
  <si>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</si>
  <si>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</si>
  <si>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</si>
  <si>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</si>
  <si>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</si>
  <si>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</si>
  <si>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</si>
  <si>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</si>
  <si>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</si>
  <si>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</si>
  <si>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</si>
  <si>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</si>
  <si>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</si>
  <si>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</si>
  <si>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</si>
  <si>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</si>
  <si>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</si>
  <si>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</si>
  <si>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</si>
  <si>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</si>
  <si>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</si>
  <si>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</si>
  <si>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</si>
  <si>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</si>
  <si>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</si>
  <si>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</si>
  <si>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</si>
  <si>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</si>
  <si>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</si>
  <si>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</si>
  <si>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</si>
  <si>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</si>
  <si>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</si>
  <si>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</si>
  <si>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</si>
  <si>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</si>
  <si>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</si>
  <si>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</si>
  <si>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</si>
  <si>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</si>
  <si>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</si>
  <si>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</si>
  <si>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</si>
  <si>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</si>
  <si>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</si>
  <si>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</si>
  <si>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</si>
  <si>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</si>
  <si>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</si>
  <si>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</si>
  <si>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</si>
  <si>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</si>
  <si>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</si>
  <si>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</si>
  <si>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</si>
  <si>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</si>
  <si>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</si>
  <si>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</si>
  <si>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</si>
  <si>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</si>
  <si>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</si>
  <si>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</si>
  <si>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</si>
  <si>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</si>
  <si>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</si>
  <si>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</si>
  <si>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</si>
  <si>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</si>
  <si>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</si>
  <si>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</si>
  <si>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</si>
  <si>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</si>
  <si>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</si>
  <si>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</si>
  <si>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</si>
  <si>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</si>
  <si>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</si>
  <si>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</si>
  <si>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</si>
  <si>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</si>
  <si>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</si>
  <si>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</si>
  <si>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</si>
  <si>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</si>
  <si>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</si>
  <si>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</si>
  <si>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</si>
  <si>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</si>
  <si>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</si>
  <si>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</si>
  <si>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</si>
  <si>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</si>
  <si>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</si>
  <si>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</si>
  <si>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</si>
  <si>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</si>
  <si>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</si>
  <si>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</si>
  <si>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</si>
  <si>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</si>
  <si>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</si>
  <si>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</si>
  <si>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</si>
  <si>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</si>
  <si>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</si>
  <si>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</si>
  <si>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</si>
  <si>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</si>
  <si>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</si>
  <si>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</si>
  <si>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</si>
  <si>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</si>
  <si>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</si>
  <si>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</si>
  <si>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</si>
  <si>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</si>
  <si>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</si>
  <si>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</si>
  <si>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</si>
  <si>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</si>
  <si>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</si>
  <si>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</si>
  <si>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</si>
  <si>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</si>
  <si>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</si>
  <si>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</si>
  <si>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</si>
  <si>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</si>
  <si>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</si>
  <si>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</si>
  <si>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</si>
  <si>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</si>
  <si>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</si>
  <si>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</si>
  <si>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</si>
  <si>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</si>
  <si>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</si>
  <si>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</si>
  <si>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</si>
  <si>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</si>
  <si>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</si>
  <si>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</si>
  <si>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</si>
  <si>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</si>
  <si>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</si>
  <si>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</si>
  <si>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</si>
  <si>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</si>
  <si>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</si>
  <si>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</si>
  <si>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</si>
  <si>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</si>
  <si>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</si>
  <si>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</si>
  <si>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</si>
  <si>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</si>
  <si>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</si>
  <si>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</si>
  <si>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</si>
  <si>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</si>
  <si>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</si>
  <si>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</si>
  <si>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</si>
  <si>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</si>
  <si>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</si>
  <si>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</si>
  <si>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</si>
  <si>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</si>
  <si>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</si>
  <si>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</si>
  <si>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</si>
  <si>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</si>
  <si>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</si>
  <si>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</si>
  <si>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</si>
  <si>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</si>
  <si>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</si>
  <si>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</si>
  <si>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</si>
  <si>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</si>
  <si>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</si>
  <si>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</si>
  <si>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</si>
  <si>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</si>
  <si>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</si>
  <si>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</si>
  <si>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</si>
  <si>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</si>
  <si>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</si>
  <si>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</si>
  <si>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</si>
  <si>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</si>
  <si>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</si>
  <si>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</si>
  <si>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</si>
  <si>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</si>
  <si>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</si>
  <si>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</si>
  <si>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</si>
  <si>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</si>
  <si>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</si>
  <si>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</si>
  <si>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</si>
  <si>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</si>
  <si>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</si>
  <si>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</si>
  <si>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</si>
  <si>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</si>
  <si>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</si>
  <si>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</si>
  <si>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</si>
  <si>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</si>
  <si>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</si>
  <si>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</si>
  <si>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</si>
  <si>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</si>
  <si>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</si>
  <si>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</si>
  <si>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</si>
  <si>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</si>
  <si>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</si>
  <si>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</si>
  <si>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</si>
  <si>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</si>
  <si>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</si>
  <si>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</si>
  <si>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</si>
  <si>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</si>
  <si>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</si>
  <si>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</si>
  <si>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</si>
  <si>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</si>
  <si>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</si>
  <si>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</si>
  <si>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</si>
  <si>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</si>
  <si>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</si>
  <si>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</si>
  <si>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</si>
  <si>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</si>
  <si>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</si>
  <si>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</si>
  <si>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</si>
  <si>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</si>
  <si>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</si>
  <si>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</si>
  <si>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</si>
  <si>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</si>
  <si>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</si>
  <si>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</si>
  <si>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</si>
  <si>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</si>
  <si>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</si>
  <si>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</si>
  <si>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</si>
  <si>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</si>
  <si>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</si>
  <si>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</si>
  <si>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</si>
  <si>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</si>
  <si>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</si>
  <si>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</si>
  <si>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</si>
  <si>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</si>
  <si>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</si>
  <si>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</si>
  <si>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</si>
  <si>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</si>
  <si>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</si>
  <si>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</si>
  <si>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</si>
  <si>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</si>
  <si>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</si>
  <si>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</si>
  <si>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</si>
  <si>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</si>
  <si>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</si>
  <si>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</si>
  <si>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</si>
  <si>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</si>
  <si>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</si>
  <si>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</si>
  <si>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</si>
  <si>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</si>
  <si>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</si>
  <si>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</si>
  <si>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</si>
  <si>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</si>
  <si>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</si>
  <si>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</si>
  <si>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</si>
  <si>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</si>
  <si>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</si>
  <si>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</si>
  <si>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</si>
  <si>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</si>
  <si>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</si>
  <si>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</si>
  <si>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</si>
  <si>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</si>
  <si>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</si>
  <si>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</si>
  <si>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</si>
  <si>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</si>
  <si>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</si>
  <si>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</si>
  <si>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</si>
  <si>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</si>
  <si>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</si>
  <si>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</si>
  <si>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</si>
  <si>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</si>
  <si>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</si>
  <si>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</si>
  <si>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</si>
  <si>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</si>
  <si>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</si>
  <si>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</si>
  <si>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</si>
  <si>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</si>
  <si>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</si>
  <si>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</si>
  <si>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</si>
  <si>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</si>
  <si>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</si>
  <si>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</si>
  <si>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</si>
  <si>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</si>
  <si>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</si>
  <si>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</si>
  <si>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</si>
  <si>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</si>
  <si>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</si>
  <si>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</si>
  <si>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</si>
  <si>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</si>
  <si>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</si>
  <si>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</si>
  <si>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</si>
  <si>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</si>
  <si>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</si>
  <si>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</si>
  <si>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</si>
  <si>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</si>
  <si>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</si>
  <si>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</si>
  <si>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</si>
  <si>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</si>
  <si>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</si>
  <si>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</si>
  <si>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</si>
  <si>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</si>
  <si>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</si>
  <si>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</si>
  <si>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</si>
  <si>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</si>
  <si>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</si>
  <si>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</si>
  <si>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</si>
  <si>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</si>
  <si>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</si>
  <si>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</si>
  <si>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</si>
  <si>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</si>
  <si>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</si>
  <si>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</si>
  <si>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</si>
  <si>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</si>
  <si>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</si>
  <si>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</si>
  <si>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</si>
  <si>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</si>
  <si>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</si>
  <si>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</si>
  <si>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</si>
  <si>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</si>
  <si>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</si>
  <si>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</si>
  <si>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</si>
  <si>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</si>
  <si>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</si>
  <si>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</si>
  <si>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</si>
  <si>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</si>
  <si>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</si>
  <si>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</si>
  <si>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</si>
  <si>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</si>
  <si>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</si>
  <si>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</si>
  <si>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</si>
  <si>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</si>
  <si>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</si>
  <si>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</si>
  <si>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</si>
  <si>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</si>
  <si>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</si>
  <si>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</si>
  <si>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</si>
  <si>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</si>
  <si>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</si>
  <si>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</si>
  <si>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</si>
  <si>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</si>
  <si>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</si>
  <si>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</si>
  <si>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</si>
  <si>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</si>
  <si>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</si>
  <si>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</si>
  <si>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</si>
  <si>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</si>
  <si>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</si>
  <si>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</si>
  <si>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</si>
  <si>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</si>
  <si>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</si>
  <si>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</si>
  <si>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</si>
  <si>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</si>
  <si>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</si>
  <si>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</si>
  <si>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</si>
  <si>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</si>
  <si>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</si>
  <si>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</si>
  <si>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</si>
  <si>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</si>
  <si>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</si>
  <si>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</si>
  <si>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</si>
  <si>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</si>
  <si>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</si>
  <si>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</si>
  <si>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</si>
  <si>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</si>
  <si>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</si>
  <si>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</si>
  <si>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</si>
  <si>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</si>
  <si>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</si>
  <si>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</si>
  <si>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</si>
  <si>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</si>
  <si>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</si>
  <si>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</si>
  <si>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</si>
  <si>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</si>
  <si>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</si>
  <si>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</si>
  <si>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</si>
  <si>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</si>
  <si>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</si>
  <si>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</si>
  <si>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</si>
  <si>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</si>
  <si>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</si>
  <si>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</si>
  <si>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</si>
  <si>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</si>
  <si>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</si>
  <si>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</si>
  <si>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</si>
  <si>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</si>
  <si>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</si>
  <si>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</si>
  <si>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</si>
  <si>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</si>
  <si>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</si>
  <si>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</si>
  <si>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</si>
  <si>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</si>
  <si>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</si>
  <si>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</si>
  <si>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</si>
  <si>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</si>
  <si>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</si>
  <si>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</si>
  <si>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</si>
  <si>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</si>
  <si>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</si>
  <si>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</si>
  <si>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</si>
  <si>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</si>
  <si>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</si>
  <si>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</si>
  <si>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</si>
  <si>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</si>
  <si>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</si>
  <si>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</si>
  <si>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</si>
  <si>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</si>
  <si>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</si>
  <si>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</si>
  <si>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</si>
  <si>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</si>
  <si>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</si>
  <si>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</si>
  <si>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</si>
  <si>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</si>
  <si>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</si>
  <si>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</si>
  <si>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</si>
  <si>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</si>
  <si>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</si>
  <si>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</si>
  <si>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</si>
  <si>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</si>
  <si>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</si>
  <si>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</si>
  <si>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</si>
  <si>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</si>
  <si>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</si>
  <si>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</si>
  <si>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</si>
  <si>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</si>
  <si>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</si>
  <si>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</si>
  <si>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</si>
  <si>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</si>
  <si>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</si>
  <si>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</si>
  <si>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</si>
  <si>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</si>
  <si>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</si>
  <si>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</si>
  <si>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</si>
  <si>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</si>
  <si>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</si>
  <si>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</si>
  <si>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</si>
  <si>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</si>
  <si>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</si>
  <si>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</si>
  <si>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</si>
  <si>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</si>
  <si>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</si>
  <si>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</si>
  <si>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</si>
  <si>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</si>
  <si>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</si>
  <si>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</si>
  <si>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</si>
  <si>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</si>
  <si>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</si>
  <si>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</si>
  <si>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</si>
  <si>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</si>
  <si>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</si>
  <si>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</si>
  <si>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</si>
  <si>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</si>
  <si>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</si>
  <si>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</si>
  <si>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</si>
  <si>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</si>
  <si>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</si>
  <si>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</si>
  <si>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</si>
  <si>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</si>
  <si>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</si>
  <si>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</si>
  <si>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</si>
  <si>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</si>
  <si>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</si>
  <si>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</si>
  <si>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</si>
  <si>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</si>
  <si>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</si>
  <si>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</si>
  <si>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</si>
  <si>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</si>
  <si>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会议中心</t>
    <phoneticPr fontId="143" type="noConversion"/>
  </si>
  <si>
    <t>车库及设备用房</t>
    <phoneticPr fontId="143" type="noConversion"/>
  </si>
  <si>
    <t>会议、办公</t>
    <phoneticPr fontId="143" type="noConversion"/>
  </si>
  <si>
    <t>建筑层数</t>
    <phoneticPr fontId="143" type="noConversion"/>
  </si>
  <si>
    <t>地上</t>
  </si>
  <si>
    <t>地上</t>
    <phoneticPr fontId="143" type="noConversion"/>
  </si>
  <si>
    <t>地下</t>
  </si>
  <si>
    <t>地下</t>
    <phoneticPr fontId="143" type="noConversion"/>
  </si>
  <si>
    <t>——</t>
    <phoneticPr fontId="143" type="noConversion"/>
  </si>
  <si>
    <t>计容</t>
    <phoneticPr fontId="143" type="noConversion"/>
  </si>
  <si>
    <t>规划建筑面积</t>
  </si>
  <si>
    <t>规划建筑面积</t>
    <phoneticPr fontId="143" type="noConversion"/>
  </si>
  <si>
    <t>不计容</t>
    <phoneticPr fontId="143" type="noConversion"/>
  </si>
  <si>
    <t>合计</t>
    <phoneticPr fontId="143" type="noConversion"/>
  </si>
  <si>
    <t>小计</t>
    <phoneticPr fontId="143" type="noConversion"/>
  </si>
  <si>
    <t>酒店</t>
    <phoneticPr fontId="143" type="noConversion"/>
  </si>
  <si>
    <t>车库及设备用房、办公</t>
    <phoneticPr fontId="143" type="noConversion"/>
  </si>
  <si>
    <t>客房、办公</t>
    <phoneticPr fontId="143" type="noConversion"/>
  </si>
  <si>
    <t>《规证》</t>
    <phoneticPr fontId="143" type="noConversion"/>
  </si>
  <si>
    <t>是</t>
  </si>
  <si>
    <t>在建（套用方法）</t>
  </si>
  <si>
    <t>按租金收入计税</t>
  </si>
  <si>
    <t>钢混</t>
  </si>
  <si>
    <t>非生产用房</t>
  </si>
  <si>
    <t>未包含在土地购买价格中</t>
  </si>
  <si>
    <t>已包含在土地取得成本中</t>
  </si>
  <si>
    <t>成本法</t>
  </si>
  <si>
    <t>假设开发法</t>
  </si>
  <si>
    <t>成本比率</t>
  </si>
  <si>
    <t>土地面积</t>
  </si>
  <si>
    <t>项目全部</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</si>
  <si>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</si>
  <si>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</si>
  <si>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</si>
  <si>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</si>
  <si>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</si>
  <si>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</si>
  <si>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</si>
  <si>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</si>
  <si>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</si>
  <si>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</si>
  <si>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</si>
  <si>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</si>
  <si>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</si>
  <si>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</si>
  <si>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</si>
  <si>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</si>
  <si>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</si>
  <si>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</si>
  <si>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</si>
  <si>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</si>
  <si>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新蒲经开区保税大道与香树中路交叉口旁</t>
  </si>
  <si>
    <t>遵义市</t>
  </si>
  <si>
    <t>商业/办公用地</t>
  </si>
  <si>
    <t>挂牌</t>
  </si>
  <si>
    <t>2019-新-24</t>
  </si>
  <si>
    <t>其他商服用地</t>
  </si>
  <si>
    <t>小于或等于2.3</t>
  </si>
  <si>
    <t>2019-10-10</t>
  </si>
  <si>
    <t>遵市国土资挂字[2019]25号</t>
  </si>
  <si>
    <t>贵州新蒲经济开发投资有限责任公司</t>
  </si>
  <si>
    <t>40年</t>
  </si>
  <si>
    <t>3星</t>
  </si>
  <si>
    <t>新蒲新区新龙路东侧</t>
  </si>
  <si>
    <t>2019-新-44</t>
  </si>
  <si>
    <t>小于或等于0.3</t>
  </si>
  <si>
    <t>遵义市红花岗区新蒲供销合作社中坪加油站</t>
  </si>
  <si>
    <t>4星</t>
  </si>
  <si>
    <t>新蒲新区长新大道北侧</t>
  </si>
  <si>
    <t>2019-新-47</t>
  </si>
  <si>
    <t>小于或等于0.5</t>
  </si>
  <si>
    <t>遵义市长新加油站有限公司</t>
  </si>
  <si>
    <t>新蒲经开区财富中路和香树中路交叉口</t>
  </si>
  <si>
    <t>2019-新-28</t>
  </si>
  <si>
    <t>小于或等于3.9</t>
  </si>
  <si>
    <t>5星</t>
  </si>
  <si>
    <t>新蒲新区青檬高速东侧</t>
  </si>
  <si>
    <t>2018-新-17</t>
  </si>
  <si>
    <t>≤1</t>
  </si>
  <si>
    <t>2018-12-28</t>
  </si>
  <si>
    <t>遵市国土资挂字[2018]13号</t>
  </si>
  <si>
    <t>遵义市新区投资有限责任公司</t>
  </si>
  <si>
    <t>1星</t>
  </si>
  <si>
    <t>新蒲新区湘江大道与滨河路交叉口东北侧</t>
  </si>
  <si>
    <t>2018-新-06</t>
  </si>
  <si>
    <t>≤3</t>
  </si>
  <si>
    <t>遵义市高铁新城开发投资有限责任公司</t>
  </si>
  <si>
    <t>新蒲新区湘江大道与迎宾三路交叉口东北侧</t>
  </si>
  <si>
    <t>2018-新-05</t>
  </si>
  <si>
    <t>新蒲新区纵4路与横2路交叉口北侧</t>
  </si>
  <si>
    <t>2018-新-08</t>
  </si>
  <si>
    <t>＞1,≤2</t>
  </si>
  <si>
    <t>新蒲新区娄山路旁</t>
  </si>
  <si>
    <t>2018-新-18</t>
  </si>
  <si>
    <t>2018-11-08</t>
  </si>
  <si>
    <t>遵市国土资挂字[2018]09号-25</t>
  </si>
  <si>
    <t>遵义道桥建设(集团)有限公司</t>
  </si>
  <si>
    <t>新蒲新区新龙大道东南侧</t>
  </si>
  <si>
    <t>2018-新-14</t>
  </si>
  <si>
    <t>≤0.8</t>
  </si>
  <si>
    <t>遵市国土资挂字[2018]09号-21</t>
  </si>
  <si>
    <t>遵义驾驶培训(集团)有限公司</t>
  </si>
  <si>
    <t>2018-新-13</t>
  </si>
  <si>
    <t>≤2</t>
  </si>
  <si>
    <t>遵市国土资挂字[2018]09号-20</t>
  </si>
  <si>
    <t>新蒲新区迎宾馆路北侧</t>
  </si>
  <si>
    <t>2018-XP-26(D)</t>
  </si>
  <si>
    <t>住宿餐饮用地</t>
  </si>
  <si>
    <t>2018-07-19</t>
  </si>
  <si>
    <t>遵新国土挂字[2018]06号-5</t>
  </si>
  <si>
    <t>贵州一品养尊房地产开发有限责任公司</t>
  </si>
  <si>
    <t>2018-XP-26(A)</t>
  </si>
  <si>
    <t>遵新国土挂字[2018]06号-2</t>
  </si>
  <si>
    <t>2018-XP-26(B)</t>
  </si>
  <si>
    <t>遵新国土挂字[2018]06号-3</t>
  </si>
  <si>
    <t>2018-XP-26(E)</t>
  </si>
  <si>
    <t>遵新国土挂字[2018]06号-6</t>
  </si>
  <si>
    <t>新蒲新区纵四路与横2路交叉口北侧</t>
  </si>
  <si>
    <t>2018-XP-25</t>
  </si>
  <si>
    <t>商务金融用地</t>
  </si>
  <si>
    <t>遵新国土挂字[2018]06号-1</t>
  </si>
  <si>
    <t>2018-XP-26(C)</t>
  </si>
  <si>
    <t>遵新国土挂字[2018]06号-4</t>
  </si>
  <si>
    <t>新蒲新区新龙路东南侧地块一</t>
  </si>
  <si>
    <t>2017-XP-60</t>
  </si>
  <si>
    <t>2018-05-02</t>
  </si>
  <si>
    <t>遵新国土挂字[2018]03号-1</t>
  </si>
  <si>
    <t>新蒲新区米兰大道与青水九路交叉口东北侧</t>
  </si>
  <si>
    <t>2017-XP-85</t>
  </si>
  <si>
    <t>≤2.2</t>
  </si>
  <si>
    <t>2018-02-24</t>
  </si>
  <si>
    <t>遵新国土挂字[2018]02号</t>
  </si>
  <si>
    <t>贵州省贵三红食品有限公司</t>
  </si>
  <si>
    <t>新蒲新区虾子镇规划五路与中央大道交叉口西南侧</t>
  </si>
  <si>
    <t>2017-XP-93</t>
  </si>
  <si>
    <t>2018-02-16</t>
  </si>
  <si>
    <t>遵新国土挂字[2018]01号-15</t>
  </si>
  <si>
    <t>2星</t>
  </si>
  <si>
    <t>新蒲新区长征大道西侧</t>
  </si>
  <si>
    <t>2017-XP-97</t>
  </si>
  <si>
    <t>≤1.7</t>
  </si>
  <si>
    <t>遵新国土挂字[2018]01号-19</t>
  </si>
  <si>
    <t>遵义市新区房地产开发有限公司</t>
  </si>
  <si>
    <t>新蒲新区虾子镇规划四路与中央大道交叉口东南侧</t>
  </si>
  <si>
    <t>2017-XP-88</t>
  </si>
  <si>
    <t>遵新国土挂字[2018]01号-10</t>
  </si>
  <si>
    <t>新蒲新区虾子镇规划五路与中央大道交叉口东南侧</t>
  </si>
  <si>
    <t>2017-XP-89</t>
  </si>
  <si>
    <t>遵新国土挂字[2018]01号-11</t>
  </si>
  <si>
    <t>新蒲新区喇叭镇171乡道东南侧</t>
  </si>
  <si>
    <t>2017-XP-69</t>
  </si>
  <si>
    <t>≤0.35</t>
  </si>
  <si>
    <t>2017-12-22</t>
  </si>
  <si>
    <t>遵新国土挂字[2017]12号-7</t>
  </si>
  <si>
    <t>中石化遵义新蒲能源发展有限责任公司</t>
  </si>
  <si>
    <t>新蒲新区新舟镇机场路西侧</t>
  </si>
  <si>
    <t>2017-XP-18</t>
  </si>
  <si>
    <t>2017-11-24</t>
  </si>
  <si>
    <t>遵新国土挂字[2017]11号-1</t>
  </si>
  <si>
    <t>遵义旅游产业开发投资(集团)有限公司</t>
  </si>
  <si>
    <t>新蒲新区兴遵大道与播州大道交叉口西南侧</t>
  </si>
  <si>
    <t>2017-XP-57</t>
  </si>
  <si>
    <t>≤2.3</t>
  </si>
  <si>
    <t>遵新国土挂字[2017]11号-6</t>
  </si>
  <si>
    <t>新蒲新区娄山路北侧</t>
  </si>
  <si>
    <t>2017-XP-52</t>
  </si>
  <si>
    <t>≤4</t>
  </si>
  <si>
    <t>遵新国土挂字[2017]11号-4</t>
  </si>
  <si>
    <t>贵州日月星房地产开发有限公司</t>
  </si>
  <si>
    <t>新蒲新区兴遵大道与播州大道交叉口西北侧</t>
  </si>
  <si>
    <t>2017-XP-58</t>
  </si>
  <si>
    <t>遵新国土挂字[2017]11号-7</t>
  </si>
  <si>
    <t>新蒲新区长征大道与兴遵大道交叉口西北侧</t>
  </si>
  <si>
    <t>2017-XP-51</t>
  </si>
  <si>
    <t>遵新国土挂字[2017]11号-3</t>
  </si>
  <si>
    <t>新蒲新区府前路延长线与奥体路交叉口东南侧</t>
  </si>
  <si>
    <t>2017-XP-42</t>
  </si>
  <si>
    <t>≤1.3</t>
  </si>
  <si>
    <t>遵新国土挂字[2017]11号-2</t>
  </si>
  <si>
    <t>遵义市新区房地产*开发有限公司</t>
  </si>
  <si>
    <t>新蒲新区高新快线与府前路交叉口西南侧</t>
  </si>
  <si>
    <t>2017-XP-47</t>
  </si>
  <si>
    <t>2017-09-05</t>
  </si>
  <si>
    <t>遵新国土挂字[2017]10号-4</t>
  </si>
  <si>
    <t>新蒲新区新蒲新城中轴北路北侧</t>
  </si>
  <si>
    <t>2017-XP-50</t>
  </si>
  <si>
    <t>≤1.9</t>
  </si>
  <si>
    <t>遵新国土挂字[2017]10号-7</t>
  </si>
  <si>
    <t>新蒲新区三渡镇326国道北侧</t>
  </si>
  <si>
    <t>2017-XP-12</t>
  </si>
  <si>
    <t>商业用地(二级加油站)</t>
  </si>
  <si>
    <t>2017-07-07</t>
  </si>
  <si>
    <t>遵市交易(土地)挂字〔2017〕第12号-6</t>
  </si>
  <si>
    <t>遵义石化三渡加油站</t>
  </si>
  <si>
    <t>新蒲新区平安大道与奥体路交叉口西南侧</t>
  </si>
  <si>
    <t>2016-XP-33</t>
  </si>
  <si>
    <t>2017-05-14</t>
  </si>
  <si>
    <t>遵新国土挂字[2017]04号-1</t>
  </si>
  <si>
    <t>创元千禧(贵州)大酒店*有限公司</t>
  </si>
  <si>
    <t>正常</t>
  </si>
  <si>
    <t>红花岗区深溪镇深溪村忠深大道北侧</t>
  </si>
  <si>
    <t>2019-红-38</t>
  </si>
  <si>
    <t>2019-12-13</t>
  </si>
  <si>
    <t>遵市国土资挂字[2019]39号</t>
  </si>
  <si>
    <t>中国石油天然气股份有限公司贵州遵义销售分公司</t>
  </si>
  <si>
    <t>汇川区董公寺210国道西侧</t>
  </si>
  <si>
    <t>2019-汇-56</t>
  </si>
  <si>
    <t>小于或等于1.2</t>
  </si>
  <si>
    <t>2019-10-18</t>
  </si>
  <si>
    <t>遵市国土资挂字[2019]27号</t>
  </si>
  <si>
    <t>遵义市汇川机电制造工业园区资产经营有限公司</t>
  </si>
  <si>
    <t>奥体路与长征大道交叉口西南侧</t>
  </si>
  <si>
    <t>2019-新-09</t>
  </si>
  <si>
    <t>小于或等于3</t>
  </si>
  <si>
    <t>汇川区董公寺街道办事处崇遵高速东侧</t>
  </si>
  <si>
    <t>2018-汇-12</t>
  </si>
  <si>
    <t>旅馆用地</t>
  </si>
  <si>
    <t>遵义市汇川区城市建设投资经营有限公司</t>
  </si>
  <si>
    <t>新龙路与兴遵大道交叉口东南侧</t>
  </si>
  <si>
    <t>2019-新-33</t>
  </si>
  <si>
    <t>小于或等于1.1</t>
  </si>
  <si>
    <t>遵义华来金汽车贸易有限公司</t>
  </si>
  <si>
    <t>红花岗区深溪镇深溪村</t>
  </si>
  <si>
    <t>2019-红-07</t>
  </si>
  <si>
    <t>≤0.3</t>
  </si>
  <si>
    <t>2019-06-22</t>
  </si>
  <si>
    <t>遵市国土资挂字[2019]13号</t>
  </si>
  <si>
    <t>汇川区董公寺办207省道旁</t>
  </si>
  <si>
    <t>2018-汇-36</t>
  </si>
  <si>
    <t>2019-04-06</t>
  </si>
  <si>
    <t>遵市国土资挂字[2019]04号</t>
  </si>
  <si>
    <t>贵州省遵义三力石油化工有限公司</t>
  </si>
  <si>
    <t>红花岗区忠庄街道办事处幸福村</t>
  </si>
  <si>
    <t>2018-红-19</t>
  </si>
  <si>
    <t>遵义市保障性住房建设投资开发有限责任公司</t>
  </si>
  <si>
    <t>2018-红-18</t>
  </si>
  <si>
    <t>2018-红-17</t>
  </si>
  <si>
    <t>汇川区毛石镇台上村</t>
  </si>
  <si>
    <t>2018-汇-20</t>
  </si>
  <si>
    <t>2019-02-13</t>
  </si>
  <si>
    <t>遵市国土资挂字[2019]01号</t>
  </si>
  <si>
    <t>贵州省遵义三力石</t>
  </si>
  <si>
    <t>红花岗区忠庄镇银河路</t>
  </si>
  <si>
    <t>等于1.17</t>
  </si>
  <si>
    <t>2019-01-12</t>
  </si>
  <si>
    <t>遵市国土资挂字[2018]14号</t>
  </si>
  <si>
    <t>遵义市钛厂片区(2)</t>
  </si>
  <si>
    <t>2018-南-01</t>
  </si>
  <si>
    <t>遵义市铁路建设投资(集团)股份有限公司</t>
  </si>
  <si>
    <t>南部新区忠庄办马坎村</t>
  </si>
  <si>
    <t>2018-储备-09(A)</t>
  </si>
  <si>
    <t>遵义市城投房地产开发有限公司</t>
  </si>
  <si>
    <t>汇川区高坪街道办事处</t>
  </si>
  <si>
    <t>2018-GP-53</t>
  </si>
  <si>
    <t>2018-10-25</t>
  </si>
  <si>
    <t>遵市国土资挂字[2018]08号-18</t>
  </si>
  <si>
    <t>遵义道桥酒店管理有限公司</t>
  </si>
  <si>
    <t>南部新区南关办长岗村、南山村</t>
  </si>
  <si>
    <t>2018-NB-39</t>
  </si>
  <si>
    <t>2018-10-17</t>
  </si>
  <si>
    <t>遵市南区[2018]06号-8</t>
  </si>
  <si>
    <t>遵义市公共交通(集团)有限责任公司</t>
  </si>
  <si>
    <t>南部新区忠庄办幸福村</t>
  </si>
  <si>
    <t>2018-NB-34</t>
  </si>
  <si>
    <t>遵市南区[2018]06号-5</t>
  </si>
  <si>
    <t>2018-NB-37</t>
  </si>
  <si>
    <t>遵市南区[2018]06号-6</t>
  </si>
  <si>
    <t>贵州美集房地产开发有限公司</t>
  </si>
  <si>
    <t>南部新区深溪镇龙江村</t>
  </si>
  <si>
    <t>2018-NB-18</t>
  </si>
  <si>
    <t>小于或等于1.4</t>
  </si>
  <si>
    <t>2018-07-27</t>
  </si>
  <si>
    <t>遵市南区[2018]04号</t>
  </si>
  <si>
    <t>遵义龙江机动车服务有限公司</t>
  </si>
  <si>
    <t>2018-NB-19</t>
  </si>
  <si>
    <t>小于或等于1</t>
  </si>
  <si>
    <t>2018-NB-20</t>
  </si>
  <si>
    <t>南部新区深溪镇永安村</t>
  </si>
  <si>
    <t>2018-NB-10</t>
  </si>
  <si>
    <t>中国石化销售有限公司贵州遵义石油分公司</t>
  </si>
  <si>
    <t>南关办金华村</t>
  </si>
  <si>
    <t>2017-NB-85</t>
  </si>
  <si>
    <t>小于或等于0.25</t>
  </si>
  <si>
    <t>遵市南区[2018]03号</t>
  </si>
  <si>
    <t>遵义思达乐园有限公司</t>
  </si>
  <si>
    <t>南关办南山村</t>
  </si>
  <si>
    <t>2018-NB-07</t>
  </si>
  <si>
    <t>小于或等于1.8</t>
  </si>
  <si>
    <t>遵义思达置业投资有限公司</t>
  </si>
  <si>
    <t>龙坑办龙坑社区</t>
  </si>
  <si>
    <t>2018-NB-08</t>
  </si>
  <si>
    <t>等于0.83</t>
  </si>
  <si>
    <t>周忠全</t>
  </si>
  <si>
    <t>50年</t>
  </si>
  <si>
    <t>≤1.8</t>
  </si>
  <si>
    <t>2018-06-23</t>
  </si>
  <si>
    <t>遵市交易(土地)挂字〔2018〕第26号</t>
  </si>
  <si>
    <t>娱乐康体</t>
  </si>
  <si>
    <t>≤0.25</t>
  </si>
  <si>
    <t>汇川区红河北路</t>
  </si>
  <si>
    <t>2017-GP-16</t>
  </si>
  <si>
    <t>2018-03-29</t>
  </si>
  <si>
    <t>遵市国土资挂字[2018]02号-1</t>
  </si>
  <si>
    <t>遵义市永嘉石油经营管理有限公司</t>
  </si>
  <si>
    <t>深溪镇龙江村</t>
  </si>
  <si>
    <t>2017-NB-17</t>
  </si>
  <si>
    <t>2018-03-07</t>
  </si>
  <si>
    <t>遵市南区[2018]02号-1</t>
  </si>
  <si>
    <t>遵义市南宫加油站</t>
  </si>
  <si>
    <t>2017-NB-78</t>
  </si>
  <si>
    <t>2018-02-06</t>
  </si>
  <si>
    <t>遵市南区[2018]01号-8</t>
  </si>
  <si>
    <t>遵义市龙江酒店管理有限公司</t>
  </si>
  <si>
    <t>汇川区汇川大道旁</t>
  </si>
  <si>
    <t>2017-GP-38</t>
  </si>
  <si>
    <t>2018-01-04</t>
  </si>
  <si>
    <t>遵市国土资挂字[2017]08号-2</t>
  </si>
  <si>
    <t>贵州燃气(集团)遵义市燃气有限公司</t>
  </si>
  <si>
    <t>汇川区团泽镇下线口东北侧</t>
  </si>
  <si>
    <t>2017-GP-37</t>
  </si>
  <si>
    <t>等于0.7</t>
  </si>
  <si>
    <t>遵市国土资挂字[2017]08号-1</t>
  </si>
  <si>
    <t>遵义乐宴商业运营管理有限公司</t>
  </si>
  <si>
    <t>汇川区高坪街道办事处十字村</t>
  </si>
  <si>
    <t>2017-GP-39</t>
  </si>
  <si>
    <t>遵市国土资挂字[2017]08号-3</t>
  </si>
  <si>
    <t>南部新区龙坑办梳池社区</t>
  </si>
  <si>
    <t>2017-NB-62</t>
  </si>
  <si>
    <t>等于0.38</t>
  </si>
  <si>
    <t>2017-12-08</t>
  </si>
  <si>
    <t>遵市南区[2017]03号-3</t>
  </si>
  <si>
    <t>李荣坤</t>
  </si>
  <si>
    <t>南部新区龙坑办共青社区</t>
  </si>
  <si>
    <t>2017-NB-63</t>
  </si>
  <si>
    <t>等于0.56</t>
  </si>
  <si>
    <t>遵市南区[2017]03号-4</t>
  </si>
  <si>
    <t>遵义源丰置业有限公司</t>
  </si>
  <si>
    <t>2017-NB-67</t>
  </si>
  <si>
    <t>≤1.2</t>
  </si>
  <si>
    <t>遵市南区[2017]03号-6</t>
  </si>
  <si>
    <t>遵义金世添华酒店有限公司</t>
  </si>
  <si>
    <t>南部新区南关办南山村</t>
  </si>
  <si>
    <t>2017-NB-27</t>
  </si>
  <si>
    <t>遵市南区[2017]03号-2</t>
  </si>
  <si>
    <t>2017-NB-26</t>
  </si>
  <si>
    <t>2017-11-15</t>
  </si>
  <si>
    <t>遵市南区[2017]02号-2</t>
  </si>
  <si>
    <t>南部新区南关镇南山村</t>
  </si>
  <si>
    <t>2015-GP-50</t>
  </si>
  <si>
    <t>2017-04-21</t>
  </si>
  <si>
    <t>遵市国土资挂字[2017]02号-1</t>
  </si>
  <si>
    <t>序号</t>
  </si>
  <si>
    <t>目标成本</t>
  </si>
  <si>
    <t>工程类别</t>
  </si>
  <si>
    <t>专业名称</t>
  </si>
  <si>
    <t>合同金额</t>
  </si>
  <si>
    <t>中期计量</t>
  </si>
  <si>
    <t>支付比例</t>
  </si>
  <si>
    <t>应付金额</t>
  </si>
  <si>
    <t>已付金额</t>
  </si>
  <si>
    <t>欠付金额</t>
  </si>
  <si>
    <t>结算金额</t>
  </si>
  <si>
    <t>本月资
金计划</t>
  </si>
  <si>
    <t>类别</t>
  </si>
  <si>
    <t>金额</t>
  </si>
  <si>
    <t>第1期</t>
  </si>
  <si>
    <t>第2期</t>
  </si>
  <si>
    <t>第3期</t>
  </si>
  <si>
    <t>第4期</t>
  </si>
  <si>
    <t>第5期</t>
  </si>
  <si>
    <t>第6期</t>
  </si>
  <si>
    <t>第7期</t>
  </si>
  <si>
    <t>第8期</t>
  </si>
  <si>
    <t>第9期</t>
  </si>
  <si>
    <t>第10期</t>
  </si>
  <si>
    <t>第11期</t>
  </si>
  <si>
    <t>第12期</t>
  </si>
  <si>
    <t>第13期</t>
  </si>
  <si>
    <t>第14期</t>
  </si>
  <si>
    <t>第15期</t>
  </si>
  <si>
    <t>第16期</t>
  </si>
  <si>
    <t>第17期</t>
  </si>
  <si>
    <t>第18期</t>
  </si>
  <si>
    <t>第19期</t>
  </si>
  <si>
    <t>第1次</t>
  </si>
  <si>
    <t>第2次</t>
  </si>
  <si>
    <t>第3次</t>
  </si>
  <si>
    <t>第4次</t>
  </si>
  <si>
    <t>第5次</t>
  </si>
  <si>
    <t>第6次</t>
  </si>
  <si>
    <t>直接工程费</t>
  </si>
  <si>
    <t>专业分包</t>
  </si>
  <si>
    <t>土石方</t>
  </si>
  <si>
    <t>/</t>
  </si>
  <si>
    <t>劳务分包</t>
  </si>
  <si>
    <t>基础</t>
  </si>
  <si>
    <t>主体</t>
  </si>
  <si>
    <t>基础主体</t>
  </si>
  <si>
    <t>轻质隔墙</t>
  </si>
  <si>
    <t>精装修</t>
  </si>
  <si>
    <t>水电</t>
  </si>
  <si>
    <t>消防</t>
  </si>
  <si>
    <t>中央空调</t>
  </si>
  <si>
    <t>钢结构</t>
  </si>
  <si>
    <t>扶梯</t>
  </si>
  <si>
    <t>电梯</t>
  </si>
  <si>
    <t>舞台设备</t>
  </si>
  <si>
    <t>泳池</t>
  </si>
  <si>
    <t>10KV配电</t>
  </si>
  <si>
    <t>外立面装饰</t>
  </si>
  <si>
    <t>待财务核对</t>
  </si>
  <si>
    <t>园林绿化</t>
  </si>
  <si>
    <t>防水</t>
  </si>
  <si>
    <t>地下室精装修</t>
  </si>
  <si>
    <t>厨房精装修</t>
  </si>
  <si>
    <t>厨房洗衣房设备</t>
  </si>
  <si>
    <t>BIM</t>
  </si>
  <si>
    <t>材料</t>
  </si>
  <si>
    <t>钢筋</t>
  </si>
  <si>
    <t>商混</t>
  </si>
  <si>
    <t>水泥</t>
  </si>
  <si>
    <t>水泥砂浆</t>
  </si>
  <si>
    <t>地材</t>
  </si>
  <si>
    <t>标识标牌</t>
  </si>
  <si>
    <t>氧化镁</t>
  </si>
  <si>
    <t>措施费</t>
  </si>
  <si>
    <t>安全文明经费</t>
  </si>
  <si>
    <t>临时设施费</t>
  </si>
  <si>
    <t>二次搬运费</t>
  </si>
  <si>
    <t>间接费</t>
  </si>
  <si>
    <t>工资福利</t>
  </si>
  <si>
    <t>办工用品</t>
  </si>
  <si>
    <t>车辆使用费</t>
  </si>
  <si>
    <t>其他费</t>
  </si>
  <si>
    <t>水电费</t>
  </si>
  <si>
    <t>酒店空调合同</t>
  </si>
  <si>
    <t>遵义大酒店设计合同</t>
  </si>
  <si>
    <t>施工图</t>
  </si>
  <si>
    <t>建设工程设计服务合同</t>
  </si>
  <si>
    <t>建设工程设计合同</t>
  </si>
  <si>
    <t>建设工程监理合同</t>
  </si>
  <si>
    <t>无线室内分布</t>
  </si>
  <si>
    <t>建设工程勘察合同</t>
  </si>
  <si>
    <t>遵义大酒店建设项目施工临时用电安装工程合同</t>
  </si>
  <si>
    <t>燃气管网设计</t>
  </si>
  <si>
    <t>造价咨询审计费</t>
  </si>
  <si>
    <t>82幅绘画作品</t>
  </si>
  <si>
    <t>遵义大酒店"国际会议中心"大厅壁挂木雕制作安装合同书、71幅画</t>
  </si>
  <si>
    <t>96幅书法作品费用及装裱安装费</t>
  </si>
  <si>
    <t>电视机</t>
  </si>
  <si>
    <t>贵州江南航天信息网络通信有限公司</t>
  </si>
  <si>
    <t>消防技术</t>
  </si>
  <si>
    <t>应支付北京首旅建国酒店管理有限公司前期建安设计咨询费用</t>
  </si>
  <si>
    <t>消防检测</t>
  </si>
  <si>
    <t>大厅木雕</t>
  </si>
  <si>
    <t>林地可使用报告、</t>
  </si>
  <si>
    <t>机顶盒安装</t>
  </si>
  <si>
    <t>电力</t>
  </si>
  <si>
    <t>清洁服务、开荒</t>
  </si>
  <si>
    <t>测绘合同</t>
  </si>
  <si>
    <t>地毯</t>
  </si>
  <si>
    <t>检测费</t>
  </si>
  <si>
    <t>厨房、洗衣房设计合同</t>
  </si>
  <si>
    <t>电力设计</t>
  </si>
  <si>
    <t>咨询报告</t>
  </si>
  <si>
    <t>工程费用及设计费用等</t>
  </si>
  <si>
    <t>书画作品集</t>
  </si>
  <si>
    <t>测绘服务</t>
  </si>
  <si>
    <t>工程钻探</t>
  </si>
  <si>
    <t>代建协议</t>
  </si>
  <si>
    <t>建设工程造价咨询合同</t>
  </si>
  <si>
    <t>车辆租赁合同</t>
  </si>
  <si>
    <t>环境影响评价技术合同</t>
  </si>
  <si>
    <t>土地款</t>
  </si>
  <si>
    <t>增减挂沟</t>
  </si>
  <si>
    <t>财政支出</t>
  </si>
  <si>
    <t xml:space="preserve">说明 ：1、本表需填列各项目上的全部费用支出。
2、目标成本“直接工程费”为包含人工费、材料费、机械费、专业分包费。
3、各项合同按类别依次填写，行数不够自行插入添加，不能顺序杂乱。
4、各供应商中期计量金额及已付金额分期填入、汇总合计，并及时更新，列数不够自行插入添加。
5、“结算金额”列中已办理供应商结算的须填写结算金额。
</t>
  </si>
  <si>
    <t xml:space="preserve">工程进度：大面积已完成，剩余如下工程量：1、会议中心、宴会厅外墙窗格花安装，正在进行中。
2、会议中心、宴会厅空调自控系统调试，，正在进行中，单机调试已完成并投入使用。
3、消防验收问题整改，含消防各系统联动调试，正在进行中。
4、酒管公司提资，业主审批后需要调整的工程量。
5、室外部分景观绿化种植、水景观、喷灌、智能化、石材铺装。
6、酒店、会议中心空调调试，主要剩余是和智能化配合调试。
7、吊二层环氧树脂地坪施工。
</t>
  </si>
  <si>
    <t>南部新区深溪镇龙江村</t>
    <phoneticPr fontId="143" type="noConversion"/>
  </si>
  <si>
    <t>其他省市系数</t>
  </si>
  <si>
    <t>1,5</t>
    <phoneticPr fontId="31" type="noConversion"/>
  </si>
  <si>
    <t>计容</t>
  </si>
  <si>
    <t>计容</t>
    <phoneticPr fontId="7" type="noConversion"/>
  </si>
  <si>
    <t>不计容</t>
  </si>
  <si>
    <t>不计容</t>
    <phoneticPr fontId="7" type="noConversion"/>
  </si>
  <si>
    <t>收益法（不计容）</t>
  </si>
  <si>
    <t>收益法（计容）</t>
  </si>
  <si>
    <t>收益法（计容）</t>
    <phoneticPr fontId="16" type="noConversion"/>
  </si>
  <si>
    <t>遵义大酒店建设项目内部计量台账（单位：元）</t>
    <phoneticPr fontId="143" type="noConversion"/>
  </si>
  <si>
    <t>项目介绍</t>
    <phoneticPr fontId="143" type="noConversion"/>
  </si>
  <si>
    <t>2018-储备-18</t>
    <phoneticPr fontId="143" type="noConversion"/>
  </si>
  <si>
    <t>红花岗区忠庄镇银河路</t>
    <phoneticPr fontId="143" type="noConversion"/>
  </si>
  <si>
    <t>遵义红色旅游(集团)有限公司</t>
    <phoneticPr fontId="143" type="noConversion"/>
  </si>
  <si>
    <t>2018-新-14</t>
    <phoneticPr fontId="143" type="noConversion"/>
  </si>
  <si>
    <t>2018-NB-21</t>
    <phoneticPr fontId="143" type="noConversion"/>
  </si>
  <si>
    <t>一般</t>
  </si>
  <si>
    <t>较好</t>
  </si>
  <si>
    <t>http://zunyi.ganji.com/shangpu/41547288116497x.shtml?entinfo=41547288116497_0&amp;fzbref=0&amp;params=ranksp20181109busitimeAA10050^desc&amp;gjcity=zunyi&amp;psid=161018147207695700199540751&amp;cookie=|||1785496420876343534012&amp;apptype=10&amp;key=&amp;pubid=0&amp;trackkey=41547288116497_f03293e4-858c-41f0-83bf-0dcbe0dd93e6_20200319123641_1584592601707&amp;fcinfotype=gz&amp;jingxuan=1</t>
    <phoneticPr fontId="143" type="noConversion"/>
  </si>
  <si>
    <t>面积</t>
    <phoneticPr fontId="143" type="noConversion"/>
  </si>
  <si>
    <t>单价</t>
    <phoneticPr fontId="143" type="noConversion"/>
  </si>
  <si>
    <t>楼层</t>
    <phoneticPr fontId="143" type="noConversion"/>
  </si>
  <si>
    <t>年租金/万</t>
    <phoneticPr fontId="143" type="noConversion"/>
  </si>
  <si>
    <t>单价/元</t>
    <phoneticPr fontId="143" type="noConversion"/>
  </si>
  <si>
    <t>http://zunyi.ganji.com/shangpu/41539667204619x.shtml</t>
    <phoneticPr fontId="143" type="noConversion"/>
  </si>
  <si>
    <t>1</t>
    <phoneticPr fontId="143" type="noConversion"/>
  </si>
  <si>
    <t>http://zunyi.ganji.com/shangpu/41525709267978x.shtml</t>
    <phoneticPr fontId="143" type="noConversion"/>
  </si>
  <si>
    <t>1</t>
    <phoneticPr fontId="143" type="noConversion"/>
  </si>
  <si>
    <t>http://zunyi.ganji.com/shangpu/41492250527266x.shtml</t>
    <phoneticPr fontId="143" type="noConversion"/>
  </si>
  <si>
    <t>http://zunyi.ganji.com/shangpu/41449684710401x.shtml</t>
    <phoneticPr fontId="143" type="noConversion"/>
  </si>
  <si>
    <t>http://zunyi.ganji.com/shangpu/39988910721665x.shtml</t>
    <phoneticPr fontId="143" type="noConversion"/>
  </si>
  <si>
    <t>http://zunyi.ganji.com/shangpu/41547504535579x.shtml</t>
    <phoneticPr fontId="143" type="noConversion"/>
  </si>
  <si>
    <t>http://zunyi.ganji.com/shangpu/39989076207396x.shtml</t>
    <phoneticPr fontId="143" type="noConversion"/>
  </si>
  <si>
    <t>http://zunyi.ganji.com/shangpu/39988866223399x.shtml</t>
    <phoneticPr fontId="143" type="noConversion"/>
  </si>
  <si>
    <t>http://zunyi.ganji.com/shangpu/39989108437131x.shtml</t>
    <phoneticPr fontId="143" type="noConversion"/>
  </si>
  <si>
    <t>林达美食街</t>
    <phoneticPr fontId="143" type="noConversion"/>
  </si>
  <si>
    <t>实地蔷薇国际</t>
    <phoneticPr fontId="143" type="noConversion"/>
  </si>
  <si>
    <t>紫荆国际</t>
    <phoneticPr fontId="143" type="noConversion"/>
  </si>
  <si>
    <t>金科.中央公园</t>
    <phoneticPr fontId="143" type="noConversion"/>
  </si>
  <si>
    <t>售价/万</t>
    <phoneticPr fontId="143" type="noConversion"/>
  </si>
  <si>
    <t>https://mp.weixin.qq.com/s?__biz=MzA3NTA5MDEyNQ==&amp;mid=2656150811&amp;idx=1&amp;sn=74ca90f6d75e9bf966660a485cf84a6e&amp;chksm=84d0d4b9b3a75daf0e90d7b423b4729d1e0623c91440321995905155b52c2c1d05339aafd856&amp;mpshare=1&amp;scene=1&amp;srcid=&amp;sharer_sharetime=1577267524850&amp;sharer_shareid=6e65ade415263cb5bce0e32163a0c7b6&amp;key=4ba6c550599d9974665798f0693f89954abb07b6fa50187fc1a31459ac0cfa2169e27cca2879642fafe434a93dcb02d3d260ee5b907d605bd16bbf1c9c70e66f5b3088c709a81e2867d8aef33cf5f50f&amp;ascene=1&amp;uin=MTExNzAzNDEyMA%3D%3D&amp;devicetype=Windows+7&amp;version=62070158&amp;lang=zh_CN&amp;exportkey=A3tVJYjruAuWfF2l9DOakNM%3D&amp;pass_ticket=1c8n%2BnFFRJsEKnHoYHZMr9Ne%2F8ShozGd%2FjFWwS3OrmHNCickquT88jaVfrPOiZIt</t>
    <phoneticPr fontId="143" type="noConversion"/>
  </si>
  <si>
    <t>项目</t>
    <phoneticPr fontId="143" type="noConversion"/>
  </si>
  <si>
    <t>1-2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</si>
</sst>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
      <sz val="10"/>
      <color rgb="FF000000"/>
      <name val="Arial"/>
      <family val="3"/>
      <charset val="134"/>
    </font>
    <font>
      <b/>
      <sz val="9"/>
      <color rgb="FF000000"/>
      <name val="宋体"/>
      <family val="3"/>
      <charset val="134"/>
    </font>
    <font>
      <sz val="9"/>
      <color indexed="8"/>
      <name val="宋体"/>
      <family val="3"/>
      <charset val="134"/>
      <scheme val="minor"/>
    </font>
    <font>
      <sz val="9"/>
      <color theme="1" tint="4.9989318521683403E-2"/>
      <name val="宋体"/>
      <family val="3"/>
      <charset val="134"/>
      <scheme val="minor"/>
    </font>
    <font>
      <sz val="9"/>
      <color rgb="FF00B050"/>
      <name val="宋体"/>
      <family val="3"/>
      <charset val="134"/>
      <scheme val="minor"/>
    </font>
    <font>
      <sz val="9"/>
      <color theme="1"/>
      <name val="宋体"/>
      <family val="3"/>
      <charset val="134"/>
      <scheme val="minor"/>
    </font>
    <font>
      <sz val="10.5"/>
      <color theme="1"/>
      <name val="微软雅黑"/>
      <family val="2"/>
      <charset val="134"/>
    </font>
    <font>
      <b/>
      <sz val="10.5"/>
      <color theme="1"/>
      <name val="微软雅黑"/>
      <family val="2"/>
      <charset val="134"/>
    </font>
    <font>
      <sz val="10"/>
      <color rgb="FF000000"/>
      <name val="SimSun"/>
      <family val="3"/>
      <charset val="134"/>
    </font>
    <font>
      <b/>
      <sz val="12"/>
      <name val="SimSun"/>
      <family val="3"/>
      <charset val="134"/>
    </font>
    <font>
      <u/>
      <sz val="11"/>
      <color theme="10"/>
      <name val="宋体"/>
      <family val="3"/>
      <charset val="134"/>
      <scheme val="minor"/>
    </font>
    <font>
      <sz val="10.65"/>
      <color theme="1"/>
      <name val="微软雅黑"/>
      <family val="2"/>
      <charset val="134"/>
    </font>
    <font>
      <u/>
      <sz val="10.65"/>
      <color theme="1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7"/>
        <bgColor indexed="64"/>
      </patternFill>
    </fill>
    <fill>
      <patternFill patternType="solid">
        <fgColor rgb="FFC00000"/>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99" fillId="0" borderId="0" applyFont="0" applyFill="0" applyBorder="0" applyAlignment="0" applyProtection="0">
      <alignment vertical="center"/>
    </xf>
    <xf numFmtId="0" fontId="37" fillId="0" borderId="0">
      <alignment vertical="center"/>
    </xf>
    <xf numFmtId="0" fontId="267" fillId="0" borderId="0" applyNumberFormat="0" applyFill="0" applyBorder="0" applyAlignment="0" applyProtection="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7" fillId="2" borderId="1" xfId="0" applyFont="1" applyFill="1" applyBorder="1" applyAlignment="1" applyProtection="1">
      <alignment horizontal="left" vertical="center" wrapText="1"/>
      <protection locked="0"/>
    </xf>
    <xf numFmtId="0" fontId="0" fillId="18" borderId="0" xfId="0" applyFill="1" applyAlignment="1"/>
    <xf numFmtId="0" fontId="100" fillId="0" borderId="0" xfId="0" applyFont="1" applyAlignment="1"/>
    <xf numFmtId="0" fontId="100" fillId="18" borderId="0" xfId="0" applyFont="1" applyFill="1" applyAlignment="1"/>
    <xf numFmtId="0" fontId="47" fillId="19" borderId="24" xfId="0"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0" borderId="0" xfId="10" applyFont="1" applyAlignment="1">
      <alignment horizontal="center" vertical="center"/>
    </xf>
    <xf numFmtId="0" fontId="113" fillId="0" borderId="1" xfId="10" applyFont="1" applyBorder="1" applyAlignment="1">
      <alignment horizontal="center" vertical="center"/>
    </xf>
    <xf numFmtId="0" fontId="113" fillId="0" borderId="1" xfId="10" applyFont="1" applyBorder="1" applyAlignment="1">
      <alignment horizontal="center" vertical="center" wrapText="1"/>
    </xf>
    <xf numFmtId="37" fontId="113" fillId="7" borderId="1" xfId="10" applyNumberFormat="1" applyFont="1" applyFill="1" applyBorder="1" applyAlignment="1">
      <alignment horizontal="center" vertical="center"/>
    </xf>
    <xf numFmtId="9" fontId="113" fillId="0" borderId="1" xfId="10" applyNumberFormat="1" applyFont="1" applyBorder="1" applyAlignment="1">
      <alignment horizontal="center" vertical="center"/>
    </xf>
    <xf numFmtId="0" fontId="113" fillId="0" borderId="13" xfId="10" applyFont="1" applyBorder="1" applyAlignment="1">
      <alignment horizontal="center" vertical="center"/>
    </xf>
    <xf numFmtId="39" fontId="113" fillId="0" borderId="13" xfId="10" applyNumberFormat="1" applyFont="1" applyBorder="1" applyAlignment="1">
      <alignment horizontal="center" vertical="center"/>
    </xf>
    <xf numFmtId="179" fontId="113" fillId="0" borderId="13" xfId="10" applyNumberFormat="1" applyFont="1" applyBorder="1" applyAlignment="1">
      <alignment horizontal="center" vertical="center"/>
    </xf>
    <xf numFmtId="179" fontId="113" fillId="0" borderId="1" xfId="10" applyNumberFormat="1" applyFont="1" applyBorder="1" applyAlignment="1">
      <alignment horizontal="center" vertical="center"/>
    </xf>
    <xf numFmtId="179" fontId="113" fillId="0" borderId="2" xfId="10" applyNumberFormat="1" applyFont="1" applyBorder="1" applyAlignment="1">
      <alignment horizontal="center" vertical="center"/>
    </xf>
    <xf numFmtId="39" fontId="113" fillId="0" borderId="1" xfId="10" applyNumberFormat="1" applyFont="1" applyBorder="1" applyAlignment="1">
      <alignment horizontal="center" vertical="center"/>
    </xf>
    <xf numFmtId="39" fontId="130" fillId="0" borderId="1" xfId="10" applyNumberFormat="1" applyFont="1" applyBorder="1" applyAlignment="1">
      <alignment horizontal="center" vertical="center"/>
    </xf>
    <xf numFmtId="0" fontId="167" fillId="0" borderId="1" xfId="10" applyFont="1" applyBorder="1" applyAlignment="1">
      <alignment horizontal="center" vertical="center"/>
    </xf>
    <xf numFmtId="0" fontId="113" fillId="5" borderId="1" xfId="10" applyFont="1" applyFill="1" applyBorder="1" applyAlignment="1">
      <alignment horizontal="center" vertical="center"/>
    </xf>
    <xf numFmtId="179" fontId="113" fillId="5" borderId="1" xfId="10" applyNumberFormat="1" applyFont="1" applyFill="1" applyBorder="1" applyAlignment="1">
      <alignment horizontal="center" vertical="center"/>
    </xf>
    <xf numFmtId="0" fontId="113" fillId="5" borderId="1" xfId="10" applyFont="1" applyFill="1" applyBorder="1" applyAlignment="1">
      <alignment horizontal="center" vertical="center" wrapText="1"/>
    </xf>
    <xf numFmtId="9" fontId="113" fillId="5" borderId="1" xfId="10" applyNumberFormat="1" applyFont="1" applyFill="1" applyBorder="1" applyAlignment="1">
      <alignment horizontal="center" vertical="center"/>
    </xf>
    <xf numFmtId="39" fontId="113" fillId="5" borderId="1" xfId="10" applyNumberFormat="1" applyFont="1" applyFill="1" applyBorder="1" applyAlignment="1">
      <alignment horizontal="center" vertical="center"/>
    </xf>
    <xf numFmtId="0" fontId="167" fillId="5" borderId="1" xfId="10" applyFont="1" applyFill="1" applyBorder="1" applyAlignment="1">
      <alignment horizontal="center" vertical="center"/>
    </xf>
    <xf numFmtId="179" fontId="167" fillId="0" borderId="1" xfId="10" applyNumberFormat="1" applyFont="1" applyBorder="1" applyAlignment="1">
      <alignment horizontal="center" vertical="center"/>
    </xf>
    <xf numFmtId="10" fontId="113" fillId="0" borderId="1" xfId="10" applyNumberFormat="1" applyFont="1" applyBorder="1" applyAlignment="1">
      <alignment horizontal="center" vertical="center"/>
    </xf>
    <xf numFmtId="4" fontId="113" fillId="0" borderId="1" xfId="10" applyNumberFormat="1" applyFont="1" applyBorder="1" applyAlignment="1">
      <alignment horizontal="center" vertical="center"/>
    </xf>
    <xf numFmtId="39" fontId="113" fillId="7" borderId="1" xfId="10" applyNumberFormat="1" applyFont="1" applyFill="1" applyBorder="1" applyAlignment="1">
      <alignment horizontal="center" vertical="center"/>
    </xf>
    <xf numFmtId="0" fontId="113" fillId="0" borderId="1" xfId="10" applyFont="1" applyBorder="1" applyAlignment="1">
      <alignment vertical="center" wrapText="1"/>
    </xf>
    <xf numFmtId="0" fontId="113" fillId="0" borderId="13" xfId="10" applyFont="1" applyBorder="1">
      <alignment vertical="center"/>
    </xf>
    <xf numFmtId="179" fontId="113" fillId="0" borderId="13" xfId="10" applyNumberFormat="1" applyFont="1" applyBorder="1">
      <alignment vertical="center"/>
    </xf>
    <xf numFmtId="10" fontId="113" fillId="0" borderId="13" xfId="10" applyNumberFormat="1" applyFont="1" applyBorder="1" applyAlignment="1">
      <alignment horizontal="center" vertical="center"/>
    </xf>
    <xf numFmtId="0" fontId="113" fillId="0" borderId="1" xfId="10" applyFont="1" applyBorder="1">
      <alignment vertical="center"/>
    </xf>
    <xf numFmtId="0" fontId="259" fillId="0" borderId="1" xfId="10" applyFont="1" applyBorder="1" applyAlignment="1">
      <alignment horizontal="left" vertical="center" wrapText="1"/>
    </xf>
    <xf numFmtId="197" fontId="259" fillId="0" borderId="1" xfId="17" applyFont="1" applyFill="1" applyBorder="1" applyAlignment="1">
      <alignment horizontal="left" vertical="center" wrapText="1"/>
    </xf>
    <xf numFmtId="179" fontId="113" fillId="0" borderId="1" xfId="10" applyNumberFormat="1" applyFont="1" applyBorder="1">
      <alignment vertical="center"/>
    </xf>
    <xf numFmtId="0" fontId="113" fillId="0" borderId="15" xfId="10" applyFont="1" applyBorder="1" applyAlignment="1">
      <alignment horizontal="center" vertical="center"/>
    </xf>
    <xf numFmtId="10" fontId="113" fillId="0" borderId="15" xfId="10" applyNumberFormat="1" applyFont="1" applyBorder="1" applyAlignment="1">
      <alignment horizontal="center" vertical="center"/>
    </xf>
    <xf numFmtId="197" fontId="259" fillId="0" borderId="1" xfId="17" applyFont="1" applyFill="1" applyBorder="1" applyAlignment="1">
      <alignment vertical="center"/>
    </xf>
    <xf numFmtId="197" fontId="259" fillId="0" borderId="1" xfId="17" applyFont="1" applyFill="1" applyBorder="1" applyAlignment="1">
      <alignment vertical="center" wrapText="1"/>
    </xf>
    <xf numFmtId="0" fontId="260" fillId="0" borderId="1" xfId="10" applyFont="1" applyBorder="1" applyAlignment="1">
      <alignment horizontal="left" vertical="center" wrapText="1"/>
    </xf>
    <xf numFmtId="197" fontId="260" fillId="0" borderId="1" xfId="17" applyFont="1" applyFill="1" applyBorder="1" applyAlignment="1">
      <alignment horizontal="left" vertical="center" wrapText="1"/>
    </xf>
    <xf numFmtId="0" fontId="143" fillId="0" borderId="1" xfId="10" applyFont="1" applyBorder="1" applyAlignment="1">
      <alignment horizontal="left" vertical="center" wrapText="1"/>
    </xf>
    <xf numFmtId="0" fontId="143" fillId="0" borderId="1" xfId="18" applyFont="1" applyBorder="1" applyAlignment="1">
      <alignment horizontal="center" vertical="center"/>
    </xf>
    <xf numFmtId="197" fontId="261" fillId="0" borderId="1" xfId="17" applyFont="1" applyFill="1" applyBorder="1" applyAlignment="1">
      <alignment vertical="center"/>
    </xf>
    <xf numFmtId="0" fontId="259" fillId="0" borderId="1" xfId="3" applyFont="1" applyBorder="1" applyAlignment="1">
      <alignment horizontal="left" vertical="center" wrapText="1"/>
    </xf>
    <xf numFmtId="197" fontId="259" fillId="0" borderId="1" xfId="17" applyFont="1" applyFill="1" applyBorder="1" applyAlignment="1">
      <alignment horizontal="left" vertical="center"/>
    </xf>
    <xf numFmtId="0" fontId="259" fillId="0" borderId="1" xfId="18" applyFont="1" applyBorder="1" applyAlignment="1">
      <alignment horizontal="left" vertical="center" wrapText="1"/>
    </xf>
    <xf numFmtId="39" fontId="262" fillId="7" borderId="1" xfId="10" applyNumberFormat="1" applyFont="1" applyFill="1" applyBorder="1" applyAlignment="1">
      <alignment horizontal="right" vertical="center"/>
    </xf>
    <xf numFmtId="37" fontId="113" fillId="7" borderId="0" xfId="10" applyNumberFormat="1" applyFont="1" applyFill="1" applyAlignment="1">
      <alignment horizontal="center" vertical="center"/>
    </xf>
    <xf numFmtId="0" fontId="113" fillId="0" borderId="0" xfId="10" applyFont="1" applyAlignment="1">
      <alignment horizontal="center" vertical="center" wrapText="1"/>
    </xf>
    <xf numFmtId="0" fontId="0" fillId="20" borderId="0" xfId="0" applyFill="1" applyAlignment="1"/>
    <xf numFmtId="0" fontId="100" fillId="20" borderId="0" xfId="0" applyFont="1" applyFill="1" applyAlignment="1"/>
    <xf numFmtId="0" fontId="99" fillId="20" borderId="0" xfId="0" applyFont="1" applyFill="1" applyAlignment="1"/>
    <xf numFmtId="0" fontId="98" fillId="5" borderId="9" xfId="0" applyFont="1" applyFill="1" applyBorder="1" applyAlignment="1" applyProtection="1">
      <alignment horizontal="center" vertical="center"/>
      <protection locked="0"/>
    </xf>
    <xf numFmtId="0" fontId="263" fillId="17" borderId="0" xfId="0" applyFont="1" applyFill="1" applyAlignment="1">
      <alignment horizontal="left" vertical="top"/>
    </xf>
    <xf numFmtId="0" fontId="263" fillId="7" borderId="0" xfId="0" applyFont="1" applyFill="1" applyAlignment="1">
      <alignment horizontal="left" vertical="top"/>
    </xf>
    <xf numFmtId="0" fontId="264" fillId="17" borderId="0" xfId="0" applyFont="1" applyFill="1" applyAlignment="1">
      <alignment horizontal="left" vertical="top"/>
    </xf>
    <xf numFmtId="0" fontId="263" fillId="7" borderId="0" xfId="0" applyFont="1" applyFill="1" applyAlignment="1">
      <alignment horizontal="right" vertical="top"/>
    </xf>
    <xf numFmtId="0" fontId="264" fillId="17" borderId="0" xfId="0" applyFont="1" applyFill="1" applyAlignment="1">
      <alignment horizontal="right" vertical="top"/>
    </xf>
    <xf numFmtId="49" fontId="266" fillId="2" borderId="27" xfId="0" applyNumberFormat="1" applyFont="1" applyFill="1" applyBorder="1" applyAlignment="1" applyProtection="1">
      <alignment horizontal="right"/>
      <protection locked="0"/>
    </xf>
    <xf numFmtId="186" fontId="265" fillId="5" borderId="1"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protection locked="0"/>
    </xf>
    <xf numFmtId="0" fontId="49" fillId="0" borderId="24" xfId="0" applyNumberFormat="1" applyFont="1" applyFill="1" applyBorder="1" applyAlignment="1" applyProtection="1">
      <alignment horizontal="center" vertical="center"/>
      <protection locked="0"/>
    </xf>
    <xf numFmtId="0" fontId="49" fillId="0" borderId="32"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63" fillId="7" borderId="0" xfId="0" applyFont="1" applyFill="1" applyAlignment="1">
      <alignment horizontal="left" vertical="top"/>
    </xf>
    <xf numFmtId="0" fontId="263" fillId="17" borderId="0" xfId="0" applyFont="1" applyFill="1" applyAlignment="1">
      <alignment horizontal="left" vertical="top"/>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13" fillId="0" borderId="0" xfId="10" applyFont="1" applyAlignment="1">
      <alignment horizontal="left" vertical="center" wrapText="1"/>
    </xf>
    <xf numFmtId="0" fontId="113" fillId="0" borderId="0" xfId="10" applyFont="1" applyAlignment="1">
      <alignment horizontal="left" vertical="center"/>
    </xf>
    <xf numFmtId="0" fontId="119" fillId="0" borderId="0" xfId="10" applyFont="1" applyAlignment="1">
      <alignment horizontal="left" vertical="center" wrapText="1"/>
    </xf>
    <xf numFmtId="0" fontId="119" fillId="0" borderId="0" xfId="10" applyFont="1" applyAlignment="1">
      <alignment horizontal="left" vertical="center"/>
    </xf>
    <xf numFmtId="0" fontId="113" fillId="0" borderId="13" xfId="10" applyFont="1" applyBorder="1" applyAlignment="1">
      <alignment horizontal="center" vertical="center"/>
    </xf>
    <xf numFmtId="0" fontId="113" fillId="0" borderId="15" xfId="10" applyFont="1" applyBorder="1" applyAlignment="1">
      <alignment horizontal="center" vertical="center"/>
    </xf>
    <xf numFmtId="0" fontId="113" fillId="0" borderId="2" xfId="10" applyFont="1" applyBorder="1" applyAlignment="1">
      <alignment horizontal="center" vertical="center"/>
    </xf>
    <xf numFmtId="0" fontId="113" fillId="0" borderId="1" xfId="10" applyFont="1" applyBorder="1" applyAlignment="1">
      <alignment horizontal="center" vertical="center" wrapText="1"/>
    </xf>
    <xf numFmtId="0" fontId="113" fillId="0" borderId="1" xfId="10" applyFont="1" applyBorder="1" applyAlignment="1">
      <alignment horizontal="center" vertical="center"/>
    </xf>
    <xf numFmtId="179" fontId="113" fillId="0" borderId="13" xfId="10" applyNumberFormat="1" applyFont="1" applyBorder="1" applyAlignment="1">
      <alignment horizontal="center" vertical="center"/>
    </xf>
    <xf numFmtId="179" fontId="113" fillId="0" borderId="15" xfId="10" applyNumberFormat="1" applyFont="1" applyBorder="1" applyAlignment="1">
      <alignment horizontal="center" vertical="center"/>
    </xf>
    <xf numFmtId="179" fontId="113" fillId="0" borderId="2" xfId="10" applyNumberFormat="1" applyFont="1" applyBorder="1" applyAlignment="1">
      <alignment horizontal="center" vertical="center"/>
    </xf>
    <xf numFmtId="39" fontId="113" fillId="0" borderId="13" xfId="10" applyNumberFormat="1" applyFont="1" applyBorder="1" applyAlignment="1">
      <alignment horizontal="center" vertical="center"/>
    </xf>
    <xf numFmtId="39" fontId="113" fillId="0" borderId="2" xfId="10" applyNumberFormat="1" applyFont="1" applyBorder="1" applyAlignment="1">
      <alignment horizontal="center" vertical="center"/>
    </xf>
    <xf numFmtId="10" fontId="113" fillId="0" borderId="13" xfId="10" applyNumberFormat="1" applyFont="1" applyBorder="1" applyAlignment="1">
      <alignment horizontal="center" vertical="center"/>
    </xf>
    <xf numFmtId="10" fontId="113" fillId="0" borderId="15" xfId="10" applyNumberFormat="1" applyFont="1" applyBorder="1" applyAlignment="1">
      <alignment horizontal="center" vertical="center"/>
    </xf>
    <xf numFmtId="10" fontId="113" fillId="0" borderId="2" xfId="10" applyNumberFormat="1" applyFont="1" applyBorder="1" applyAlignment="1">
      <alignment horizontal="center" vertical="center"/>
    </xf>
    <xf numFmtId="0" fontId="113" fillId="0" borderId="13" xfId="10" applyFont="1" applyBorder="1" applyAlignment="1">
      <alignment horizontal="center" vertical="center" wrapText="1"/>
    </xf>
    <xf numFmtId="0" fontId="113" fillId="0" borderId="15" xfId="10" applyFont="1" applyBorder="1" applyAlignment="1">
      <alignment horizontal="center" vertical="center" wrapText="1"/>
    </xf>
    <xf numFmtId="0" fontId="113" fillId="0" borderId="2" xfId="10" applyFont="1" applyBorder="1" applyAlignment="1">
      <alignment horizontal="center" vertical="center" wrapText="1"/>
    </xf>
    <xf numFmtId="0" fontId="113" fillId="0" borderId="0" xfId="10" applyFont="1" applyAlignment="1">
      <alignment horizontal="center" vertical="center"/>
    </xf>
    <xf numFmtId="0" fontId="113" fillId="0" borderId="0" xfId="10" applyFont="1" applyAlignment="1">
      <alignment horizontal="center" vertical="center" wrapText="1"/>
    </xf>
    <xf numFmtId="37" fontId="113" fillId="7" borderId="0" xfId="10" applyNumberFormat="1" applyFont="1" applyFill="1" applyAlignment="1">
      <alignment horizontal="center" vertical="center"/>
    </xf>
    <xf numFmtId="37" fontId="113" fillId="7" borderId="1" xfId="10" applyNumberFormat="1" applyFont="1" applyFill="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8" fillId="0" borderId="0" xfId="0" applyFont="1">
      <alignment vertical="center"/>
    </xf>
    <xf numFmtId="49" fontId="268" fillId="0" borderId="0" xfId="0" applyNumberFormat="1" applyFont="1">
      <alignment vertical="center"/>
    </xf>
    <xf numFmtId="0" fontId="268" fillId="0" borderId="0" xfId="0" applyFont="1" applyAlignment="1">
      <alignment horizontal="left" vertical="center"/>
    </xf>
    <xf numFmtId="1" fontId="268" fillId="0" borderId="0" xfId="0" applyNumberFormat="1" applyFont="1">
      <alignment vertical="center"/>
    </xf>
    <xf numFmtId="2" fontId="268" fillId="0" borderId="0" xfId="0" applyNumberFormat="1" applyFont="1">
      <alignment vertical="center"/>
    </xf>
    <xf numFmtId="0" fontId="269" fillId="0" borderId="0" xfId="19" applyFont="1">
      <alignment vertical="center"/>
    </xf>
    <xf numFmtId="184" fontId="64" fillId="8" borderId="1" xfId="0" applyNumberFormat="1" applyFont="1" applyFill="1" applyBorder="1" applyAlignment="1" applyProtection="1">
      <alignment horizontal="center" vertical="center" shrinkToFit="1"/>
      <protection locked="0"/>
    </xf>
  </cellXfs>
  <cellStyles count="20">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千位分隔 2" xfId="17"/>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11</xdr:row>
      <xdr:rowOff>50800</xdr:rowOff>
    </xdr:from>
    <xdr:to>
      <xdr:col>3</xdr:col>
      <xdr:colOff>706967</xdr:colOff>
      <xdr:row>21</xdr:row>
      <xdr:rowOff>177800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2946400"/>
          <a:ext cx="3132667" cy="2349500"/>
        </a:xfrm>
        <a:prstGeom prst="rect">
          <a:avLst/>
        </a:prstGeom>
      </xdr:spPr>
    </xdr:pic>
    <xdr:clientData/>
  </xdr:twoCellAnchor>
  <xdr:twoCellAnchor editAs="oneCell">
    <xdr:from>
      <xdr:col>3</xdr:col>
      <xdr:colOff>746900</xdr:colOff>
      <xdr:row>11</xdr:row>
      <xdr:rowOff>54750</xdr:rowOff>
    </xdr:from>
    <xdr:to>
      <xdr:col>7</xdr:col>
      <xdr:colOff>552167</xdr:colOff>
      <xdr:row>21</xdr:row>
      <xdr:rowOff>181750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85300" y="2950350"/>
          <a:ext cx="3132667" cy="2349500"/>
        </a:xfrm>
        <a:prstGeom prst="rect">
          <a:avLst/>
        </a:prstGeom>
      </xdr:spPr>
    </xdr:pic>
    <xdr:clientData/>
  </xdr:twoCellAnchor>
  <xdr:twoCellAnchor editAs="oneCell">
    <xdr:from>
      <xdr:col>0</xdr:col>
      <xdr:colOff>0</xdr:colOff>
      <xdr:row>22</xdr:row>
      <xdr:rowOff>36633</xdr:rowOff>
    </xdr:from>
    <xdr:to>
      <xdr:col>3</xdr:col>
      <xdr:colOff>310478</xdr:colOff>
      <xdr:row>39</xdr:row>
      <xdr:rowOff>73267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41325"/>
          <a:ext cx="2735690" cy="3773365"/>
        </a:xfrm>
        <a:prstGeom prst="rect">
          <a:avLst/>
        </a:prstGeom>
      </xdr:spPr>
    </xdr:pic>
    <xdr:clientData/>
  </xdr:twoCellAnchor>
  <xdr:twoCellAnchor editAs="oneCell">
    <xdr:from>
      <xdr:col>3</xdr:col>
      <xdr:colOff>318520</xdr:colOff>
      <xdr:row>22</xdr:row>
      <xdr:rowOff>77116</xdr:rowOff>
    </xdr:from>
    <xdr:to>
      <xdr:col>6</xdr:col>
      <xdr:colOff>240214</xdr:colOff>
      <xdr:row>37</xdr:row>
      <xdr:rowOff>123621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43732" y="5381808"/>
          <a:ext cx="2405520" cy="3343621"/>
        </a:xfrm>
        <a:prstGeom prst="rect">
          <a:avLst/>
        </a:prstGeom>
      </xdr:spPr>
    </xdr:pic>
    <xdr:clientData/>
  </xdr:twoCellAnchor>
  <xdr:twoCellAnchor editAs="oneCell">
    <xdr:from>
      <xdr:col>6</xdr:col>
      <xdr:colOff>263365</xdr:colOff>
      <xdr:row>22</xdr:row>
      <xdr:rowOff>36057</xdr:rowOff>
    </xdr:from>
    <xdr:to>
      <xdr:col>9</xdr:col>
      <xdr:colOff>179818</xdr:colOff>
      <xdr:row>37</xdr:row>
      <xdr:rowOff>108766</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403" y="5340749"/>
          <a:ext cx="2400280" cy="3369825"/>
        </a:xfrm>
        <a:prstGeom prst="rect">
          <a:avLst/>
        </a:prstGeom>
      </xdr:spPr>
    </xdr:pic>
    <xdr:clientData/>
  </xdr:twoCellAnchor>
  <xdr:twoCellAnchor editAs="oneCell">
    <xdr:from>
      <xdr:col>9</xdr:col>
      <xdr:colOff>171578</xdr:colOff>
      <xdr:row>22</xdr:row>
      <xdr:rowOff>50327</xdr:rowOff>
    </xdr:from>
    <xdr:to>
      <xdr:col>12</xdr:col>
      <xdr:colOff>88030</xdr:colOff>
      <xdr:row>37</xdr:row>
      <xdr:rowOff>28701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64443" y="5355019"/>
          <a:ext cx="2400279" cy="3275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12</xdr:col>
      <xdr:colOff>9525</xdr:colOff>
      <xdr:row>115</xdr:row>
      <xdr:rowOff>77950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201650"/>
          <a:ext cx="10058400" cy="6593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707572</xdr:colOff>
      <xdr:row>39</xdr:row>
      <xdr:rowOff>6803</xdr:rowOff>
    </xdr:from>
    <xdr:to>
      <xdr:col>4</xdr:col>
      <xdr:colOff>536575</xdr:colOff>
      <xdr:row>56</xdr:row>
      <xdr:rowOff>44645</xdr:rowOff>
    </xdr:to>
    <xdr:pic>
      <xdr:nvPicPr>
        <xdr:cNvPr id="2" name="图片 1">
          <a:extLst>
            <a:ext uri="{FF2B5EF4-FFF2-40B4-BE49-F238E27FC236}">
              <a16:creationId xmlns="" xmlns:a16="http://schemas.microsoft.com/office/drawing/2014/main" id="{80FCF384-55F5-9B4B-9CD4-4C843E40F1D1}"/>
            </a:ext>
          </a:extLst>
        </xdr:cNvPr>
        <xdr:cNvPicPr>
          <a:picLocks noChangeAspect="1"/>
        </xdr:cNvPicPr>
      </xdr:nvPicPr>
      <xdr:blipFill>
        <a:blip xmlns:r="http://schemas.openxmlformats.org/officeDocument/2006/relationships" r:embed="rId1"/>
        <a:stretch>
          <a:fillRect/>
        </a:stretch>
      </xdr:blipFill>
      <xdr:spPr>
        <a:xfrm>
          <a:off x="707572" y="5851071"/>
          <a:ext cx="2958646" cy="2929360"/>
        </a:xfrm>
        <a:prstGeom prst="rect">
          <a:avLst/>
        </a:prstGeom>
      </xdr:spPr>
    </xdr:pic>
    <xdr:clientData/>
  </xdr:twoCellAnchor>
  <xdr:twoCellAnchor editAs="oneCell">
    <xdr:from>
      <xdr:col>9</xdr:col>
      <xdr:colOff>104321</xdr:colOff>
      <xdr:row>0</xdr:row>
      <xdr:rowOff>0</xdr:rowOff>
    </xdr:from>
    <xdr:to>
      <xdr:col>13</xdr:col>
      <xdr:colOff>416647</xdr:colOff>
      <xdr:row>13</xdr:row>
      <xdr:rowOff>79375</xdr:rowOff>
    </xdr:to>
    <xdr:pic>
      <xdr:nvPicPr>
        <xdr:cNvPr id="3" name="图片 2">
          <a:extLst>
            <a:ext uri="{FF2B5EF4-FFF2-40B4-BE49-F238E27FC236}">
              <a16:creationId xmlns="" xmlns:a16="http://schemas.microsoft.com/office/drawing/2014/main" id="{15ED4198-540C-CB41-BABE-7C43CD774803}"/>
            </a:ext>
          </a:extLst>
        </xdr:cNvPr>
        <xdr:cNvPicPr>
          <a:picLocks noChangeAspect="1"/>
        </xdr:cNvPicPr>
      </xdr:nvPicPr>
      <xdr:blipFill>
        <a:blip xmlns:r="http://schemas.openxmlformats.org/officeDocument/2006/relationships" r:embed="rId2"/>
        <a:stretch>
          <a:fillRect/>
        </a:stretch>
      </xdr:blipFill>
      <xdr:spPr>
        <a:xfrm>
          <a:off x="6601732" y="0"/>
          <a:ext cx="3006540" cy="231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47625</xdr:colOff>
      <xdr:row>26</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1425" cy="5810250"/>
        </a:xfrm>
        <a:prstGeom prst="rect">
          <a:avLst/>
        </a:prstGeom>
      </xdr:spPr>
    </xdr:pic>
    <xdr:clientData/>
  </xdr:twoCellAnchor>
  <xdr:twoCellAnchor>
    <xdr:from>
      <xdr:col>6</xdr:col>
      <xdr:colOff>66675</xdr:colOff>
      <xdr:row>15</xdr:row>
      <xdr:rowOff>66674</xdr:rowOff>
    </xdr:from>
    <xdr:to>
      <xdr:col>6</xdr:col>
      <xdr:colOff>342900</xdr:colOff>
      <xdr:row>16</xdr:row>
      <xdr:rowOff>104774</xdr:rowOff>
    </xdr:to>
    <xdr:sp macro="" textlink="">
      <xdr:nvSpPr>
        <xdr:cNvPr id="3" name="五角星 2"/>
        <xdr:cNvSpPr/>
      </xdr:nvSpPr>
      <xdr:spPr>
        <a:xfrm>
          <a:off x="4181475" y="3352799"/>
          <a:ext cx="276225" cy="257175"/>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26</xdr:row>
      <xdr:rowOff>209550</xdr:rowOff>
    </xdr:from>
    <xdr:to>
      <xdr:col>10</xdr:col>
      <xdr:colOff>614586</xdr:colOff>
      <xdr:row>51</xdr:row>
      <xdr:rowOff>76200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905500"/>
          <a:ext cx="7472586" cy="5343525"/>
        </a:xfrm>
        <a:prstGeom prst="rect">
          <a:avLst/>
        </a:prstGeom>
      </xdr:spPr>
    </xdr:pic>
    <xdr:clientData/>
  </xdr:twoCellAnchor>
  <xdr:twoCellAnchor>
    <xdr:from>
      <xdr:col>6</xdr:col>
      <xdr:colOff>228601</xdr:colOff>
      <xdr:row>44</xdr:row>
      <xdr:rowOff>190500</xdr:rowOff>
    </xdr:from>
    <xdr:to>
      <xdr:col>6</xdr:col>
      <xdr:colOff>457200</xdr:colOff>
      <xdr:row>45</xdr:row>
      <xdr:rowOff>190500</xdr:rowOff>
    </xdr:to>
    <xdr:sp macro="" textlink="">
      <xdr:nvSpPr>
        <xdr:cNvPr id="5" name="五角星 4"/>
        <xdr:cNvSpPr/>
      </xdr:nvSpPr>
      <xdr:spPr>
        <a:xfrm>
          <a:off x="4343401" y="9829800"/>
          <a:ext cx="228599" cy="219075"/>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hyperlink" Target="http://zunyi.ganji.com/shangpu/39988866223399x.shtml" TargetMode="External"/><Relationship Id="rId3" Type="http://schemas.openxmlformats.org/officeDocument/2006/relationships/hyperlink" Target="http://zunyi.ganji.com/shangpu/41492250527266x.shtml" TargetMode="External"/><Relationship Id="rId7" Type="http://schemas.openxmlformats.org/officeDocument/2006/relationships/hyperlink" Target="http://zunyi.ganji.com/shangpu/39989076207396x.shtml" TargetMode="External"/><Relationship Id="rId2" Type="http://schemas.openxmlformats.org/officeDocument/2006/relationships/hyperlink" Target="http://zunyi.ganji.com/shangpu/41525709267978x.shtml" TargetMode="External"/><Relationship Id="rId1" Type="http://schemas.openxmlformats.org/officeDocument/2006/relationships/hyperlink" Target="http://zunyi.ganji.com/shangpu/41539667204619x.shtml" TargetMode="External"/><Relationship Id="rId6" Type="http://schemas.openxmlformats.org/officeDocument/2006/relationships/hyperlink" Target="http://zunyi.ganji.com/shangpu/41547504535579x.shtml" TargetMode="External"/><Relationship Id="rId5" Type="http://schemas.openxmlformats.org/officeDocument/2006/relationships/hyperlink" Target="http://zunyi.ganji.com/shangpu/39988910721665x.shtml" TargetMode="External"/><Relationship Id="rId10" Type="http://schemas.openxmlformats.org/officeDocument/2006/relationships/drawing" Target="../drawings/drawing4.xml"/><Relationship Id="rId4" Type="http://schemas.openxmlformats.org/officeDocument/2006/relationships/hyperlink" Target="http://zunyi.ganji.com/shangpu/41449684710401x.shtml" TargetMode="External"/><Relationship Id="rId9" Type="http://schemas.openxmlformats.org/officeDocument/2006/relationships/hyperlink" Target="http://zunyi.ganji.com/shangpu/39989108437131x.s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1214</v>
      </c>
      <c r="B1" s="1581" t="s">
        <v>1293</v>
      </c>
    </row>
    <row r="2" spans="1:2" s="1586" customFormat="1" ht="15" thickTop="1">
      <c r="A2" s="1584" t="s">
        <v>1215</v>
      </c>
      <c r="B2" s="1585" t="str">
        <f>'预评函-封皮'!B37:I37</f>
        <v>出让国有建设用地使用权及在建建筑物预评估</v>
      </c>
    </row>
    <row r="3" spans="1:2" s="1589" customFormat="1">
      <c r="A3" s="1587" t="s">
        <v>1216</v>
      </c>
      <c r="B3" s="1588">
        <f>'预评函-封皮'!B40</f>
        <v>0</v>
      </c>
    </row>
    <row r="4" spans="1:2" s="1589" customFormat="1">
      <c r="A4" s="1587" t="s">
        <v>1217</v>
      </c>
      <c r="B4" s="1588" t="str">
        <f>'预评函-封皮'!B46</f>
        <v>（注册号：0)、（注册号：0)</v>
      </c>
    </row>
    <row r="5" spans="1:2" s="1583" customFormat="1" ht="15" thickBot="1">
      <c r="A5" s="1590" t="s">
        <v>1218</v>
      </c>
      <c r="B5" s="1591" t="str">
        <f>'预评函-封皮'!B49</f>
        <v>康正预评字号</v>
      </c>
    </row>
    <row r="6" spans="1:2" s="1586" customFormat="1" ht="15" thickTop="1">
      <c r="A6" s="1584" t="s">
        <v>1219</v>
      </c>
      <c r="B6" s="1585" t="str">
        <f>'预评函-1'!A4</f>
        <v>受贵公司委托，我公司对出让国有建设用地使用权及在建建筑物房地产抵押价值进行了预评估。</v>
      </c>
    </row>
    <row r="7" spans="1:2" s="1589" customFormat="1">
      <c r="A7" s="1587" t="s">
        <v>1259</v>
      </c>
      <c r="B7" s="1588" t="str">
        <f>'预评函-1'!A7</f>
        <v>估价对象为出让国有建设用地使用权及在建建筑物房地产，为所有。根据《国有土地使用证》[]，估价对象（分摊）出让国有建设用地使用权面积为196085平方米，建筑面积为218862.73平方米。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出让国有建设用地使用权及在建建筑物房地产,为开发建设的，该项目尚在开发建设中。根据《国有土地使用证》[]，估价对象（分摊）出让国有建设用地使用权面积为196085平方米，规划建筑面积为218862.73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为估价委托人了解估价对象房地产市场价值提供参考依据。</v>
      </c>
    </row>
    <row r="12" spans="1:2" s="1589" customFormat="1">
      <c r="A12" s="1587" t="s">
        <v>1221</v>
      </c>
      <c r="B12" s="1588" t="str">
        <f>'预评函-1'!A15</f>
        <v>2020年3月15日</v>
      </c>
    </row>
    <row r="13" spans="1:2" s="1589" customFormat="1">
      <c r="A13" s="1587" t="s">
        <v>1222</v>
      </c>
      <c r="B13" s="1588" t="str">
        <f>'预评函-1'!A18</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4" spans="1:2" s="1589" customFormat="1">
      <c r="A14" s="1587" t="s">
        <v>1223</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1227</v>
      </c>
      <c r="B18" s="1591" t="str">
        <f>'预评函-1'!A24</f>
        <v>本次评估采用的主估价方法为成本法和假设开发法。</v>
      </c>
    </row>
    <row r="19" spans="1:2" s="1586" customFormat="1" ht="15"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258405</v>
      </c>
    </row>
    <row r="21" spans="1:2" s="1589" customFormat="1">
      <c r="A21" s="1587" t="s">
        <v>1230</v>
      </c>
      <c r="B21" s="1588">
        <f ca="1">'预评函-2'!D7</f>
        <v>11807</v>
      </c>
    </row>
    <row r="22" spans="1:2" s="1589" customFormat="1">
      <c r="A22" s="1587" t="s">
        <v>1231</v>
      </c>
      <c r="B22" s="1588" t="str">
        <f ca="1">'预评函-2'!D6</f>
        <v>贰拾伍亿捌仟肆佰零伍万元整</v>
      </c>
    </row>
    <row r="23" spans="1:2" s="1589" customFormat="1">
      <c r="A23" s="1587" t="s">
        <v>1282</v>
      </c>
      <c r="B23" s="1588" t="str">
        <f>'预评函-2'!B8</f>
        <v>2.估价师知悉的法定优先受偿款</v>
      </c>
    </row>
    <row r="24" spans="1:2" s="1589" customFormat="1">
      <c r="A24" s="1587" t="s">
        <v>1288</v>
      </c>
      <c r="B24" s="1588">
        <f>'预评函-2'!D8</f>
        <v>64576</v>
      </c>
    </row>
    <row r="25" spans="1:2" s="1589" customFormat="1">
      <c r="A25" s="1587" t="s">
        <v>1232</v>
      </c>
      <c r="B25" s="1588" t="str">
        <f>'预评函-2'!D9</f>
        <v>陆亿肆仟伍佰柒拾陆万元整</v>
      </c>
    </row>
    <row r="26" spans="1:2" s="1589" customFormat="1">
      <c r="A26" s="1587" t="s">
        <v>1233</v>
      </c>
      <c r="B26" s="1588">
        <f>'预评函-2'!D10</f>
        <v>0</v>
      </c>
    </row>
    <row r="27" spans="1:2" s="1589" customFormat="1">
      <c r="A27" s="1587" t="s">
        <v>1234</v>
      </c>
      <c r="B27" s="1588">
        <f>'预评函-2'!D11</f>
        <v>24981</v>
      </c>
    </row>
    <row r="28" spans="1:2" s="1589" customFormat="1">
      <c r="A28" s="1587" t="s">
        <v>1235</v>
      </c>
      <c r="B28" s="1588">
        <f>'预评函-2'!D12</f>
        <v>39595</v>
      </c>
    </row>
    <row r="29" spans="1:2" s="1589" customFormat="1">
      <c r="A29" s="1587" t="s">
        <v>1286</v>
      </c>
      <c r="B29" s="1588" t="str">
        <f>'预评函-2'!B13</f>
        <v>3.房地产抵押价值</v>
      </c>
    </row>
    <row r="30" spans="1:2" s="1589" customFormat="1">
      <c r="A30" s="1587" t="s">
        <v>1287</v>
      </c>
      <c r="B30" s="1588">
        <f ca="1">'预评函-2'!D13</f>
        <v>193829</v>
      </c>
    </row>
    <row r="31" spans="1:2" s="1589" customFormat="1">
      <c r="A31" s="1587" t="s">
        <v>1269</v>
      </c>
      <c r="B31" s="1588">
        <f ca="1">'预评函-2'!D15</f>
        <v>8856</v>
      </c>
    </row>
    <row r="32" spans="1:2" s="1589" customFormat="1">
      <c r="A32" s="1587" t="s">
        <v>1236</v>
      </c>
      <c r="B32" s="1588" t="str">
        <f ca="1">'预评函-2'!D14</f>
        <v>壹拾玖亿叁仟捌佰贰拾玖万元整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出让国有建设用地使用权及在建建筑物房地产</v>
      </c>
    </row>
    <row r="42" spans="1:2" s="1589" customFormat="1">
      <c r="A42" s="1587" t="s">
        <v>1283</v>
      </c>
      <c r="B42" s="1588" t="str">
        <f>'预评函-3'!B2</f>
        <v>建筑面积</v>
      </c>
    </row>
    <row r="43" spans="1:2" s="1589" customFormat="1">
      <c r="A43" s="1587" t="s">
        <v>1284</v>
      </c>
      <c r="B43" s="1588">
        <f>'预评函-3'!B4</f>
        <v>218862.73</v>
      </c>
    </row>
    <row r="44" spans="1:2" s="1589" customFormat="1">
      <c r="A44" s="1587" t="s">
        <v>1268</v>
      </c>
      <c r="B44" s="1588" t="str">
        <f>'预评函-3'!C2</f>
        <v>(分摊)土地面积</v>
      </c>
    </row>
    <row r="45" spans="1:2" s="1589" customFormat="1">
      <c r="A45" s="1587" t="s">
        <v>1240</v>
      </c>
      <c r="B45" s="1588">
        <f>'预评函-3'!C4</f>
        <v>196085</v>
      </c>
    </row>
    <row r="46" spans="1:2" s="1589" customFormat="1">
      <c r="A46" s="1587" t="s">
        <v>1266</v>
      </c>
      <c r="B46" s="1588" t="str">
        <f>'预评函-3'!D2</f>
        <v>出让国有建设用地使用权价值</v>
      </c>
    </row>
    <row r="47" spans="1:2" s="1589" customFormat="1">
      <c r="A47" s="1587" t="s">
        <v>1241</v>
      </c>
      <c r="B47" s="1588">
        <f ca="1">'预评函-3'!D4</f>
        <v>57883</v>
      </c>
    </row>
    <row r="48" spans="1:2" s="1589" customFormat="1">
      <c r="A48" s="1587" t="s">
        <v>1242</v>
      </c>
      <c r="B48" s="1588">
        <f ca="1">'预评函-3'!E4</f>
        <v>2645</v>
      </c>
    </row>
    <row r="49" spans="1:2" s="1589" customFormat="1">
      <c r="A49" s="1587" t="s">
        <v>1243</v>
      </c>
      <c r="B49" s="1588" t="str">
        <f ca="1">'预评函-3'!D5</f>
        <v>伍亿柒仟捌佰捌拾叁万元整</v>
      </c>
    </row>
    <row r="50" spans="1:2" s="1589" customFormat="1">
      <c r="A50" s="1587" t="s">
        <v>1267</v>
      </c>
      <c r="B50" s="1588" t="str">
        <f>'预评函-3'!F2</f>
        <v>在建建筑物价值</v>
      </c>
    </row>
    <row r="51" spans="1:2" s="1589" customFormat="1">
      <c r="A51" s="1587" t="s">
        <v>1244</v>
      </c>
      <c r="B51" s="1588">
        <f ca="1">'预评函-3'!F4</f>
        <v>200522</v>
      </c>
    </row>
    <row r="52" spans="1:2" s="1589" customFormat="1">
      <c r="A52" s="1587" t="s">
        <v>1245</v>
      </c>
      <c r="B52" s="1588">
        <f ca="1">'预评函-3'!G4</f>
        <v>9162</v>
      </c>
    </row>
    <row r="53" spans="1:2" s="1589" customFormat="1">
      <c r="A53" s="1587" t="s">
        <v>1273</v>
      </c>
      <c r="B53" s="1588" t="str">
        <f ca="1">'预评函-3'!F5</f>
        <v>贰拾亿零伍佰贰拾贰万元整</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5" thickBot="1">
      <c r="A57" s="1590" t="s">
        <v>1292</v>
      </c>
      <c r="B57" s="1591" t="str">
        <f>'预评函-3'!A6</f>
        <v>估价师知悉的法定优先受偿款</v>
      </c>
    </row>
    <row r="58" spans="1:2" s="1586" customFormat="1" ht="15" thickTop="1">
      <c r="A58" s="1584" t="s">
        <v>1246</v>
      </c>
      <c r="B58" s="1585" t="str">
        <f>'预评函-4'!A12</f>
        <v>2.本次评估设定估价对象房地产权属无争议，未被查封或者以其他形式限制其房地产权利，未设定抵押权等他项权利，不涉及第三方权利义务。</v>
      </c>
    </row>
    <row r="59" spans="1:2" s="1589" customFormat="1">
      <c r="A59" s="1587" t="s">
        <v>1247</v>
      </c>
      <c r="B59" s="1588" t="str">
        <f>'预评函-4'!A13</f>
        <v>——</v>
      </c>
    </row>
    <row r="60" spans="1:2" s="1589" customFormat="1">
      <c r="A60" s="1587" t="s">
        <v>1248</v>
      </c>
      <c r="B60" s="1588" t="str">
        <f>'预评函-4'!A14</f>
        <v>——</v>
      </c>
    </row>
    <row r="61" spans="1:2" s="1589" customFormat="1">
      <c r="A61" s="1587" t="s">
        <v>1249</v>
      </c>
      <c r="B61" s="1588" t="str">
        <f>'预评函-4'!A15</f>
        <v>——</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v>
      </c>
    </row>
    <row r="65" spans="1:2" s="1589" customFormat="1">
      <c r="A65" s="1587" t="s">
        <v>1252</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1264</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1265</v>
      </c>
      <c r="B68" s="1588" t="str">
        <f>'预评函-4'!A22</f>
        <v>8.其他需特殊说明事项：无（注意调整序号）</v>
      </c>
    </row>
    <row r="69" spans="1:2" s="1583" customFormat="1" ht="15" thickBot="1">
      <c r="A69" s="1590" t="s">
        <v>1254</v>
      </c>
      <c r="B69" s="1592">
        <f>'预评函-4'!C31</f>
        <v>42551</v>
      </c>
    </row>
    <row r="70" spans="1:2" ht="15" thickTop="1">
      <c r="A70" s="1593" t="s">
        <v>1255</v>
      </c>
      <c r="B70" s="1594">
        <f>'预评函-4'!A4</f>
        <v>0</v>
      </c>
    </row>
    <row r="71" spans="1:2">
      <c r="A71" s="1587" t="s">
        <v>1256</v>
      </c>
      <c r="B71" s="1588">
        <f>'预评函-4'!B4</f>
        <v>0</v>
      </c>
    </row>
    <row r="72" spans="1:2">
      <c r="A72" s="1587" t="s">
        <v>1257</v>
      </c>
      <c r="B72" s="1596">
        <f>'预评函-4'!A5</f>
        <v>0</v>
      </c>
    </row>
    <row r="73" spans="1:2" s="1583" customFormat="1" ht="15" thickBot="1">
      <c r="A73" s="1590" t="s">
        <v>1258</v>
      </c>
      <c r="B73" s="1591">
        <f>'预评函-4'!B5</f>
        <v>0</v>
      </c>
    </row>
    <row r="74" spans="1:2" ht="15"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9" customWidth="1"/>
    <col min="2" max="2" width="23.125" style="1970" customWidth="1"/>
    <col min="3" max="3" width="13" style="2014" customWidth="1"/>
    <col min="4" max="4" width="5.8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1684</v>
      </c>
      <c r="C1" s="2004" t="s">
        <v>759</v>
      </c>
      <c r="D1" s="2005" t="s">
        <v>1685</v>
      </c>
      <c r="E1" s="2005" t="s">
        <v>1686</v>
      </c>
      <c r="F1" s="2005" t="s">
        <v>1687</v>
      </c>
      <c r="G1" s="2005" t="s">
        <v>1688</v>
      </c>
      <c r="H1" s="2005" t="s">
        <v>1689</v>
      </c>
      <c r="I1" s="2005" t="s">
        <v>1690</v>
      </c>
      <c r="J1" s="2005" t="s">
        <v>1691</v>
      </c>
      <c r="K1" s="2005" t="s">
        <v>1692</v>
      </c>
      <c r="L1" s="2005" t="s">
        <v>1693</v>
      </c>
      <c r="M1" s="2005" t="s">
        <v>1694</v>
      </c>
      <c r="N1" s="2005" t="s">
        <v>1695</v>
      </c>
      <c r="O1" s="2005" t="s">
        <v>1696</v>
      </c>
      <c r="P1" s="2006" t="s">
        <v>753</v>
      </c>
      <c r="Q1" s="2006" t="s">
        <v>1140</v>
      </c>
      <c r="R1" s="2005" t="s">
        <v>1134</v>
      </c>
      <c r="S1" s="2005" t="s">
        <v>1697</v>
      </c>
      <c r="T1" s="2007" t="s">
        <v>1698</v>
      </c>
      <c r="U1" s="2005" t="s">
        <v>1699</v>
      </c>
      <c r="V1" s="2005" t="s">
        <v>1700</v>
      </c>
      <c r="W1" s="2005" t="s">
        <v>755</v>
      </c>
    </row>
    <row r="2" spans="1:23">
      <c r="A2" s="2009" t="s">
        <v>22</v>
      </c>
      <c r="B2" s="2009" t="s">
        <v>1701</v>
      </c>
      <c r="C2" s="2010" t="s">
        <v>760</v>
      </c>
      <c r="D2" s="2011" t="s">
        <v>1702</v>
      </c>
      <c r="E2" s="2011" t="s">
        <v>1703</v>
      </c>
      <c r="F2" s="2011" t="s">
        <v>1704</v>
      </c>
      <c r="G2" s="2011">
        <v>40</v>
      </c>
      <c r="H2" s="2011" t="s">
        <v>1704</v>
      </c>
      <c r="I2" s="2011" t="s">
        <v>1705</v>
      </c>
      <c r="J2" s="2011" t="s">
        <v>1706</v>
      </c>
      <c r="K2" s="2011" t="s">
        <v>1707</v>
      </c>
      <c r="L2" s="2011" t="s">
        <v>1707</v>
      </c>
      <c r="M2" s="2011" t="s">
        <v>1707</v>
      </c>
      <c r="N2" s="2011" t="s">
        <v>1707</v>
      </c>
      <c r="O2" s="2011" t="s">
        <v>1707</v>
      </c>
      <c r="P2" s="2011" t="s">
        <v>1707</v>
      </c>
      <c r="Q2" s="2011" t="s">
        <v>1707</v>
      </c>
      <c r="R2" s="2011" t="s">
        <v>1136</v>
      </c>
      <c r="S2" s="2011" t="s">
        <v>1707</v>
      </c>
      <c r="T2" s="2011" t="s">
        <v>1708</v>
      </c>
      <c r="U2" s="2011" t="s">
        <v>1707</v>
      </c>
      <c r="V2" s="2011" t="s">
        <v>1709</v>
      </c>
      <c r="W2" s="2011" t="s">
        <v>1707</v>
      </c>
    </row>
    <row r="3" spans="1:23">
      <c r="A3" s="2009" t="s">
        <v>1710</v>
      </c>
      <c r="B3" s="2012" t="s">
        <v>1141</v>
      </c>
      <c r="C3" s="2013" t="s">
        <v>761</v>
      </c>
      <c r="D3" s="2011" t="s">
        <v>1711</v>
      </c>
      <c r="E3" s="2011" t="s">
        <v>16</v>
      </c>
      <c r="F3" s="2011" t="s">
        <v>1712</v>
      </c>
      <c r="G3" s="2011">
        <v>50</v>
      </c>
      <c r="H3" s="2011" t="s">
        <v>1712</v>
      </c>
      <c r="I3" s="2011" t="s">
        <v>1713</v>
      </c>
      <c r="J3" s="2011" t="s">
        <v>1714</v>
      </c>
      <c r="K3" s="2011" t="s">
        <v>1715</v>
      </c>
      <c r="L3" s="2011" t="s">
        <v>1715</v>
      </c>
      <c r="M3" s="2011" t="s">
        <v>1715</v>
      </c>
      <c r="N3" s="2011" t="s">
        <v>1715</v>
      </c>
      <c r="O3" s="2011" t="s">
        <v>1715</v>
      </c>
      <c r="P3" s="2011" t="s">
        <v>1715</v>
      </c>
      <c r="Q3" s="2011" t="s">
        <v>1715</v>
      </c>
      <c r="R3" s="2011" t="s">
        <v>1135</v>
      </c>
      <c r="S3" s="2011" t="s">
        <v>1715</v>
      </c>
      <c r="T3" s="2011" t="s">
        <v>1716</v>
      </c>
      <c r="U3" s="2011" t="s">
        <v>1715</v>
      </c>
      <c r="V3" s="2011" t="s">
        <v>1717</v>
      </c>
      <c r="W3" s="2011" t="s">
        <v>1715</v>
      </c>
    </row>
    <row r="4" spans="1:23">
      <c r="A4" s="2009" t="s">
        <v>1718</v>
      </c>
      <c r="B4" s="2009" t="s">
        <v>1719</v>
      </c>
      <c r="C4" s="2010" t="s">
        <v>762</v>
      </c>
      <c r="D4" s="2011" t="s">
        <v>864</v>
      </c>
      <c r="E4" s="2011" t="s">
        <v>1720</v>
      </c>
      <c r="F4" s="2011" t="s">
        <v>1721</v>
      </c>
      <c r="G4" s="2011">
        <v>70</v>
      </c>
      <c r="H4" s="2011" t="s">
        <v>1721</v>
      </c>
      <c r="I4" s="2011" t="s">
        <v>1722</v>
      </c>
      <c r="K4" s="2011" t="s">
        <v>1723</v>
      </c>
      <c r="L4" s="2011" t="s">
        <v>1723</v>
      </c>
      <c r="M4" s="2011" t="s">
        <v>1723</v>
      </c>
      <c r="N4" s="2011" t="s">
        <v>1723</v>
      </c>
      <c r="O4" s="2011" t="s">
        <v>1723</v>
      </c>
      <c r="P4" s="2011" t="s">
        <v>1723</v>
      </c>
      <c r="Q4" s="2011" t="s">
        <v>1723</v>
      </c>
      <c r="R4" s="2011" t="s">
        <v>1137</v>
      </c>
      <c r="S4" s="2011" t="s">
        <v>1723</v>
      </c>
      <c r="T4" s="2011" t="s">
        <v>1724</v>
      </c>
      <c r="U4" s="2011" t="s">
        <v>1723</v>
      </c>
      <c r="W4" s="2011" t="s">
        <v>1723</v>
      </c>
    </row>
    <row r="5" spans="1:23">
      <c r="A5" s="2009" t="s">
        <v>1725</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1138</v>
      </c>
      <c r="S5" s="2011" t="s">
        <v>1730</v>
      </c>
      <c r="T5" s="2011" t="s">
        <v>1731</v>
      </c>
      <c r="U5" s="2011" t="s">
        <v>1730</v>
      </c>
      <c r="W5" s="2011" t="s">
        <v>1730</v>
      </c>
    </row>
    <row r="6" spans="1:23">
      <c r="A6" s="2009" t="s">
        <v>1732</v>
      </c>
      <c r="B6" s="2012" t="s">
        <v>1142</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1139</v>
      </c>
      <c r="S6" s="2011" t="s">
        <v>1735</v>
      </c>
      <c r="T6" s="2011"/>
      <c r="U6" s="2011" t="s">
        <v>1735</v>
      </c>
      <c r="W6" s="2011" t="s">
        <v>1735</v>
      </c>
    </row>
    <row r="7" spans="1:23">
      <c r="A7" s="2009" t="s">
        <v>1736</v>
      </c>
      <c r="B7" s="2012" t="s">
        <v>1143</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757</v>
      </c>
      <c r="C17" s="2010"/>
    </row>
    <row r="18" spans="1:3">
      <c r="A18" s="2009" t="s">
        <v>1761</v>
      </c>
      <c r="B18" s="2009" t="s">
        <v>3540</v>
      </c>
      <c r="C18" s="2010"/>
    </row>
    <row r="19" spans="1:3">
      <c r="A19" s="2009" t="s">
        <v>1762</v>
      </c>
      <c r="B19" s="2009" t="s">
        <v>3542</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068"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8"/>
      <c r="B54" s="2017" t="s">
        <v>860</v>
      </c>
      <c r="C54" s="2014" t="s">
        <v>1276</v>
      </c>
    </row>
    <row r="55" spans="1:4">
      <c r="A55" s="3068"/>
      <c r="B55" s="2017" t="s">
        <v>861</v>
      </c>
      <c r="C55" s="2014" t="s">
        <v>1277</v>
      </c>
    </row>
    <row r="56" spans="1:4">
      <c r="A56" s="3068"/>
      <c r="B56" s="2017" t="s">
        <v>862</v>
      </c>
      <c r="C56" s="2014" t="s">
        <v>1281</v>
      </c>
    </row>
    <row r="57" spans="1:4">
      <c r="A57" s="3068"/>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8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1770</v>
      </c>
      <c r="B1" s="3069" t="str">
        <f>IF(B10="北京市","北京市",C10)&amp;F10&amp;IF(结果表!G1="在建","出让国有建设用地使用权及在建建筑物",IF(结果表!G1="土地","出让国有建设用地使用权",))&amp;B9&amp;"预评估"</f>
        <v>出让国有建设用地使用权及在建建筑物预评估</v>
      </c>
      <c r="C1" s="3070"/>
      <c r="D1" s="3070"/>
      <c r="E1" s="3070"/>
      <c r="F1" s="3070"/>
      <c r="G1" s="3070"/>
      <c r="H1" s="3070"/>
      <c r="I1" s="307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1" t="s">
        <v>1771</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0" t="s">
        <v>1772</v>
      </c>
      <c r="B3" s="2031"/>
      <c r="C3" s="2032" t="s">
        <v>1773</v>
      </c>
      <c r="D3" s="2031">
        <v>43905</v>
      </c>
      <c r="E3" s="2021"/>
      <c r="F3" s="2021"/>
      <c r="G3" s="2021"/>
      <c r="H3" s="2021"/>
      <c r="I3" s="2021"/>
      <c r="J3" s="2021"/>
      <c r="K3" s="2022"/>
      <c r="L3" s="2023"/>
      <c r="M3" s="2023"/>
      <c r="N3" s="2024"/>
      <c r="O3" s="2025"/>
      <c r="P3" s="2024"/>
      <c r="Q3" s="2024"/>
      <c r="R3" s="2024"/>
      <c r="S3" s="2026"/>
    </row>
    <row r="4" spans="1:19" ht="18" customHeight="1" thickBot="1">
      <c r="A4" s="2033" t="s">
        <v>1774</v>
      </c>
      <c r="B4" s="2034"/>
      <c r="C4" s="1034">
        <f>SUMIF(注册房地产估价师,B4,估价师及机构信息!B3:B24)</f>
        <v>0</v>
      </c>
      <c r="D4" s="2034"/>
      <c r="E4" s="1035">
        <f>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CONCATENATE(B4,"（注册号：",C4,")、",D4,"（注册号：",E4,")")</f>
        <v>（注册号：0)、（注册号：0)</v>
      </c>
      <c r="L4" s="2023"/>
      <c r="M4" s="2023"/>
      <c r="N4" s="2024"/>
      <c r="O4" s="2025"/>
      <c r="P4" s="2024"/>
      <c r="Q4" s="2024"/>
      <c r="R4" s="2024"/>
      <c r="S4" s="2026"/>
    </row>
    <row r="5" spans="1:19" ht="18" customHeight="1" thickTop="1">
      <c r="A5" s="2039" t="s">
        <v>1775</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1776</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1777</v>
      </c>
      <c r="B7" s="2048"/>
      <c r="C7" s="2045"/>
      <c r="D7" s="2046"/>
      <c r="E7" s="2029"/>
      <c r="F7" s="2037"/>
      <c r="G7" s="2037"/>
      <c r="H7" s="2037"/>
      <c r="I7" s="2037"/>
      <c r="J7" s="2037"/>
      <c r="K7" s="2049"/>
      <c r="L7" s="2023"/>
      <c r="M7" s="2023"/>
      <c r="N7" s="2024"/>
      <c r="O7" s="2025"/>
      <c r="P7" s="2024"/>
      <c r="Q7" s="2024"/>
      <c r="R7" s="2024"/>
    </row>
    <row r="8" spans="1:19" ht="18" customHeight="1">
      <c r="A8" s="2043" t="s">
        <v>1778</v>
      </c>
      <c r="B8" s="2050"/>
      <c r="C8" s="2051"/>
      <c r="D8" s="3072" t="s">
        <v>1779</v>
      </c>
      <c r="E8" s="2052"/>
      <c r="F8" s="2053"/>
      <c r="G8" s="2021"/>
      <c r="H8" s="2021"/>
      <c r="I8" s="2021"/>
      <c r="J8" s="2037"/>
      <c r="K8" s="2038"/>
      <c r="L8" s="2023"/>
      <c r="M8" s="2023"/>
      <c r="N8" s="2024"/>
      <c r="O8" s="2025"/>
      <c r="P8" s="2024"/>
      <c r="Q8" s="2024"/>
      <c r="R8" s="2024"/>
    </row>
    <row r="9" spans="1:19" ht="18" customHeight="1" thickBot="1">
      <c r="A9" s="2035" t="s">
        <v>1780</v>
      </c>
      <c r="B9" s="2054"/>
      <c r="C9" s="2055"/>
      <c r="D9" s="3073"/>
      <c r="E9" s="2054"/>
      <c r="F9" s="2056"/>
      <c r="G9" s="2057"/>
      <c r="H9" s="2057"/>
      <c r="I9" s="2057"/>
      <c r="J9" s="2037"/>
      <c r="K9" s="2049"/>
      <c r="L9" s="2023"/>
      <c r="M9" s="2023"/>
      <c r="N9" s="2024"/>
      <c r="O9" s="2025"/>
      <c r="P9" s="2024"/>
      <c r="Q9" s="2024"/>
      <c r="R9" s="2024"/>
    </row>
    <row r="10" spans="1:19" ht="18" customHeight="1" thickTop="1">
      <c r="A10" s="2058" t="s">
        <v>1781</v>
      </c>
      <c r="B10" s="2059"/>
      <c r="C10" s="2060"/>
      <c r="D10" s="2042"/>
      <c r="E10" s="2061" t="s">
        <v>1782</v>
      </c>
      <c r="F10" s="2062"/>
      <c r="G10" s="2063"/>
      <c r="H10" s="2064"/>
      <c r="I10" s="2042"/>
      <c r="J10" s="2037"/>
      <c r="K10" s="2049"/>
      <c r="L10" s="2023"/>
      <c r="M10" s="2023"/>
      <c r="N10" s="2024"/>
      <c r="O10" s="2025"/>
      <c r="P10" s="2024"/>
      <c r="Q10" s="2024"/>
      <c r="R10" s="2024"/>
    </row>
    <row r="11" spans="1:19" ht="18" customHeight="1">
      <c r="A11" s="2065" t="s">
        <v>1783</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1784</v>
      </c>
      <c r="B12" s="2066" t="s">
        <v>3054</v>
      </c>
      <c r="C12" s="2070" t="s">
        <v>1785</v>
      </c>
      <c r="D12" s="2071" t="s">
        <v>1786</v>
      </c>
      <c r="E12" s="2071" t="s">
        <v>1787</v>
      </c>
      <c r="F12" s="2071" t="s">
        <v>1788</v>
      </c>
      <c r="G12" s="2071" t="s">
        <v>1789</v>
      </c>
      <c r="H12" s="2071" t="s">
        <v>1790</v>
      </c>
      <c r="I12" s="2071" t="s">
        <v>1791</v>
      </c>
      <c r="J12" s="2037"/>
      <c r="K12" s="2049"/>
      <c r="L12" s="2023"/>
      <c r="M12" s="2023"/>
      <c r="N12" s="2024"/>
      <c r="O12" s="2025"/>
      <c r="P12" s="2024"/>
      <c r="Q12" s="2024"/>
      <c r="R12" s="2024"/>
    </row>
    <row r="13" spans="1:19" ht="18" customHeight="1">
      <c r="A13" s="2072"/>
      <c r="B13" s="2073"/>
      <c r="C13" s="2074" t="s">
        <v>1792</v>
      </c>
      <c r="D13" s="2075"/>
      <c r="E13" s="3386">
        <v>58127</v>
      </c>
      <c r="F13" s="2075"/>
      <c r="G13" s="2075"/>
      <c r="H13" s="2075"/>
      <c r="I13" s="1044"/>
      <c r="J13" s="2037"/>
      <c r="K13" s="2049"/>
      <c r="L13" s="2023"/>
      <c r="M13" s="2023"/>
      <c r="N13" s="2024"/>
      <c r="O13" s="2025"/>
      <c r="P13" s="2024"/>
      <c r="Q13" s="2024"/>
      <c r="R13" s="2024"/>
    </row>
    <row r="14" spans="1:19" ht="18" customHeight="1">
      <c r="A14" s="2072"/>
      <c r="B14" s="2073"/>
      <c r="C14" s="2074" t="s">
        <v>1793</v>
      </c>
      <c r="D14" s="1047">
        <v>70</v>
      </c>
      <c r="E14" s="1047">
        <v>40</v>
      </c>
      <c r="F14" s="1047">
        <v>50</v>
      </c>
      <c r="G14" s="1047">
        <v>50</v>
      </c>
      <c r="H14" s="1047">
        <v>50</v>
      </c>
      <c r="I14" s="1047">
        <v>50</v>
      </c>
      <c r="J14" s="2037"/>
      <c r="K14" s="2076"/>
      <c r="L14" s="2023"/>
      <c r="M14" s="2023"/>
      <c r="N14" s="2024"/>
      <c r="O14" s="2025"/>
      <c r="P14" s="2024"/>
      <c r="Q14" s="2024"/>
      <c r="R14" s="2024"/>
    </row>
    <row r="15" spans="1:19" ht="18" customHeight="1">
      <c r="A15" s="2058"/>
      <c r="B15" s="2077"/>
      <c r="C15" s="2074" t="s">
        <v>1794</v>
      </c>
      <c r="D15" s="1046" t="str">
        <f>IF(B12="出让",IF(D13="","",ROUNDDOWN(MIN((D13-$D$3)/365,D14),2)),D14)</f>
        <v/>
      </c>
      <c r="E15" s="1046">
        <f>IF(B12="出让",IF(E13="","",ROUNDDOWN(MIN((E13-$D$3)/365,E14),2)),E14)</f>
        <v>38.96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8"/>
      <c r="L15" s="2079"/>
      <c r="M15" s="2079"/>
      <c r="N15" s="2080"/>
      <c r="O15" s="2079"/>
      <c r="P15" s="2080"/>
      <c r="Q15" s="2024"/>
      <c r="R15" s="2024"/>
    </row>
    <row r="16" spans="1:19" ht="30.75" customHeight="1">
      <c r="A16" s="2061" t="s">
        <v>1795</v>
      </c>
      <c r="B16" s="3079"/>
      <c r="C16" s="3080"/>
      <c r="D16" s="3081"/>
      <c r="E16" s="2081" t="s">
        <v>1796</v>
      </c>
      <c r="F16" s="3082"/>
      <c r="G16" s="3083"/>
      <c r="H16" s="3083"/>
      <c r="I16" s="3084"/>
      <c r="J16" s="2024"/>
      <c r="K16" s="2078"/>
      <c r="L16" s="2079"/>
      <c r="M16" s="2079"/>
      <c r="N16" s="2080"/>
      <c r="O16" s="2079"/>
      <c r="P16" s="2080"/>
      <c r="Q16" s="2024"/>
      <c r="R16" s="2024"/>
    </row>
    <row r="17" spans="1:22" ht="18" customHeight="1">
      <c r="A17" s="2082" t="s">
        <v>1797</v>
      </c>
      <c r="B17" s="2030" t="s">
        <v>1798</v>
      </c>
      <c r="C17" s="1051">
        <f>'数据-汇总表'!E3</f>
        <v>218862.73</v>
      </c>
      <c r="D17" s="2083" t="s">
        <v>1799</v>
      </c>
      <c r="E17" s="3085" t="s">
        <v>1800</v>
      </c>
      <c r="F17" s="3086"/>
      <c r="G17" s="3086"/>
      <c r="H17" s="3086"/>
      <c r="I17" s="3087"/>
      <c r="J17" s="2024"/>
      <c r="K17" s="2084"/>
      <c r="L17" s="2079"/>
      <c r="M17" s="2079"/>
      <c r="N17" s="2080"/>
      <c r="O17" s="2079"/>
      <c r="P17" s="2080"/>
      <c r="Q17" s="2024"/>
      <c r="R17" s="2024"/>
      <c r="S17" s="2024"/>
      <c r="T17" s="2024"/>
      <c r="U17" s="2024"/>
      <c r="V17" s="2024"/>
    </row>
    <row r="18" spans="1:22" ht="36" customHeight="1" thickBot="1">
      <c r="A18" s="2085" t="s">
        <v>1801</v>
      </c>
      <c r="B18" s="2033" t="s">
        <v>1802</v>
      </c>
      <c r="C18" s="1441">
        <f>'数据-汇总表'!D3</f>
        <v>196085</v>
      </c>
      <c r="D18" s="2086" t="s">
        <v>1799</v>
      </c>
      <c r="E18" s="3088" t="s">
        <v>1803</v>
      </c>
      <c r="F18" s="3089"/>
      <c r="G18" s="3089"/>
      <c r="H18" s="3089"/>
      <c r="I18" s="3090"/>
      <c r="J18" s="2024"/>
      <c r="K18" s="2084"/>
      <c r="L18" s="2079"/>
      <c r="M18" s="2079"/>
      <c r="N18" s="2080"/>
      <c r="O18" s="2079"/>
      <c r="P18" s="2080"/>
      <c r="Q18" s="2024"/>
      <c r="R18" s="2024"/>
      <c r="S18" s="2024"/>
      <c r="T18" s="2024"/>
      <c r="U18" s="2024"/>
      <c r="V18" s="2024"/>
    </row>
    <row r="19" spans="1:22" ht="37.5" customHeight="1" thickTop="1" thickBot="1">
      <c r="A19" s="371" t="s">
        <v>1804</v>
      </c>
      <c r="B19" s="350" t="s">
        <v>1805</v>
      </c>
      <c r="C19" s="2087"/>
      <c r="D19" s="2088" t="s">
        <v>1806</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1807</v>
      </c>
      <c r="B20" s="3075" t="s">
        <v>1808</v>
      </c>
      <c r="C20" s="3076"/>
      <c r="D20" s="3077" t="s">
        <v>1809</v>
      </c>
      <c r="E20" s="3078"/>
      <c r="F20" s="2093" t="s">
        <v>1810</v>
      </c>
      <c r="G20" s="2037"/>
      <c r="H20" s="2037"/>
      <c r="I20" s="2037"/>
      <c r="J20" s="2037"/>
      <c r="K20" s="3074"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1812</v>
      </c>
      <c r="C21" s="2095" t="s">
        <v>1813</v>
      </c>
      <c r="D21" s="2096" t="s">
        <v>1814</v>
      </c>
      <c r="E21" s="2097" t="s">
        <v>1813</v>
      </c>
      <c r="F21" s="2098"/>
      <c r="G21" s="2037"/>
      <c r="H21" s="2037"/>
      <c r="I21" s="2037"/>
      <c r="J21" s="2037"/>
      <c r="K21" s="307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1815</v>
      </c>
      <c r="C22" s="2095" t="s">
        <v>1816</v>
      </c>
      <c r="D22" s="2021"/>
      <c r="E22" s="2021"/>
      <c r="F22" s="2100"/>
      <c r="G22" s="2037"/>
      <c r="H22" s="2037"/>
      <c r="I22" s="2037"/>
      <c r="J22" s="2037"/>
      <c r="K22" s="307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1817</v>
      </c>
      <c r="B23" s="181" t="s">
        <v>1818</v>
      </c>
      <c r="C23" s="2102"/>
      <c r="D23" s="2103" t="s">
        <v>1818</v>
      </c>
      <c r="E23" s="2104"/>
      <c r="F23" s="2100"/>
      <c r="G23" s="2037"/>
      <c r="H23" s="2037"/>
      <c r="I23" s="2037"/>
      <c r="J23" s="2037"/>
      <c r="K23" s="2105"/>
      <c r="L23" s="745"/>
      <c r="M23" s="2023"/>
      <c r="N23" s="2080"/>
      <c r="O23" s="2079"/>
      <c r="P23" s="2080"/>
      <c r="Q23" s="2024"/>
      <c r="R23" s="2024"/>
      <c r="S23" s="2024"/>
      <c r="T23" s="2024"/>
      <c r="U23" s="2024"/>
      <c r="V23" s="2024"/>
    </row>
    <row r="24" spans="1:22" ht="18" customHeight="1">
      <c r="A24" s="2106"/>
      <c r="B24" s="181" t="s">
        <v>1819</v>
      </c>
      <c r="C24" s="2107"/>
      <c r="D24" s="2101" t="s">
        <v>1819</v>
      </c>
      <c r="E24" s="2108"/>
      <c r="F24" s="2100"/>
      <c r="G24" s="2037"/>
      <c r="H24" s="2037"/>
      <c r="I24" s="2037"/>
      <c r="J24" s="2037"/>
      <c r="K24" s="2105"/>
      <c r="L24" s="745"/>
      <c r="M24" s="2023"/>
      <c r="N24" s="2080"/>
      <c r="O24" s="2079"/>
      <c r="P24" s="2080"/>
      <c r="Q24" s="2024"/>
      <c r="R24" s="2024"/>
      <c r="S24" s="2024"/>
      <c r="T24" s="2024"/>
      <c r="U24" s="2024"/>
      <c r="V24" s="2024"/>
    </row>
    <row r="25" spans="1:22" ht="18" customHeight="1">
      <c r="A25" s="2106"/>
      <c r="B25" s="181" t="s">
        <v>1820</v>
      </c>
      <c r="C25" s="2107"/>
      <c r="D25" s="2101" t="s">
        <v>1820</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1821</v>
      </c>
      <c r="C26" s="2111"/>
      <c r="D26" s="2112" t="s">
        <v>1822</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92" t="s">
        <v>1823</v>
      </c>
      <c r="B27" s="2058" t="s">
        <v>1824</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92"/>
      <c r="B28" s="2030" t="s">
        <v>1825</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92"/>
      <c r="B29" s="2030" t="s">
        <v>1826</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93"/>
      <c r="B30" s="2030" t="s">
        <v>1827</v>
      </c>
      <c r="C30" s="3094"/>
      <c r="D30" s="3095"/>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96" t="s">
        <v>1828</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97"/>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97"/>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1829</v>
      </c>
      <c r="B34" s="2129"/>
      <c r="C34" s="2129"/>
      <c r="D34" s="2129"/>
      <c r="E34" s="2129"/>
      <c r="F34" s="2129"/>
      <c r="G34" s="2129"/>
      <c r="H34" s="2129"/>
      <c r="I34" s="2037"/>
      <c r="J34" s="2037"/>
      <c r="K34" s="1791">
        <f>COUNTIF(B34:H34,"——")</f>
        <v>0</v>
      </c>
      <c r="L34" s="2070" t="s">
        <v>1830</v>
      </c>
      <c r="M34" s="2070" t="s">
        <v>1831</v>
      </c>
      <c r="N34" s="2070" t="s">
        <v>1832</v>
      </c>
      <c r="O34" s="2070" t="s">
        <v>1833</v>
      </c>
      <c r="P34" s="2070" t="s">
        <v>1834</v>
      </c>
      <c r="Q34" s="2070" t="s">
        <v>1835</v>
      </c>
      <c r="R34" s="2070" t="s">
        <v>1836</v>
      </c>
      <c r="S34" s="3091" t="s">
        <v>1837</v>
      </c>
      <c r="T34" s="2130" t="str">
        <f>NUMBERSTRING(7-K34,1)&amp;"通"</f>
        <v>七通</v>
      </c>
      <c r="U34" s="2024"/>
      <c r="V34" s="2024"/>
    </row>
    <row r="35" spans="1:22" ht="18" customHeight="1">
      <c r="A35" s="2131"/>
      <c r="B35" s="3098" t="s">
        <v>1838</v>
      </c>
      <c r="C35" s="3098"/>
      <c r="D35" s="3098"/>
      <c r="E35" s="3098"/>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1"/>
      <c r="T35" s="48" t="str">
        <f>IF(T34="一通",L35,IF(T34="二通",M35,IF(T34="三通",N35,IF(T34="四通",O35,IF(T34="五通",P35,IF(T34="六通",Q35,R35))))))</f>
        <v>、、、、、、</v>
      </c>
      <c r="U35" s="2024"/>
      <c r="V35" s="2024"/>
    </row>
    <row r="36" spans="1:22" ht="18" customHeight="1">
      <c r="A36" s="2133"/>
      <c r="B36" s="2132" t="s">
        <v>1839</v>
      </c>
      <c r="C36" s="2132" t="s">
        <v>1840</v>
      </c>
      <c r="D36" s="2132" t="s">
        <v>1841</v>
      </c>
      <c r="E36" s="2132" t="s">
        <v>1842</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1843</v>
      </c>
      <c r="B37" s="2136"/>
      <c r="C37" s="2136"/>
      <c r="D37" s="2136"/>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1844</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4"/>
      <c r="L40" s="2079"/>
      <c r="M40" s="2079"/>
      <c r="N40" s="2080"/>
      <c r="O40" s="2079"/>
      <c r="P40" s="2024"/>
      <c r="Q40" s="2024"/>
      <c r="R40" s="2024"/>
      <c r="S40" s="2024"/>
      <c r="T40" s="2024"/>
      <c r="U40" s="2024"/>
      <c r="V40" s="2024"/>
    </row>
    <row r="41" spans="1:22" ht="18" customHeight="1">
      <c r="A41" s="8" t="s">
        <v>1846</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1847</v>
      </c>
      <c r="B42" s="1791" t="s">
        <v>1848</v>
      </c>
      <c r="C42" s="1791" t="s">
        <v>1849</v>
      </c>
      <c r="D42" s="1791" t="s">
        <v>1850</v>
      </c>
      <c r="E42" s="1791" t="s">
        <v>1851</v>
      </c>
      <c r="F42" s="1791" t="s">
        <v>1852</v>
      </c>
      <c r="G42" s="1791" t="s">
        <v>1853</v>
      </c>
      <c r="H42" s="1791" t="s">
        <v>1854</v>
      </c>
      <c r="I42" s="1791" t="s">
        <v>1855</v>
      </c>
      <c r="J42" s="2148" t="s">
        <v>1856</v>
      </c>
      <c r="K42" s="2071" t="s">
        <v>1857</v>
      </c>
      <c r="L42" s="2071" t="s">
        <v>1858</v>
      </c>
      <c r="M42" s="2071" t="s">
        <v>1859</v>
      </c>
      <c r="N42" s="1791" t="s">
        <v>1860</v>
      </c>
      <c r="O42" s="1791" t="s">
        <v>1861</v>
      </c>
      <c r="P42" s="1791" t="s">
        <v>1862</v>
      </c>
      <c r="Q42" s="2070" t="s">
        <v>1863</v>
      </c>
      <c r="R42" s="2070" t="s">
        <v>1864</v>
      </c>
      <c r="S42" s="2024"/>
      <c r="T42" s="2024"/>
      <c r="U42" s="2024"/>
      <c r="V42" s="2024"/>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C3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6" width="9.875" style="2155" customWidth="1"/>
    <col min="17" max="17" width="9.375" style="2155" customWidth="1"/>
    <col min="18" max="18" width="9.125" style="2155" customWidth="1"/>
    <col min="19" max="28" width="10.875" style="2155" hidden="1" customWidth="1"/>
    <col min="29" max="29" width="11" style="2155" bestFit="1" customWidth="1"/>
    <col min="30" max="30" width="10" style="2155" bestFit="1" customWidth="1"/>
    <col min="31" max="31" width="9.875" style="2155" customWidth="1"/>
    <col min="32" max="46" width="9.5" style="2155" customWidth="1"/>
    <col min="47" max="47" width="18.125" style="2155" customWidth="1"/>
    <col min="48" max="50" width="9.8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1866</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1870</v>
      </c>
      <c r="AZ2" s="1267"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196085</v>
      </c>
      <c r="B3" s="14">
        <f>IF(C3="否",G5-AT5,G5)</f>
        <v>218862.73</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799"/>
      <c r="C5" s="1799"/>
      <c r="D5" s="1802"/>
      <c r="E5" s="16" t="s">
        <v>1</v>
      </c>
      <c r="F5" s="16">
        <f>SUM(F13:F587)</f>
        <v>0</v>
      </c>
      <c r="G5" s="16">
        <f>SUM(G13:G587)</f>
        <v>218862.73</v>
      </c>
      <c r="H5" s="16">
        <f t="shared" ref="H5:AT5" si="0">SUM(H13:H656)</f>
        <v>218862.73</v>
      </c>
      <c r="I5" s="16">
        <f t="shared" si="0"/>
        <v>166374.91</v>
      </c>
      <c r="J5" s="16">
        <f t="shared" si="0"/>
        <v>0</v>
      </c>
      <c r="K5" s="16">
        <f t="shared" si="0"/>
        <v>52487.820000000007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1874</v>
      </c>
      <c r="AW5" s="1799"/>
      <c r="AX5" s="1799"/>
      <c r="AY5" s="17" t="s">
        <v>3</v>
      </c>
      <c r="AZ5" s="18">
        <f t="shared" ref="AZ5:BT5" si="1">SUM(AZ13:AZ656)</f>
        <v>218862.73</v>
      </c>
      <c r="BA5" s="18">
        <f t="shared" si="1"/>
        <v>218862.73</v>
      </c>
      <c r="BB5" s="18">
        <f t="shared" si="1"/>
        <v>166374.91</v>
      </c>
      <c r="BC5" s="18">
        <f t="shared" si="1"/>
        <v>52487.820000000007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196085</v>
      </c>
      <c r="F6" s="16" t="s">
        <v>1</v>
      </c>
      <c r="G6" s="16" t="s">
        <v>2</v>
      </c>
      <c r="H6" s="20">
        <f>SUMIF(I$12:AB$12,"总值",I6:AB6)</f>
        <v>196085</v>
      </c>
      <c r="I6" s="16">
        <f t="shared" ref="I6:AB6" si="2">ROUND($A$3*I5/$B$3,2)</f>
        <v>149059.75</v>
      </c>
      <c r="J6" s="16">
        <f t="shared" si="2"/>
        <v>0</v>
      </c>
      <c r="K6" s="16">
        <f t="shared" si="2"/>
        <v>47025.25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196085</v>
      </c>
      <c r="AZ6" s="16" t="s">
        <v>3</v>
      </c>
      <c r="BA6" s="16">
        <f>ROUND($AY$6*BA5/$AZ$5,2)</f>
        <v>196085</v>
      </c>
      <c r="BB6" s="16">
        <f>ROUND($AY$6*BB5/$AZ$5,2)</f>
        <v>149059.75</v>
      </c>
      <c r="BC6" s="16">
        <f t="shared" ref="BC6:BH6" si="4">ROUND($AY$6*BC5/$AZ$5,2)</f>
        <v>47025.25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1883</v>
      </c>
      <c r="AV7" s="23" t="s">
        <v>1884</v>
      </c>
      <c r="AW7" s="2162" t="s">
        <v>1885</v>
      </c>
      <c r="AX7" s="23" t="s">
        <v>1878</v>
      </c>
      <c r="AY7" s="1799"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4"/>
      <c r="K8" s="1814"/>
      <c r="L8" s="1814"/>
      <c r="M8" s="1814"/>
      <c r="N8" s="1814"/>
      <c r="O8" s="1814"/>
      <c r="P8" s="1814"/>
      <c r="Q8" s="1814"/>
      <c r="R8" s="1814"/>
      <c r="S8" s="1814"/>
      <c r="T8" s="1814"/>
      <c r="U8" s="1814"/>
      <c r="V8" s="2182"/>
      <c r="W8" s="1814"/>
      <c r="X8" s="1814"/>
      <c r="Y8" s="1814"/>
      <c r="Z8" s="1814"/>
      <c r="AA8" s="2182"/>
      <c r="AB8" s="2183"/>
      <c r="AC8" s="978" t="s">
        <v>1889</v>
      </c>
      <c r="AD8" s="2184"/>
      <c r="AE8" s="2176"/>
      <c r="AF8" s="1814"/>
      <c r="AG8" s="1814"/>
      <c r="AH8" s="1814"/>
      <c r="AI8" s="1814"/>
      <c r="AJ8" s="1814"/>
      <c r="AK8" s="1814"/>
      <c r="AL8" s="1814"/>
      <c r="AM8" s="1814"/>
      <c r="AN8" s="1814"/>
      <c r="AO8" s="1814"/>
      <c r="AP8" s="1814"/>
      <c r="AQ8" s="1814"/>
      <c r="AR8" s="1814"/>
      <c r="AS8" s="1814"/>
      <c r="AT8" s="1289" t="s">
        <v>1890</v>
      </c>
      <c r="AU8" s="2178" t="s">
        <v>1891</v>
      </c>
      <c r="AV8" s="1289"/>
      <c r="AW8" s="2161"/>
      <c r="AX8" s="1289"/>
      <c r="AY8" s="2162" t="s">
        <v>1892</v>
      </c>
      <c r="AZ8" s="1813" t="s">
        <v>1893</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2.75">
      <c r="A9" s="2178"/>
      <c r="B9" s="2178"/>
      <c r="C9" s="2178"/>
      <c r="D9" s="2178"/>
      <c r="E9" s="2178"/>
      <c r="F9" s="2178"/>
      <c r="G9" s="1289"/>
      <c r="H9" s="2186" t="s">
        <v>1894</v>
      </c>
      <c r="I9" s="2187" t="s">
        <v>3059</v>
      </c>
      <c r="J9" s="978"/>
      <c r="K9" s="2187" t="s">
        <v>3061</v>
      </c>
      <c r="L9" s="978"/>
      <c r="M9" s="2187" t="s">
        <v>3061</v>
      </c>
      <c r="N9" s="978"/>
      <c r="O9" s="2187" t="s">
        <v>3059</v>
      </c>
      <c r="P9" s="978"/>
      <c r="Q9" s="2187" t="s">
        <v>3059</v>
      </c>
      <c r="R9" s="978"/>
      <c r="S9" s="2187" t="s">
        <v>3059</v>
      </c>
      <c r="T9" s="978"/>
      <c r="U9" s="2187"/>
      <c r="V9" s="978"/>
      <c r="W9" s="2187"/>
      <c r="X9" s="2188"/>
      <c r="Y9" s="2187"/>
      <c r="Z9" s="978"/>
      <c r="AA9" s="2187"/>
      <c r="AB9" s="978"/>
      <c r="AC9" s="2179"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9"/>
      <c r="AT9" s="2178"/>
      <c r="AU9" s="2178" t="s">
        <v>1897</v>
      </c>
      <c r="AV9" s="1289"/>
      <c r="AW9" s="2161"/>
      <c r="AX9" s="1289"/>
      <c r="AY9" s="28"/>
      <c r="AZ9" s="28" t="s">
        <v>1887</v>
      </c>
      <c r="BA9" s="2190" t="s">
        <v>1898</v>
      </c>
      <c r="BB9" s="2191"/>
      <c r="BC9" s="1335"/>
      <c r="BD9" s="1335"/>
      <c r="BE9" s="1335"/>
      <c r="BF9" s="1335"/>
      <c r="BG9" s="1335"/>
      <c r="BH9" s="1335"/>
      <c r="BI9" s="1335"/>
      <c r="BJ9" s="1335"/>
      <c r="BK9" s="2192"/>
      <c r="BL9" s="15" t="s">
        <v>1899</v>
      </c>
      <c r="BM9" s="1814"/>
      <c r="BN9" s="2181"/>
      <c r="BO9" s="1814"/>
      <c r="BP9" s="1814"/>
      <c r="BQ9" s="1814"/>
      <c r="BR9" s="1814"/>
      <c r="BS9" s="1814"/>
      <c r="BT9" s="26"/>
    </row>
    <row r="10" spans="1:72" s="2185" customFormat="1" ht="12.75">
      <c r="A10" s="2178"/>
      <c r="B10" s="2178"/>
      <c r="C10" s="2178"/>
      <c r="D10" s="2178"/>
      <c r="E10" s="2178"/>
      <c r="F10" s="2178"/>
      <c r="G10" s="1289"/>
      <c r="H10" s="28"/>
      <c r="I10" s="2187" t="s">
        <v>1372</v>
      </c>
      <c r="J10" s="978"/>
      <c r="K10" s="2187" t="s">
        <v>1372</v>
      </c>
      <c r="L10" s="978"/>
      <c r="M10" s="2187" t="s">
        <v>1372</v>
      </c>
      <c r="N10" s="978"/>
      <c r="O10" s="2187" t="s">
        <v>1372</v>
      </c>
      <c r="P10" s="978"/>
      <c r="Q10" s="2187" t="s">
        <v>1372</v>
      </c>
      <c r="R10" s="978"/>
      <c r="S10" s="2187" t="s">
        <v>1372</v>
      </c>
      <c r="T10" s="978"/>
      <c r="U10" s="2193"/>
      <c r="V10" s="978"/>
      <c r="W10" s="2193"/>
      <c r="X10" s="978"/>
      <c r="Y10" s="2193"/>
      <c r="Z10" s="978"/>
      <c r="AA10" s="2193"/>
      <c r="AB10" s="978"/>
      <c r="AC10" s="1289"/>
      <c r="AD10" s="15" t="s">
        <v>1900</v>
      </c>
      <c r="AE10" s="2194"/>
      <c r="AF10" s="15" t="s">
        <v>1900</v>
      </c>
      <c r="AG10" s="2194"/>
      <c r="AH10" s="15" t="s">
        <v>1901</v>
      </c>
      <c r="AI10" s="2194"/>
      <c r="AJ10" s="15" t="s">
        <v>1901</v>
      </c>
      <c r="AK10" s="2194"/>
      <c r="AL10" s="15" t="s">
        <v>1902</v>
      </c>
      <c r="AM10" s="1295"/>
      <c r="AN10" s="15" t="s">
        <v>1902</v>
      </c>
      <c r="AO10" s="1295"/>
      <c r="AP10" s="15" t="s">
        <v>1903</v>
      </c>
      <c r="AQ10" s="1295"/>
      <c r="AR10" s="15" t="s">
        <v>1903</v>
      </c>
      <c r="AS10" s="1295"/>
      <c r="AT10" s="2178"/>
      <c r="AU10" s="2178"/>
      <c r="AV10" s="1289"/>
      <c r="AW10" s="2161"/>
      <c r="AX10" s="1289"/>
      <c r="AY10" s="28"/>
      <c r="AZ10" s="28"/>
      <c r="BA10" s="2195" t="s">
        <v>1894</v>
      </c>
      <c r="BB10" s="2196" t="str">
        <f>I9</f>
        <v>地上</v>
      </c>
      <c r="BC10" s="29" t="str">
        <f>K9</f>
        <v>地下</v>
      </c>
      <c r="BD10" s="29" t="str">
        <f>M9</f>
        <v>地下</v>
      </c>
      <c r="BE10" s="29" t="str">
        <f>O9</f>
        <v>地上</v>
      </c>
      <c r="BF10" s="29" t="str">
        <f>Q9</f>
        <v>地上</v>
      </c>
      <c r="BG10" s="29" t="str">
        <f>S9</f>
        <v>地上</v>
      </c>
      <c r="BH10" s="29">
        <f>U9</f>
        <v>0</v>
      </c>
      <c r="BI10" s="29">
        <f>W9</f>
        <v>0</v>
      </c>
      <c r="BJ10" s="29">
        <f>Y9</f>
        <v>0</v>
      </c>
      <c r="BK10" s="29">
        <f>AA9</f>
        <v>0</v>
      </c>
      <c r="BL10" s="25" t="s">
        <v>1894</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2.75">
      <c r="A11" s="2178"/>
      <c r="B11" s="2178"/>
      <c r="C11" s="2178"/>
      <c r="D11" s="2178"/>
      <c r="E11" s="2178"/>
      <c r="F11" s="2178"/>
      <c r="G11" s="1289"/>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9"/>
      <c r="AD11" s="2200" t="s">
        <v>1904</v>
      </c>
      <c r="AE11" s="1815"/>
      <c r="AF11" s="2200" t="s">
        <v>1904</v>
      </c>
      <c r="AG11" s="1815"/>
      <c r="AH11" s="2200" t="s">
        <v>1905</v>
      </c>
      <c r="AI11" s="2201"/>
      <c r="AJ11" s="2200" t="s">
        <v>1905</v>
      </c>
      <c r="AK11" s="1815"/>
      <c r="AL11" s="1813"/>
      <c r="AM11" s="1815"/>
      <c r="AN11" s="1813"/>
      <c r="AO11" s="1815"/>
      <c r="AP11" s="1813"/>
      <c r="AQ11" s="1815"/>
      <c r="AR11" s="1813"/>
      <c r="AS11" s="1815"/>
      <c r="AT11" s="2161"/>
      <c r="AU11" s="2178"/>
      <c r="AV11" s="1289"/>
      <c r="AW11" s="2161"/>
      <c r="AX11" s="1289"/>
      <c r="AY11" s="28"/>
      <c r="AZ11" s="28"/>
      <c r="BA11" s="28"/>
      <c r="BB11" s="2183" t="str">
        <f>I10</f>
        <v>商业</v>
      </c>
      <c r="BC11" s="2183" t="str">
        <f>K10</f>
        <v>商业</v>
      </c>
      <c r="BD11" s="2183" t="str">
        <f>M10</f>
        <v>商业</v>
      </c>
      <c r="BE11" s="2183" t="str">
        <f>O10</f>
        <v>商业</v>
      </c>
      <c r="BF11" s="2183" t="str">
        <f>Q10</f>
        <v>商业</v>
      </c>
      <c r="BG11" s="2183" t="str">
        <f>S10</f>
        <v>商业</v>
      </c>
      <c r="BH11" s="2183">
        <f>U10</f>
        <v>0</v>
      </c>
      <c r="BI11" s="2183">
        <f>W10</f>
        <v>0</v>
      </c>
      <c r="BJ11" s="2183">
        <f>Y10</f>
        <v>0</v>
      </c>
      <c r="BK11" s="2183">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8" t="s">
        <v>1907</v>
      </c>
      <c r="W12" s="11" t="s">
        <v>1906</v>
      </c>
      <c r="X12" s="11" t="s">
        <v>1907</v>
      </c>
      <c r="Y12" s="11" t="s">
        <v>1906</v>
      </c>
      <c r="Z12" s="11" t="s">
        <v>1907</v>
      </c>
      <c r="AA12" s="11" t="s">
        <v>1906</v>
      </c>
      <c r="AB12" s="11" t="s">
        <v>1907</v>
      </c>
      <c r="AC12" s="2205"/>
      <c r="AD12" s="180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c r="D13" s="2209" t="s">
        <v>3074</v>
      </c>
      <c r="E13" s="16">
        <f>IF($C$3="是",ROUND($A$3*G13/$B$3,2),ROUND($A$3*(G13-AT13)/$B$3,2))</f>
        <v>196085</v>
      </c>
      <c r="F13" s="32"/>
      <c r="G13" s="33">
        <f>H13+AC13+AT13</f>
        <v>218862.73</v>
      </c>
      <c r="H13" s="20">
        <f>SUMIF(I$12:AB$12,"总值",I13:AB13)</f>
        <v>218862.73</v>
      </c>
      <c r="I13" s="2210">
        <f>规证!F9</f>
        <v>166374.91</v>
      </c>
      <c r="J13" s="2210"/>
      <c r="K13" s="2210">
        <f>规证!G9</f>
        <v>52487.820000000007</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2">
        <f>ROUND($AY$6*AZ13/$AZ$5,2)</f>
        <v>196085</v>
      </c>
      <c r="AZ13" s="16">
        <f>BA13+BL13</f>
        <v>218862.73</v>
      </c>
      <c r="BA13" s="16">
        <f>SUM(BB13:BK13)</f>
        <v>218862.73</v>
      </c>
      <c r="BB13" s="16">
        <f>IF($D13="是",I13-J13,0)</f>
        <v>166374.91</v>
      </c>
      <c r="BC13" s="16">
        <f>IF($D13="是",K13-L13,0)</f>
        <v>52487.820000000007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9"/>
      <c r="B14" s="1269"/>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9"/>
      <c r="B15" s="1269"/>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9"/>
      <c r="B16" s="1269"/>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9"/>
      <c r="B17" s="1269"/>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1"/>
  <sheetViews>
    <sheetView zoomScale="130" zoomScaleNormal="130" workbookViewId="0">
      <selection activeCell="J20" sqref="J20"/>
    </sheetView>
  </sheetViews>
  <sheetFormatPr defaultColWidth="10.875" defaultRowHeight="17.25"/>
  <cols>
    <col min="1" max="1" width="0.875" style="3016" customWidth="1"/>
    <col min="2" max="2" width="10.875" style="3016"/>
    <col min="3" max="3" width="20.125" style="3016" customWidth="1"/>
    <col min="4" max="16384" width="10.875" style="3016"/>
  </cols>
  <sheetData>
    <row r="1" spans="2:8" ht="20.100000000000001" customHeight="1">
      <c r="B1" s="3015" t="s">
        <v>3073</v>
      </c>
      <c r="C1" s="3015"/>
      <c r="D1" s="3100" t="s">
        <v>3058</v>
      </c>
      <c r="E1" s="3100"/>
      <c r="F1" s="3100" t="s">
        <v>3066</v>
      </c>
      <c r="G1" s="3100"/>
      <c r="H1" s="3100"/>
    </row>
    <row r="2" spans="2:8" ht="20.100000000000001" customHeight="1">
      <c r="B2" s="3015"/>
      <c r="C2" s="3015"/>
      <c r="D2" s="3015" t="s">
        <v>3060</v>
      </c>
      <c r="E2" s="3015" t="s">
        <v>3062</v>
      </c>
      <c r="F2" s="3015" t="s">
        <v>3064</v>
      </c>
      <c r="G2" s="3015" t="s">
        <v>3067</v>
      </c>
      <c r="H2" s="3015" t="s">
        <v>3068</v>
      </c>
    </row>
    <row r="3" spans="2:8" ht="21.95" customHeight="1">
      <c r="B3" s="3099" t="s">
        <v>3055</v>
      </c>
      <c r="C3" s="3016" t="s">
        <v>3056</v>
      </c>
      <c r="D3" s="3016" t="s">
        <v>3063</v>
      </c>
      <c r="E3" s="3016">
        <v>1</v>
      </c>
      <c r="F3" s="3018">
        <v>0</v>
      </c>
      <c r="G3" s="3018">
        <v>19528.52</v>
      </c>
      <c r="H3" s="3018">
        <f>SUM(F3:G3)</f>
        <v>19528.52</v>
      </c>
    </row>
    <row r="4" spans="2:8" ht="21.95" customHeight="1">
      <c r="B4" s="3099"/>
      <c r="C4" s="3016" t="s">
        <v>3057</v>
      </c>
      <c r="D4" s="3016">
        <v>4</v>
      </c>
      <c r="E4" s="3016" t="s">
        <v>3063</v>
      </c>
      <c r="F4" s="3018">
        <v>88638.63</v>
      </c>
      <c r="G4" s="3018">
        <v>0</v>
      </c>
      <c r="H4" s="3018">
        <f>SUM(F4:G4)</f>
        <v>88638.63</v>
      </c>
    </row>
    <row r="5" spans="2:8" ht="21.95" customHeight="1">
      <c r="B5" s="3099"/>
      <c r="C5" s="3099" t="s">
        <v>3069</v>
      </c>
      <c r="D5" s="3099"/>
      <c r="E5" s="3099"/>
      <c r="F5" s="3018">
        <f>SUM(F3:F4)</f>
        <v>88638.63</v>
      </c>
      <c r="G5" s="3018">
        <f t="shared" ref="G5:H5" si="0">SUM(G3:G4)</f>
        <v>19528.52</v>
      </c>
      <c r="H5" s="3018">
        <f t="shared" si="0"/>
        <v>108167.15000000001</v>
      </c>
    </row>
    <row r="6" spans="2:8" ht="21.95" customHeight="1">
      <c r="B6" s="3099" t="s">
        <v>3070</v>
      </c>
      <c r="C6" s="3016" t="s">
        <v>3071</v>
      </c>
      <c r="D6" s="3016" t="s">
        <v>3063</v>
      </c>
      <c r="E6" s="3016">
        <v>2</v>
      </c>
      <c r="F6" s="3018">
        <v>27318.2</v>
      </c>
      <c r="G6" s="3018">
        <v>32959.300000000003</v>
      </c>
      <c r="H6" s="3018">
        <f>SUM(F6:G6)</f>
        <v>60277.5</v>
      </c>
    </row>
    <row r="7" spans="2:8" ht="21.95" customHeight="1">
      <c r="B7" s="3099"/>
      <c r="C7" s="3016" t="s">
        <v>3072</v>
      </c>
      <c r="D7" s="3016">
        <v>4</v>
      </c>
      <c r="E7" s="3016" t="s">
        <v>3063</v>
      </c>
      <c r="F7" s="3018">
        <v>50418.080000000002</v>
      </c>
      <c r="G7" s="3018">
        <v>0</v>
      </c>
      <c r="H7" s="3018">
        <f>SUM(F7:G7)</f>
        <v>50418.080000000002</v>
      </c>
    </row>
    <row r="8" spans="2:8" ht="21.95" customHeight="1">
      <c r="B8" s="3099"/>
      <c r="C8" s="3099" t="s">
        <v>3069</v>
      </c>
      <c r="D8" s="3099"/>
      <c r="E8" s="3099"/>
      <c r="F8" s="3018">
        <f>SUM(F6:F7)</f>
        <v>77736.28</v>
      </c>
      <c r="G8" s="3018">
        <f t="shared" ref="G8:H8" si="1">SUM(G6:G7)</f>
        <v>32959.300000000003</v>
      </c>
      <c r="H8" s="3018">
        <f t="shared" si="1"/>
        <v>110695.58</v>
      </c>
    </row>
    <row r="9" spans="2:8" ht="21.95" customHeight="1">
      <c r="B9" s="3017" t="s">
        <v>3068</v>
      </c>
      <c r="C9" s="3017"/>
      <c r="D9" s="3017"/>
      <c r="E9" s="3017"/>
      <c r="F9" s="3019">
        <f>F5+F8</f>
        <v>166374.91</v>
      </c>
      <c r="G9" s="3019">
        <f t="shared" ref="G9:H9" si="2">G5+G8</f>
        <v>52487.820000000007</v>
      </c>
      <c r="H9" s="3019">
        <f t="shared" si="2"/>
        <v>218862.73</v>
      </c>
    </row>
    <row r="11" spans="2:8">
      <c r="B11" s="3016" t="s">
        <v>3544</v>
      </c>
      <c r="C11" s="3016" t="s">
        <v>3574</v>
      </c>
    </row>
  </sheetData>
  <mergeCells count="6">
    <mergeCell ref="B6:B8"/>
    <mergeCell ref="B3:B5"/>
    <mergeCell ref="D1:E1"/>
    <mergeCell ref="F1:H1"/>
    <mergeCell ref="C8:E8"/>
    <mergeCell ref="C5:E5"/>
  </mergeCells>
  <phoneticPr fontId="14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125" defaultRowHeight="14.25"/>
  <cols>
    <col min="1" max="1" width="12.125" style="2222" customWidth="1"/>
    <col min="2" max="2" width="10.1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125" style="2222"/>
  </cols>
  <sheetData>
    <row r="1" spans="1:16" ht="18.75">
      <c r="A1" s="2221" t="s">
        <v>1933</v>
      </c>
      <c r="B1" s="1389"/>
      <c r="C1" s="1389"/>
      <c r="D1" s="1389"/>
      <c r="E1" s="1389"/>
      <c r="F1" s="1389"/>
      <c r="G1" s="1389"/>
      <c r="H1" s="1389"/>
      <c r="I1" s="1389"/>
      <c r="J1" s="1389"/>
      <c r="K1" s="1389"/>
      <c r="L1" s="1389"/>
      <c r="M1" s="1389"/>
      <c r="N1" s="1389"/>
      <c r="O1" s="1389"/>
      <c r="P1" s="1389"/>
    </row>
    <row r="2" spans="1:16" ht="15">
      <c r="A2" s="3112" t="s">
        <v>1934</v>
      </c>
      <c r="B2" s="3112"/>
      <c r="C2" s="3112"/>
      <c r="D2" s="964" t="s">
        <v>1910</v>
      </c>
      <c r="E2" s="2223" t="s">
        <v>1911</v>
      </c>
      <c r="F2" s="1389"/>
      <c r="G2" s="2224"/>
      <c r="H2" s="2225"/>
      <c r="I2" s="2226" t="s">
        <v>1935</v>
      </c>
      <c r="J2" s="1389"/>
      <c r="K2" s="1389"/>
      <c r="L2" s="1389"/>
      <c r="M2" s="1389"/>
      <c r="N2" s="1424"/>
      <c r="O2" s="1389"/>
      <c r="P2" s="1389"/>
    </row>
    <row r="3" spans="1:16" ht="15.75" thickBot="1">
      <c r="A3" s="3113" t="s">
        <v>1908</v>
      </c>
      <c r="B3" s="3113"/>
      <c r="C3" s="3113"/>
      <c r="D3" s="46">
        <f>'数据-基础表'!AY6</f>
        <v>196085</v>
      </c>
      <c r="E3" s="46">
        <f>'数据-基础表'!AZ5</f>
        <v>218862.73</v>
      </c>
      <c r="F3" s="1389"/>
      <c r="G3" s="1396"/>
      <c r="H3" s="1244" t="s">
        <v>1909</v>
      </c>
      <c r="I3" s="55">
        <f>ROUND('数据-基础表'!B3/'数据-基础表'!A3,2)</f>
        <v>1.1200000000000001</v>
      </c>
      <c r="J3" s="1389"/>
      <c r="K3" s="1389"/>
      <c r="L3" s="1389"/>
      <c r="M3" s="1389"/>
      <c r="N3" s="1424"/>
      <c r="O3" s="1389"/>
      <c r="P3" s="1389"/>
    </row>
    <row r="4" spans="1:16" ht="15">
      <c r="A4" s="3114"/>
      <c r="B4" s="3115"/>
      <c r="C4" s="3116"/>
      <c r="D4" s="2227" t="s">
        <v>1910</v>
      </c>
      <c r="E4" s="2228" t="s">
        <v>1911</v>
      </c>
      <c r="F4" s="1389"/>
      <c r="G4" s="2229" t="s">
        <v>1936</v>
      </c>
      <c r="H4" s="1244" t="s">
        <v>1916</v>
      </c>
      <c r="I4" s="55">
        <f>ROUND(SUMIF('数据-基础表'!I9:AS9,"地上",'数据-基础表'!I5:AS5)/'数据-基础表'!A3,2)</f>
        <v>0.85</v>
      </c>
      <c r="J4" s="1389"/>
      <c r="K4" s="1389"/>
      <c r="L4" s="1389"/>
      <c r="M4" s="1389"/>
      <c r="N4" s="1424"/>
      <c r="O4" s="1389"/>
      <c r="P4" s="1389"/>
    </row>
    <row r="5" spans="1:16">
      <c r="A5" s="47" t="s">
        <v>1912</v>
      </c>
      <c r="B5" s="3117" t="s">
        <v>1913</v>
      </c>
      <c r="C5" s="3117"/>
      <c r="D5" s="48">
        <f>ROUND($D$3*E5/$E$3,2)</f>
        <v>0</v>
      </c>
      <c r="E5" s="49">
        <f>SUMIF('数据-基础表'!$11:$11,"住宅",'数据-基础表'!$5:$5)</f>
        <v>0</v>
      </c>
      <c r="F5" s="1389"/>
      <c r="G5" s="1396"/>
      <c r="H5" s="1244" t="s">
        <v>1909</v>
      </c>
      <c r="I5" s="55">
        <f>ROUND(E31/D31,2)</f>
        <v>1.1200000000000001</v>
      </c>
      <c r="J5" s="1389"/>
      <c r="K5" s="1389"/>
      <c r="L5" s="1389"/>
      <c r="M5" s="1389"/>
      <c r="N5" s="1389"/>
      <c r="O5" s="1389"/>
      <c r="P5" s="1389"/>
    </row>
    <row r="6" spans="1:16" ht="15" thickBot="1">
      <c r="A6" s="2230"/>
      <c r="B6" s="3117" t="s">
        <v>1914</v>
      </c>
      <c r="C6" s="3117"/>
      <c r="D6" s="48">
        <f>ROUND($D$3*E6/$E$3,2)</f>
        <v>196085</v>
      </c>
      <c r="E6" s="49">
        <f>E3-E5</f>
        <v>218862.73</v>
      </c>
      <c r="F6" s="1389"/>
      <c r="G6" s="2231" t="s">
        <v>1915</v>
      </c>
      <c r="H6" s="1396" t="s">
        <v>1916</v>
      </c>
      <c r="I6" s="936">
        <f>ROUND(F31/D31,2)</f>
        <v>0.85</v>
      </c>
      <c r="J6" s="1389"/>
      <c r="K6" s="1389"/>
      <c r="L6" s="1389"/>
      <c r="M6" s="1389"/>
      <c r="N6" s="1389"/>
      <c r="O6" s="1389"/>
      <c r="P6" s="1389"/>
    </row>
    <row r="7" spans="1:16" ht="15">
      <c r="A7" s="3109"/>
      <c r="B7" s="3110"/>
      <c r="C7" s="3111"/>
      <c r="D7" s="2227" t="s">
        <v>1910</v>
      </c>
      <c r="E7" s="2232" t="s">
        <v>1917</v>
      </c>
      <c r="F7" s="1389"/>
      <c r="G7" s="2224" t="s">
        <v>1918</v>
      </c>
      <c r="H7" s="64"/>
      <c r="I7" s="418"/>
      <c r="J7" s="1389"/>
      <c r="K7" s="1389"/>
      <c r="L7" s="1389"/>
      <c r="M7" s="1389"/>
      <c r="N7" s="1389"/>
      <c r="O7" s="1389"/>
      <c r="P7" s="1389"/>
    </row>
    <row r="8" spans="1:16">
      <c r="A8" s="47" t="s">
        <v>1919</v>
      </c>
      <c r="B8" s="50" t="s">
        <v>1920</v>
      </c>
      <c r="C8" s="48" t="s">
        <v>1921</v>
      </c>
      <c r="D8" s="48">
        <f t="shared" ref="D8:D15" si="0">ROUND($D$3*E8/$E$3,2)</f>
        <v>149059.75</v>
      </c>
      <c r="E8" s="51">
        <f>SUMIF('数据-基础表'!BB10:BK10,"地上",'数据-基础表'!BB5:BK5)</f>
        <v>166374.91</v>
      </c>
      <c r="F8" s="1389"/>
      <c r="G8" s="2233"/>
      <c r="H8" s="2233"/>
      <c r="I8" s="1389"/>
      <c r="J8" s="1389"/>
      <c r="K8" s="1389"/>
      <c r="L8" s="1389"/>
      <c r="M8" s="1389"/>
      <c r="N8" s="1389"/>
      <c r="O8" s="1389"/>
      <c r="P8" s="1389"/>
    </row>
    <row r="9" spans="1:16">
      <c r="A9" s="2234"/>
      <c r="B9" s="2235"/>
      <c r="C9" s="48" t="s">
        <v>1922</v>
      </c>
      <c r="D9" s="48">
        <f t="shared" si="0"/>
        <v>0</v>
      </c>
      <c r="E9" s="52">
        <v>0</v>
      </c>
      <c r="F9" s="1389"/>
      <c r="G9" s="2233"/>
      <c r="H9" s="2233"/>
      <c r="I9" s="1389"/>
      <c r="J9" s="1389"/>
      <c r="K9" s="1389"/>
      <c r="L9" s="1389"/>
      <c r="M9" s="1389"/>
      <c r="N9" s="1389"/>
      <c r="O9" s="1389"/>
      <c r="P9" s="1389"/>
    </row>
    <row r="10" spans="1:16">
      <c r="A10" s="2234"/>
      <c r="B10" s="2235"/>
      <c r="C10" s="48" t="s">
        <v>1931</v>
      </c>
      <c r="D10" s="48">
        <f t="shared" si="0"/>
        <v>47025.25</v>
      </c>
      <c r="E10" s="51">
        <f>SUMPRODUCT(('数据-基础表'!BB10:BK10="地下")*('数据-基础表'!BB11:BK11="商业")*('数据-基础表'!BB5:BK5))</f>
        <v>52487.820000000007</v>
      </c>
      <c r="F10" s="1389"/>
      <c r="G10" s="2233"/>
      <c r="H10" s="2233"/>
      <c r="I10" s="1389"/>
      <c r="J10" s="1389"/>
      <c r="K10" s="1389"/>
      <c r="L10" s="1389"/>
      <c r="M10" s="1389"/>
      <c r="N10" s="1389"/>
      <c r="O10" s="1389"/>
      <c r="P10" s="1389"/>
    </row>
    <row r="11" spans="1:16">
      <c r="A11" s="2234"/>
      <c r="B11" s="2235"/>
      <c r="C11" s="48" t="s">
        <v>1923</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8" t="s">
        <v>1924</v>
      </c>
      <c r="D12" s="48">
        <f t="shared" si="0"/>
        <v>0</v>
      </c>
      <c r="E12" s="51">
        <f>SUMPRODUCT(('数据-基础表'!BB10:BK10="地下")*('数据-基础表'!BB11:BK11="仓储")*('数据-基础表'!BB5:BK5))</f>
        <v>0</v>
      </c>
      <c r="F12" s="1389"/>
      <c r="G12" s="2233"/>
      <c r="H12" s="2233"/>
      <c r="I12" s="1389"/>
      <c r="J12" s="1389"/>
      <c r="K12" s="1389"/>
      <c r="L12" s="1389"/>
      <c r="M12" s="1389"/>
      <c r="N12" s="1389"/>
      <c r="O12" s="1389"/>
      <c r="P12" s="1389"/>
    </row>
    <row r="13" spans="1:16">
      <c r="A13" s="2234"/>
      <c r="B13" s="2235"/>
      <c r="C13" s="48" t="s">
        <v>1925</v>
      </c>
      <c r="D13" s="48">
        <f t="shared" si="0"/>
        <v>0</v>
      </c>
      <c r="E13" s="51">
        <f>SUMPRODUCT(('数据-基础表'!BB10:BK10="地下")*('数据-基础表'!BB11:BK11="车库")*('数据-基础表'!BB5:BK5))</f>
        <v>0</v>
      </c>
      <c r="F13" s="1389"/>
      <c r="G13" s="2233"/>
      <c r="H13" s="2233"/>
      <c r="I13" s="1389"/>
      <c r="J13" s="1389"/>
      <c r="K13" s="1389"/>
      <c r="L13" s="1389"/>
      <c r="M13" s="1389"/>
      <c r="N13" s="1389"/>
      <c r="O13" s="1389"/>
      <c r="P13" s="1389"/>
    </row>
    <row r="14" spans="1:16">
      <c r="A14" s="2234"/>
      <c r="B14" s="2235"/>
      <c r="C14" s="48" t="s">
        <v>1937</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1932</v>
      </c>
      <c r="D15" s="48">
        <f t="shared" si="0"/>
        <v>0</v>
      </c>
      <c r="E15" s="51">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50" t="s">
        <v>1926</v>
      </c>
      <c r="D16" s="50">
        <f>SUM(D8:D15)</f>
        <v>196085</v>
      </c>
      <c r="E16" s="53">
        <f>SUM(E8:E15)</f>
        <v>218862.73</v>
      </c>
      <c r="F16" s="1389"/>
      <c r="G16" s="2233"/>
      <c r="H16" s="2236" t="s">
        <v>1938</v>
      </c>
      <c r="I16" s="2237"/>
      <c r="J16" s="1389"/>
      <c r="K16" s="3106" t="s">
        <v>1938</v>
      </c>
      <c r="L16" s="3107"/>
      <c r="M16" s="3107"/>
      <c r="N16" s="3107"/>
      <c r="O16" s="3107"/>
      <c r="P16" s="3108"/>
    </row>
    <row r="17" spans="1:19" ht="15">
      <c r="A17" s="2238" t="s">
        <v>1939</v>
      </c>
      <c r="B17" s="2239" t="s">
        <v>1940</v>
      </c>
      <c r="C17" s="2240" t="s">
        <v>1941</v>
      </c>
      <c r="D17" s="2241" t="s">
        <v>1929</v>
      </c>
      <c r="E17" s="2242" t="s">
        <v>1930</v>
      </c>
      <c r="F17" s="2243"/>
      <c r="G17" s="2244"/>
      <c r="H17" s="2245" t="s">
        <v>1942</v>
      </c>
      <c r="I17" s="2246" t="s">
        <v>1927</v>
      </c>
      <c r="J17" s="1389"/>
      <c r="K17" s="3103" t="s">
        <v>1943</v>
      </c>
      <c r="L17" s="3104"/>
      <c r="M17" s="3105"/>
      <c r="N17" s="3103" t="s">
        <v>1944</v>
      </c>
      <c r="O17" s="3104"/>
      <c r="P17" s="3105"/>
      <c r="R17" s="2224" t="s">
        <v>1945</v>
      </c>
      <c r="S17" s="64"/>
    </row>
    <row r="18" spans="1:19" ht="15">
      <c r="A18" s="2234"/>
      <c r="B18" s="2247"/>
      <c r="C18" s="2248"/>
      <c r="D18" s="2249"/>
      <c r="E18" s="2250" t="s">
        <v>1946</v>
      </c>
      <c r="F18" s="2251" t="s">
        <v>1947</v>
      </c>
      <c r="G18" s="2252" t="s">
        <v>1948</v>
      </c>
      <c r="H18" s="1259" t="s">
        <v>1949</v>
      </c>
      <c r="I18" s="2253" t="s">
        <v>1950</v>
      </c>
      <c r="J18" s="1389"/>
      <c r="K18" s="1259" t="s">
        <v>1951</v>
      </c>
      <c r="L18" s="2254" t="s">
        <v>1952</v>
      </c>
      <c r="M18" s="1043" t="s">
        <v>1953</v>
      </c>
      <c r="N18" s="1259" t="s">
        <v>1951</v>
      </c>
      <c r="O18" s="2254" t="s">
        <v>1952</v>
      </c>
      <c r="P18" s="1043" t="s">
        <v>1953</v>
      </c>
      <c r="R18" s="1244" t="s">
        <v>1954</v>
      </c>
      <c r="S18" s="1244" t="s">
        <v>1955</v>
      </c>
    </row>
    <row r="19" spans="1:19">
      <c r="A19" s="2255"/>
      <c r="B19" s="50" t="s">
        <v>1928</v>
      </c>
      <c r="C19" s="2256" t="s">
        <v>3537</v>
      </c>
      <c r="D19" s="48">
        <f>ROUND($D$3*E19/$E$3,2)</f>
        <v>149059.75</v>
      </c>
      <c r="E19" s="56">
        <f t="shared" ref="E19:E26" si="1">SUM(F19:G19)</f>
        <v>166374.91</v>
      </c>
      <c r="F19" s="57">
        <f>'数据-基础表'!I13</f>
        <v>166374.91</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149059.75</v>
      </c>
      <c r="S19" s="1245">
        <f t="shared" si="5"/>
        <v>166374.91</v>
      </c>
    </row>
    <row r="20" spans="1:19">
      <c r="A20" s="2259"/>
      <c r="B20" s="50" t="s">
        <v>1956</v>
      </c>
      <c r="C20" s="2256" t="s">
        <v>3539</v>
      </c>
      <c r="D20" s="48">
        <f t="shared" ref="D20:D26" si="6">ROUND($D$3*E20/$E$3,2)</f>
        <v>47025.25</v>
      </c>
      <c r="E20" s="56">
        <f t="shared" si="1"/>
        <v>52487.820000000007</v>
      </c>
      <c r="F20" s="57"/>
      <c r="G20" s="58">
        <f>'数据-基础表'!K13</f>
        <v>52487.820000000007</v>
      </c>
      <c r="H20" s="721">
        <f t="shared" ref="H20:H26" si="7">ROUND($D$3*I20/$E$3,2)</f>
        <v>0</v>
      </c>
      <c r="I20" s="51">
        <f t="shared" si="2"/>
        <v>0</v>
      </c>
      <c r="J20" s="1389"/>
      <c r="K20" s="1388">
        <f t="shared" si="3"/>
        <v>0</v>
      </c>
      <c r="L20" s="1244">
        <f t="shared" si="4"/>
        <v>0</v>
      </c>
      <c r="M20" s="1400">
        <f t="shared" ref="M20:M26" si="8">K20+L20</f>
        <v>0</v>
      </c>
      <c r="N20" s="2257"/>
      <c r="O20" s="2258"/>
      <c r="P20" s="1400">
        <f t="shared" ref="P20:P26" si="9">N20+O20</f>
        <v>0</v>
      </c>
      <c r="R20" s="1244">
        <f t="shared" si="5"/>
        <v>47025.25</v>
      </c>
      <c r="S20" s="1245">
        <f t="shared" si="5"/>
        <v>52487.820000000007</v>
      </c>
    </row>
    <row r="21" spans="1:19">
      <c r="A21" s="2259"/>
      <c r="B21" s="50" t="s">
        <v>1956</v>
      </c>
      <c r="C21" s="2256"/>
      <c r="D21" s="48">
        <f t="shared" si="6"/>
        <v>0</v>
      </c>
      <c r="E21" s="56">
        <f t="shared" si="1"/>
        <v>0</v>
      </c>
      <c r="F21" s="57"/>
      <c r="G21" s="58"/>
      <c r="H21" s="721">
        <f t="shared" si="7"/>
        <v>0</v>
      </c>
      <c r="I21" s="51">
        <f t="shared" si="2"/>
        <v>0</v>
      </c>
      <c r="J21" s="1389"/>
      <c r="K21" s="1388">
        <f t="shared" si="3"/>
        <v>0</v>
      </c>
      <c r="L21" s="1244">
        <f t="shared" si="4"/>
        <v>0</v>
      </c>
      <c r="M21" s="1400">
        <f t="shared" si="8"/>
        <v>0</v>
      </c>
      <c r="N21" s="2257"/>
      <c r="O21" s="2258"/>
      <c r="P21" s="1400">
        <f t="shared" si="9"/>
        <v>0</v>
      </c>
      <c r="R21" s="1244">
        <f t="shared" si="5"/>
        <v>0</v>
      </c>
      <c r="S21" s="1245">
        <f t="shared" si="5"/>
        <v>0</v>
      </c>
    </row>
    <row r="22" spans="1:19">
      <c r="A22" s="2259"/>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7"/>
      <c r="O22" s="2258"/>
      <c r="P22" s="1400">
        <f t="shared" si="9"/>
        <v>0</v>
      </c>
      <c r="R22" s="1244">
        <f t="shared" si="5"/>
        <v>0</v>
      </c>
      <c r="S22" s="1245">
        <f t="shared" si="5"/>
        <v>0</v>
      </c>
    </row>
    <row r="23" spans="1:19">
      <c r="A23" s="2259"/>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15.75" thickBot="1">
      <c r="A27" s="2259"/>
      <c r="B27" s="48"/>
      <c r="C27" s="2262" t="s">
        <v>1957</v>
      </c>
      <c r="D27" s="1390">
        <f>SUM(D19:D26)</f>
        <v>196085</v>
      </c>
      <c r="E27" s="1391">
        <f>IF(SUM(E19:E26)='数据-基础表'!BA5,SUM(E19:E26),IF(F27="地上面积有误","面积有误","地下面积有误"))</f>
        <v>218862.73</v>
      </c>
      <c r="F27" s="1390">
        <f>IF(SUM(F19:F26)=E8,SUM(F19:F26),"地上面积有误")</f>
        <v>166374.91</v>
      </c>
      <c r="G27" s="1392">
        <f>SUM(G19:G26)</f>
        <v>52487.820000000007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196085</v>
      </c>
      <c r="S27" s="1244">
        <f>IF(SUM(S19:S26)=$E$3,SUM(S19:S26),SUM(S19:S26)&amp;"误差"&amp;ROUND(SUM(S19:S26)-E3,2))</f>
        <v>218862.73</v>
      </c>
    </row>
    <row r="28" spans="1:19">
      <c r="A28" s="2259"/>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9"/>
      <c r="B29" s="50" t="s">
        <v>1958</v>
      </c>
      <c r="C29" s="2263"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9"/>
      <c r="B30" s="50"/>
      <c r="C30" s="2264"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5"/>
      <c r="B31" s="2266"/>
      <c r="C31" s="1004" t="s">
        <v>1961</v>
      </c>
      <c r="D31" s="726">
        <f>D27+D30</f>
        <v>196085</v>
      </c>
      <c r="E31" s="726">
        <f>E27+E30</f>
        <v>218862.73</v>
      </c>
      <c r="F31" s="727">
        <f>F27+F30</f>
        <v>166374.91</v>
      </c>
      <c r="G31" s="728">
        <f>G27+G30</f>
        <v>52487.820000000007</v>
      </c>
      <c r="H31" s="1389"/>
      <c r="I31" s="1389"/>
      <c r="J31" s="1389"/>
      <c r="K31" s="1389"/>
      <c r="L31" s="1389"/>
      <c r="M31" s="1389"/>
      <c r="N31" s="1389"/>
      <c r="O31" s="1389"/>
      <c r="P31" s="1389"/>
    </row>
    <row r="32" spans="1:19">
      <c r="A32" s="2229"/>
      <c r="B32" s="2229" t="s">
        <v>1962</v>
      </c>
      <c r="C32" s="2229"/>
      <c r="D32" s="2229"/>
      <c r="E32" s="1271">
        <f>SUMIF(C19:C26,"*住宅*",E19:E26)</f>
        <v>0</v>
      </c>
      <c r="F32" s="2229"/>
      <c r="G32" s="2229"/>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3"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16" sqref="G16:Z19"/>
    </sheetView>
  </sheetViews>
  <sheetFormatPr defaultColWidth="13.875" defaultRowHeight="12.75"/>
  <cols>
    <col min="1" max="1" width="20.875" style="2341" customWidth="1"/>
    <col min="2" max="2" width="12" style="2271" customWidth="1"/>
    <col min="3" max="3" width="10.8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4" width="6.875" style="2271" customWidth="1"/>
    <col min="25" max="25" width="8.875" style="2271" customWidth="1"/>
    <col min="26" max="30" width="6.875" style="2271" customWidth="1"/>
    <col min="31" max="31" width="8" style="2271" customWidth="1"/>
    <col min="32" max="34" width="7.125" style="2271" customWidth="1"/>
    <col min="35" max="39" width="8" style="2271" customWidth="1"/>
    <col min="40" max="40" width="13.875" style="2270"/>
    <col min="41" max="41" width="11.625" style="2270" customWidth="1"/>
    <col min="42" max="42" width="9.875" style="2270" customWidth="1"/>
    <col min="43" max="67" width="13.875" style="2270"/>
    <col min="68" max="16384" width="13.875" style="2271"/>
  </cols>
  <sheetData>
    <row r="1" spans="1:67" ht="19.5" thickBot="1">
      <c r="A1" s="2268" t="s">
        <v>1963</v>
      </c>
      <c r="B1" s="729"/>
      <c r="C1" s="1577"/>
      <c r="D1" s="2269"/>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2" t="s">
        <v>1964</v>
      </c>
      <c r="B2" s="1263">
        <f>项目基本情况!D3</f>
        <v>43905</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1971</v>
      </c>
      <c r="B5" s="2286" t="s">
        <v>1972</v>
      </c>
      <c r="C5" s="2287" t="s">
        <v>1973</v>
      </c>
      <c r="D5" s="2288" t="s">
        <v>1974</v>
      </c>
      <c r="E5" s="1265" t="s">
        <v>1975</v>
      </c>
      <c r="F5" s="2289" t="s">
        <v>1976</v>
      </c>
      <c r="G5" s="1265" t="s">
        <v>1977</v>
      </c>
      <c r="H5" s="1265" t="s">
        <v>1978</v>
      </c>
      <c r="I5" s="1265" t="s">
        <v>1979</v>
      </c>
      <c r="J5" s="2290" t="s">
        <v>1980</v>
      </c>
      <c r="K5" s="2291" t="s">
        <v>1981</v>
      </c>
      <c r="L5" s="2292" t="s">
        <v>1982</v>
      </c>
      <c r="M5" s="2293" t="s">
        <v>1983</v>
      </c>
      <c r="N5" s="2294" t="s">
        <v>1984</v>
      </c>
      <c r="O5" s="2292" t="s">
        <v>1985</v>
      </c>
      <c r="P5" s="2295" t="s">
        <v>1986</v>
      </c>
      <c r="Q5" s="69" t="s">
        <v>1987</v>
      </c>
      <c r="R5" s="2296" t="s">
        <v>1988</v>
      </c>
      <c r="S5" s="2297" t="s">
        <v>1989</v>
      </c>
      <c r="T5" s="2298" t="s">
        <v>1990</v>
      </c>
      <c r="U5" s="1264" t="s">
        <v>1991</v>
      </c>
      <c r="V5" s="1265" t="s">
        <v>1992</v>
      </c>
      <c r="W5" s="1265" t="s">
        <v>1993</v>
      </c>
      <c r="X5" s="71"/>
      <c r="Y5" s="70" t="s">
        <v>1994</v>
      </c>
      <c r="Z5" s="2299" t="s">
        <v>1991</v>
      </c>
      <c r="AA5" s="1265" t="s">
        <v>1992</v>
      </c>
      <c r="AB5" s="1265" t="s">
        <v>1993</v>
      </c>
      <c r="AC5" s="71"/>
      <c r="AD5" s="71" t="s">
        <v>1994</v>
      </c>
      <c r="AE5" s="1264" t="s">
        <v>1995</v>
      </c>
      <c r="AF5" s="1265" t="s">
        <v>1996</v>
      </c>
      <c r="AG5" s="70" t="s">
        <v>1997</v>
      </c>
      <c r="AH5" s="1264" t="s">
        <v>1998</v>
      </c>
      <c r="AI5" s="2299" t="s">
        <v>1999</v>
      </c>
      <c r="AJ5" s="2299" t="s">
        <v>2000</v>
      </c>
      <c r="AK5" s="1265" t="s">
        <v>2001</v>
      </c>
      <c r="AL5" s="1265" t="s">
        <v>2002</v>
      </c>
      <c r="AM5" s="70" t="s">
        <v>2003</v>
      </c>
      <c r="AN5" s="2300" t="s">
        <v>2004</v>
      </c>
      <c r="AO5" s="2070" t="s">
        <v>2005</v>
      </c>
      <c r="AP5" s="1246"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计容</v>
      </c>
      <c r="B6" s="2303" t="str">
        <f>IF(A6=0,"","经营性")</f>
        <v>经营性</v>
      </c>
      <c r="C6" s="2304" t="s">
        <v>1372</v>
      </c>
      <c r="D6" s="1048">
        <f>SUMIF(项目基本情况!D$12:I$12,C6,项目基本情况!D$14:I$14)</f>
        <v>40</v>
      </c>
      <c r="E6" s="1045">
        <f>IF(B6="","",SUMIF(项目基本情况!D$12:I$12,C6,项目基本情况!D$13:I$13))</f>
        <v>58127</v>
      </c>
      <c r="F6" s="72">
        <f>SUMIF(项目基本情况!D$12:I$12,C6,项目基本情况!D$15:I$15)</f>
        <v>38.96</v>
      </c>
      <c r="G6" s="73">
        <f>IF(ISERROR(ROUND(POWER(1+H6,D6-F6)*(POWER(1+H6,F6)-1)/(POWER(1+H6,D6)-1),3)),0,ROUND(POWER(1+H6,D6-F6)*(POWER(1+H6,F6)-1)/(POWER(1+H6,D6)-1),3))</f>
        <v>0.99099999999999999</v>
      </c>
      <c r="H6" s="799">
        <v>0.05</v>
      </c>
      <c r="I6" s="799">
        <v>5.5E-2</v>
      </c>
      <c r="J6" s="74"/>
      <c r="K6" s="1248">
        <f>SUMIF('数据-汇总表'!C$19:C$33,A6,'数据-汇总表'!E$19:E$33)</f>
        <v>166374.91</v>
      </c>
      <c r="L6" s="800">
        <v>8000</v>
      </c>
      <c r="M6" s="75">
        <f t="shared" ref="M6:M14" si="0">ROUND(K6*L6/10000,0)</f>
        <v>133100</v>
      </c>
      <c r="N6" s="798">
        <v>0.95</v>
      </c>
      <c r="O6" s="75">
        <f>IF($N$5="成新度","——",ROUND(M6*N6,0))</f>
        <v>126445</v>
      </c>
      <c r="P6" s="76">
        <f>IF($N$5="成新度","——",M6-O6)</f>
        <v>6655</v>
      </c>
      <c r="Q6" s="801">
        <v>0.15</v>
      </c>
      <c r="R6" s="77">
        <f ca="1">SUMIF('数据-汇总表'!C$19:C$33,A6,'数据-汇总表'!R$19:R$27)</f>
        <v>149059.75</v>
      </c>
      <c r="S6" s="54">
        <f>IF('数据-汇总表'!$I$17="按面积比例",SUMIF('数据-汇总表'!C$19:C$33,A6,'数据-汇总表'!K$19:K$33),SUMIF('数据-汇总表'!C$19:C$33,A6,'数据-汇总表'!N$19:N$33))</f>
        <v>0</v>
      </c>
      <c r="T6" s="1440">
        <f>ROUND($L$14*S6/10000,0)</f>
        <v>0</v>
      </c>
      <c r="U6" s="78">
        <v>3.5</v>
      </c>
      <c r="V6" s="79">
        <v>2.5000000000000001E-2</v>
      </c>
      <c r="W6" s="79">
        <v>0.1</v>
      </c>
      <c r="X6" s="1258"/>
      <c r="Y6" s="80">
        <v>1</v>
      </c>
      <c r="Z6" s="81"/>
      <c r="AA6" s="74"/>
      <c r="AB6" s="74"/>
      <c r="AC6" s="1258"/>
      <c r="AD6" s="82"/>
      <c r="AE6" s="1259">
        <f ca="1">IF(AN6="",0,SUMIF(INDIRECT("'"&amp;AN6&amp;"'"&amp;"!E:E"),$AE$5,INDIRECT("'"&amp;AN6&amp;"'"&amp;"!F:F")))</f>
        <v>38.86</v>
      </c>
      <c r="AF6" s="1800"/>
      <c r="AG6" s="147">
        <f>IF(AF6="",0,AE6-AF6)</f>
        <v>0</v>
      </c>
      <c r="AH6" s="83"/>
      <c r="AI6" s="85">
        <v>365</v>
      </c>
      <c r="AJ6" s="86"/>
      <c r="AK6" s="87">
        <v>0.02</v>
      </c>
      <c r="AL6" s="88">
        <v>2E-3</v>
      </c>
      <c r="AM6" s="89">
        <v>0.02</v>
      </c>
      <c r="AN6" s="2305" t="s">
        <v>3541</v>
      </c>
      <c r="AO6" s="55">
        <f ca="1">SUMIF(INDIRECT("'"&amp;AN6&amp;"'"&amp;"!A:A"),"总价",INDIRECT("'"&amp;AN6&amp;"'"&amp;"!B:B"))</f>
        <v>248773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t="str">
        <f>'数据-汇总表'!C20</f>
        <v>不计容</v>
      </c>
      <c r="B7" s="2303" t="str">
        <f t="shared" ref="B7:B13" si="1">IF(A7=0,"","经营性")</f>
        <v>经营性</v>
      </c>
      <c r="C7" s="2304" t="s">
        <v>1372</v>
      </c>
      <c r="D7" s="1048">
        <f>SUMIF(项目基本情况!D$12:I$12,C7,项目基本情况!D$14:I$14)</f>
        <v>40</v>
      </c>
      <c r="E7" s="1045">
        <f>IF(B7="","",SUMIF(项目基本情况!D$12:I$12,C7,项目基本情况!D$13:I$13))</f>
        <v>58127</v>
      </c>
      <c r="F7" s="72">
        <f>SUMIF(项目基本情况!D$12:I$12,C7,项目基本情况!D$15:I$15)</f>
        <v>38.96</v>
      </c>
      <c r="G7" s="73">
        <f t="shared" ref="G7:G11" si="2">IF(ISERROR(ROUND(POWER(1+H7,D7-F7)*(POWER(1+H7,F7)-1)/(POWER(1+H7,D7)-1),3)),0,ROUND(POWER(1+H7,D7-F7)*(POWER(1+H7,F7)-1)/(POWER(1+H7,D7)-1),3))</f>
        <v>0.99099999999999999</v>
      </c>
      <c r="H7" s="799">
        <v>0.05</v>
      </c>
      <c r="I7" s="799">
        <v>5.5E-2</v>
      </c>
      <c r="J7" s="74"/>
      <c r="K7" s="1248">
        <f>SUMIF('数据-汇总表'!C$19:C$33,A7,'数据-汇总表'!E$19:E$33)</f>
        <v>52487.820000000007</v>
      </c>
      <c r="L7" s="800">
        <v>5000</v>
      </c>
      <c r="M7" s="75">
        <f t="shared" si="0"/>
        <v>26244</v>
      </c>
      <c r="N7" s="798">
        <f>N6</f>
        <v>0.95</v>
      </c>
      <c r="O7" s="75">
        <f t="shared" ref="O7:O14" si="3">IF($N$5="成新度","——",ROUND(M7*N7,0))</f>
        <v>24932</v>
      </c>
      <c r="P7" s="76">
        <f t="shared" ref="P7:P14" si="4">IF($N$5="成新度","——",M7-O7)</f>
        <v>1312</v>
      </c>
      <c r="Q7" s="801">
        <v>0.03</v>
      </c>
      <c r="R7" s="77">
        <f ca="1">SUMIF('数据-汇总表'!C$19:C$33,A7,'数据-汇总表'!R$19:R$27)</f>
        <v>47025.25</v>
      </c>
      <c r="S7" s="54">
        <f>IF('数据-汇总表'!$I$17="按面积比例",SUMIF('数据-汇总表'!C$19:C$33,A7,'数据-汇总表'!K$19:K$33),SUMIF('数据-汇总表'!C$19:C$33,A7,'数据-汇总表'!N$19:N$33))</f>
        <v>0</v>
      </c>
      <c r="T7" s="1440">
        <f t="shared" ref="T7:T13" si="5">ROUND($L$14*S7/10000,0)</f>
        <v>0</v>
      </c>
      <c r="U7" s="78">
        <v>1.5</v>
      </c>
      <c r="V7" s="79">
        <v>2.5000000000000001E-2</v>
      </c>
      <c r="W7" s="79">
        <v>0.1</v>
      </c>
      <c r="X7" s="1258"/>
      <c r="Y7" s="80">
        <v>1</v>
      </c>
      <c r="Z7" s="81"/>
      <c r="AA7" s="74"/>
      <c r="AB7" s="74"/>
      <c r="AC7" s="1258"/>
      <c r="AD7" s="82"/>
      <c r="AE7" s="1259">
        <f t="shared" ref="AE7:AE13" ca="1" si="6">IF(AN7="",0,SUMIF(INDIRECT("'"&amp;AN7&amp;"'"&amp;"!E:E"),$AE$5,INDIRECT("'"&amp;AN7&amp;"'"&amp;"!F:F")))</f>
        <v>38.86</v>
      </c>
      <c r="AF7" s="1800"/>
      <c r="AG7" s="147">
        <f t="shared" ref="AG7:AG13" si="7">IF(AF7="",0,AE7-AF7)</f>
        <v>0</v>
      </c>
      <c r="AH7" s="83"/>
      <c r="AI7" s="85">
        <v>365</v>
      </c>
      <c r="AJ7" s="2275"/>
      <c r="AK7" s="87">
        <v>1.4999999999999999E-2</v>
      </c>
      <c r="AL7" s="88">
        <v>1.5E-3</v>
      </c>
      <c r="AM7" s="89">
        <v>0.01</v>
      </c>
      <c r="AN7" s="2305" t="s">
        <v>3540</v>
      </c>
      <c r="AO7" s="55">
        <f t="shared" ref="AO7:AO13" ca="1" si="8">SUMIF(INDIRECT("'"&amp;AN7&amp;"'"&amp;"!A:A"),"总价",INDIRECT("'"&amp;AN7&amp;"'"&amp;"!B:B"))</f>
        <v>33051</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0"/>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2009</v>
      </c>
      <c r="B14" s="2303" t="s">
        <v>2010</v>
      </c>
      <c r="C14" s="2308" t="s">
        <v>2009</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1"/>
      <c r="V14" s="1253"/>
      <c r="W14" s="1253"/>
      <c r="X14" s="1254"/>
      <c r="Y14" s="1255"/>
      <c r="Z14" s="1256"/>
      <c r="AA14" s="1257"/>
      <c r="AB14" s="1257"/>
      <c r="AC14" s="1258"/>
      <c r="AD14" s="1254"/>
      <c r="AE14" s="1259"/>
      <c r="AF14" s="55"/>
      <c r="AG14" s="147"/>
      <c r="AH14" s="1259"/>
      <c r="AI14" s="1811"/>
      <c r="AJ14" s="770"/>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2011</v>
      </c>
      <c r="B15" s="2303" t="s">
        <v>2010</v>
      </c>
      <c r="C15" s="2308" t="s">
        <v>2012</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7"/>
      <c r="AH15" s="1259"/>
      <c r="AI15" s="1811"/>
      <c r="AJ15" s="770"/>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2013</v>
      </c>
      <c r="B16" s="97"/>
      <c r="C16" s="1002"/>
      <c r="D16" s="2310"/>
      <c r="E16" s="97"/>
      <c r="F16" s="97"/>
      <c r="G16" s="98">
        <f>ROUND(SUMPRODUCT(G6:G13,K6:K13)/SUMPRODUCT((G6:G13&gt;0)*(K6:K13)),3)</f>
        <v>0.99099999999999999</v>
      </c>
      <c r="H16" s="99">
        <f>ROUND(SUMPRODUCT(H6:H13,K6:K13)/SUMPRODUCT((H6:H13&gt;0)*(K6:K13)),3)</f>
        <v>0.05</v>
      </c>
      <c r="I16" s="100"/>
      <c r="J16" s="100"/>
      <c r="K16" s="101">
        <f>SUM(K6:K15)</f>
        <v>218862.73</v>
      </c>
      <c r="L16" s="102">
        <f>ROUND(M16*10000/SUM(K6:K14),0)</f>
        <v>7281</v>
      </c>
      <c r="M16" s="102">
        <f>SUM(M6:M14)</f>
        <v>159344</v>
      </c>
      <c r="N16" s="103">
        <f>ROUND(SUMPRODUCT(M6:M14,N6:N14)/M16,3)</f>
        <v>0.95</v>
      </c>
      <c r="O16" s="102">
        <f>SUM(O6:O14)</f>
        <v>151377</v>
      </c>
      <c r="P16" s="102">
        <f>SUM(P6:P14)</f>
        <v>7967</v>
      </c>
      <c r="Q16" s="104">
        <f>ROUND(SUMPRODUCT(Q6:Q13,K6:K13)/SUMPRODUCT((Q6:Q13&gt;0)*(K6:K13)),2)</f>
        <v>0.12</v>
      </c>
      <c r="R16" s="1252">
        <f ca="1">SUM(R6:R13)</f>
        <v>196085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77"/>
      <c r="D17" s="2269"/>
      <c r="E17" s="2269"/>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6"/>
      <c r="C18" s="2273"/>
      <c r="D18" s="2274"/>
      <c r="E18" s="2273"/>
      <c r="F18" s="2273"/>
      <c r="G18" s="2273"/>
      <c r="H18" s="2273"/>
      <c r="I18" s="2273"/>
      <c r="J18" s="2273"/>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2015</v>
      </c>
      <c r="B19" s="112">
        <v>0</v>
      </c>
      <c r="C19" s="2273" t="s">
        <v>2016</v>
      </c>
      <c r="D19" s="2274"/>
      <c r="E19" s="2273"/>
      <c r="F19" s="2273"/>
      <c r="G19" s="2273"/>
      <c r="H19" s="2273"/>
      <c r="I19" s="2273"/>
      <c r="J19" s="2273"/>
      <c r="K19" s="166"/>
      <c r="L19" s="166">
        <f>ROUND(M19/'数据-汇总表'!E3*10000,0)</f>
        <v>2492</v>
      </c>
      <c r="M19" s="1577">
        <v>54545</v>
      </c>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2017</v>
      </c>
      <c r="B20" s="113">
        <v>2.5</v>
      </c>
      <c r="C20" s="2273" t="s">
        <v>2018</v>
      </c>
      <c r="D20" s="2274"/>
      <c r="E20" s="2273"/>
      <c r="F20" s="2273"/>
      <c r="G20" s="2273"/>
      <c r="H20" s="2273"/>
      <c r="I20" s="2273"/>
      <c r="J20" s="2273"/>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2019</v>
      </c>
      <c r="B21" s="113">
        <v>2.4</v>
      </c>
      <c r="C21" s="2273"/>
      <c r="D21" s="2274"/>
      <c r="E21" s="2273"/>
      <c r="F21" s="2273"/>
      <c r="G21" s="2273"/>
      <c r="H21" s="2273"/>
      <c r="I21" s="2273"/>
      <c r="J21" s="2273"/>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2020</v>
      </c>
      <c r="B22" s="114">
        <f>B19+B20</f>
        <v>2.5</v>
      </c>
      <c r="C22" s="2273"/>
      <c r="D22" s="2274"/>
      <c r="E22" s="2273"/>
      <c r="F22" s="2273"/>
      <c r="G22" s="2273"/>
      <c r="H22" s="2273"/>
      <c r="I22" s="2273"/>
      <c r="J22" s="2273"/>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2021</v>
      </c>
      <c r="B23" s="114">
        <f>B19+B21</f>
        <v>2.4</v>
      </c>
      <c r="C23" s="2273"/>
      <c r="D23" s="2274"/>
      <c r="E23" s="2273"/>
      <c r="F23" s="2273"/>
      <c r="G23" s="2273"/>
      <c r="H23" s="2273"/>
      <c r="I23" s="2273"/>
      <c r="J23" s="2273"/>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2022</v>
      </c>
      <c r="B24" s="115">
        <f>B20-B21</f>
        <v>0.10000000000000009</v>
      </c>
      <c r="C24" s="2273"/>
      <c r="D24" s="2274"/>
      <c r="E24" s="2273"/>
      <c r="F24" s="2273"/>
      <c r="G24" s="2273"/>
      <c r="H24" s="2273"/>
      <c r="I24" s="2273"/>
      <c r="J24" s="2273"/>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6"/>
      <c r="C25" s="2273"/>
      <c r="D25" s="2274"/>
      <c r="E25" s="2273"/>
      <c r="F25" s="2273"/>
      <c r="G25" s="2273"/>
      <c r="H25" s="2273"/>
      <c r="I25" s="2273"/>
      <c r="J25" s="2273"/>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2023</v>
      </c>
      <c r="B26" s="2316" t="s">
        <v>2024</v>
      </c>
      <c r="C26" s="2317" t="s">
        <v>2025</v>
      </c>
      <c r="D26" s="2274"/>
      <c r="E26" s="2273"/>
      <c r="F26" s="2273"/>
      <c r="G26" s="2273"/>
      <c r="H26" s="2273"/>
      <c r="I26" s="2273"/>
      <c r="J26" s="2273"/>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2026</v>
      </c>
      <c r="B27" s="116">
        <v>50</v>
      </c>
      <c r="C27" s="1760" t="s">
        <v>2027</v>
      </c>
      <c r="D27" s="2319"/>
      <c r="E27" s="1424"/>
      <c r="F27" s="1424"/>
      <c r="G27" s="2273"/>
      <c r="H27" s="2273"/>
      <c r="I27" s="2273"/>
      <c r="J27" s="2273"/>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7.75">
      <c r="A28" s="2321" t="s">
        <v>2028</v>
      </c>
      <c r="B28" s="119">
        <v>50</v>
      </c>
      <c r="C28" s="2322"/>
      <c r="D28" s="2319"/>
      <c r="E28" s="1424"/>
      <c r="F28" s="1424"/>
      <c r="G28" s="2273"/>
      <c r="H28" s="2273"/>
      <c r="I28" s="2273"/>
      <c r="J28" s="2273"/>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8.5" thickBot="1">
      <c r="A29" s="2323" t="s">
        <v>2029</v>
      </c>
      <c r="B29" s="121"/>
      <c r="C29" s="1760" t="s">
        <v>2030</v>
      </c>
      <c r="D29" s="2319"/>
      <c r="E29" s="1424"/>
      <c r="F29" s="1424"/>
      <c r="G29" s="2273"/>
      <c r="H29" s="2273"/>
      <c r="I29" s="2273"/>
      <c r="J29" s="2273"/>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7">
      <c r="A30" s="2324" t="s">
        <v>2031</v>
      </c>
      <c r="B30" s="722">
        <v>200</v>
      </c>
      <c r="C30" s="2322"/>
      <c r="D30" s="2319"/>
      <c r="E30" s="1424"/>
      <c r="F30" s="1424"/>
      <c r="G30" s="2273"/>
      <c r="H30" s="2273"/>
      <c r="I30" s="2273"/>
      <c r="J30" s="2273"/>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7">
      <c r="A31" s="2321" t="s">
        <v>2032</v>
      </c>
      <c r="B31" s="120">
        <f>B30-B32</f>
        <v>200</v>
      </c>
      <c r="C31" s="1760"/>
      <c r="D31" s="2319"/>
      <c r="E31" s="1424"/>
      <c r="F31" s="1424"/>
      <c r="G31" s="2273"/>
      <c r="H31" s="2273"/>
      <c r="I31" s="2273"/>
      <c r="J31" s="2273"/>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7.75" thickBot="1">
      <c r="A32" s="2325" t="s">
        <v>2033</v>
      </c>
      <c r="B32" s="723"/>
      <c r="C32" s="2322"/>
      <c r="D32" s="2274"/>
      <c r="E32" s="2273"/>
      <c r="F32" s="2273"/>
      <c r="G32" s="2273"/>
      <c r="H32" s="2273"/>
      <c r="I32" s="2273"/>
      <c r="J32" s="2273"/>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25">
      <c r="A33" s="2318" t="s">
        <v>2034</v>
      </c>
      <c r="B33" s="724">
        <v>0.03</v>
      </c>
      <c r="C33" s="1759" t="s">
        <v>2035</v>
      </c>
      <c r="D33" s="2274"/>
      <c r="E33" s="2273"/>
      <c r="F33" s="2273"/>
      <c r="G33" s="2273"/>
      <c r="H33" s="2273"/>
      <c r="I33" s="2273"/>
      <c r="J33" s="2273"/>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25">
      <c r="A34" s="2321" t="s">
        <v>2036</v>
      </c>
      <c r="B34" s="122"/>
      <c r="C34" s="1759" t="s">
        <v>2037</v>
      </c>
      <c r="D34" s="2274" t="s">
        <v>2038</v>
      </c>
      <c r="E34" s="729"/>
      <c r="F34" s="2273"/>
      <c r="G34" s="2273"/>
      <c r="H34" s="2273"/>
      <c r="I34" s="2273"/>
      <c r="J34" s="2273"/>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25">
      <c r="A35" s="2321" t="s">
        <v>2039</v>
      </c>
      <c r="B35" s="119">
        <v>200</v>
      </c>
      <c r="C35" s="1759" t="s">
        <v>2040</v>
      </c>
      <c r="D35" s="2319"/>
      <c r="E35" s="1424"/>
      <c r="F35" s="1424"/>
      <c r="G35" s="2273"/>
      <c r="H35" s="2273"/>
      <c r="I35" s="2273"/>
      <c r="J35" s="2273"/>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2041</v>
      </c>
      <c r="B36" s="123">
        <v>1.4999999999999999E-2</v>
      </c>
      <c r="C36" s="1759" t="s">
        <v>2042</v>
      </c>
      <c r="D36" s="2274"/>
      <c r="E36" s="2273"/>
      <c r="F36" s="2273"/>
      <c r="G36" s="2273"/>
      <c r="H36" s="2273"/>
      <c r="I36" s="2273"/>
      <c r="J36" s="2273"/>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2043</v>
      </c>
      <c r="B37" s="124">
        <v>1.4999999999999999E-2</v>
      </c>
      <c r="C37" s="1759" t="s">
        <v>2044</v>
      </c>
      <c r="D37" s="2274"/>
      <c r="E37" s="2273"/>
      <c r="F37" s="2273"/>
      <c r="G37" s="2273"/>
      <c r="H37" s="2273"/>
      <c r="I37" s="2273"/>
      <c r="J37" s="2273"/>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2045</v>
      </c>
      <c r="B38" s="122">
        <v>0.02</v>
      </c>
      <c r="C38" s="1759" t="s">
        <v>2044</v>
      </c>
      <c r="D38" s="2274"/>
      <c r="E38" s="2273"/>
      <c r="F38" s="2273"/>
      <c r="G38" s="2273"/>
      <c r="H38" s="2273"/>
      <c r="I38" s="2273"/>
      <c r="J38" s="2273"/>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2046</v>
      </c>
      <c r="B39" s="360">
        <f ca="1">存贷款利率!I1</f>
        <v>1.4999999999999999E-2</v>
      </c>
      <c r="C39" s="1759"/>
      <c r="D39" s="2274"/>
      <c r="E39" s="2273"/>
      <c r="F39" s="2273"/>
      <c r="G39" s="2273"/>
      <c r="H39" s="2273"/>
      <c r="I39" s="2273"/>
      <c r="J39" s="2273"/>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2047</v>
      </c>
      <c r="B40" s="1297">
        <f ca="1">存贷款利率!G1</f>
        <v>4.7500000000000001E-2</v>
      </c>
      <c r="C40" s="1759" t="s">
        <v>2048</v>
      </c>
      <c r="D40" s="1577"/>
      <c r="E40" s="2274"/>
      <c r="F40" s="2273"/>
      <c r="G40" s="2273"/>
      <c r="H40" s="2273"/>
      <c r="I40" s="2273"/>
      <c r="J40" s="2273"/>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2049</v>
      </c>
      <c r="B41" s="125">
        <f>B42+B43</f>
        <v>5.6000000000000001E-2</v>
      </c>
      <c r="C41" s="1760"/>
      <c r="D41" s="1577"/>
      <c r="E41" s="2274"/>
      <c r="F41" s="2273"/>
      <c r="G41" s="2273"/>
      <c r="H41" s="2273"/>
      <c r="I41" s="2273"/>
      <c r="J41" s="2273"/>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2050</v>
      </c>
      <c r="B42" s="126">
        <v>0.05</v>
      </c>
      <c r="C42" s="2327">
        <f>IF(B2&lt;DATE(2016,5,1),0,B42)</f>
        <v>0.05</v>
      </c>
      <c r="D42" s="2274"/>
      <c r="E42" s="2273"/>
      <c r="F42" s="2273"/>
      <c r="G42" s="2273"/>
      <c r="H42" s="2273"/>
      <c r="I42" s="2273"/>
      <c r="J42" s="2273"/>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2051</v>
      </c>
      <c r="B43" s="127">
        <f>B42*(B44+B45+B46)+B47</f>
        <v>6.000000000000001E-3</v>
      </c>
      <c r="C43" s="1760"/>
      <c r="D43" s="2274"/>
      <c r="E43" s="2273"/>
      <c r="F43" s="2273"/>
      <c r="G43" s="2273"/>
      <c r="H43" s="2273"/>
      <c r="I43" s="2273"/>
      <c r="J43" s="2273"/>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2052</v>
      </c>
      <c r="B44" s="128">
        <v>7.0000000000000007E-2</v>
      </c>
      <c r="C44" s="1759" t="s">
        <v>2053</v>
      </c>
      <c r="D44" s="2274"/>
      <c r="E44" s="2273"/>
      <c r="F44" s="2273"/>
      <c r="G44" s="2273"/>
      <c r="H44" s="2273"/>
      <c r="I44" s="2273"/>
      <c r="J44" s="2273"/>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2054</v>
      </c>
      <c r="B45" s="126">
        <v>0.03</v>
      </c>
      <c r="C45" s="1760" t="s">
        <v>2055</v>
      </c>
      <c r="D45" s="2274"/>
      <c r="E45" s="2273"/>
      <c r="F45" s="2273"/>
      <c r="G45" s="2273"/>
      <c r="H45" s="2273"/>
      <c r="I45" s="2273"/>
      <c r="J45" s="2273"/>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2056</v>
      </c>
      <c r="B46" s="126">
        <v>0.02</v>
      </c>
      <c r="C46" s="1760" t="s">
        <v>2057</v>
      </c>
      <c r="D46" s="2274"/>
      <c r="E46" s="2273"/>
      <c r="F46" s="2273"/>
      <c r="G46" s="2273"/>
      <c r="H46" s="2273"/>
      <c r="I46" s="2273"/>
      <c r="J46" s="2273"/>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2058</v>
      </c>
      <c r="B47" s="129"/>
      <c r="C47" s="1760" t="s">
        <v>2059</v>
      </c>
      <c r="D47" s="2274"/>
      <c r="E47" s="2273"/>
      <c r="F47" s="2273"/>
      <c r="G47" s="2273"/>
      <c r="H47" s="2273"/>
      <c r="I47" s="2273"/>
      <c r="J47" s="2273"/>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2060</v>
      </c>
      <c r="B48" s="130">
        <v>0.03</v>
      </c>
      <c r="C48" s="1767" t="s">
        <v>2061</v>
      </c>
      <c r="D48" s="2274"/>
      <c r="E48" s="2273"/>
      <c r="F48" s="2273"/>
      <c r="G48" s="2273"/>
      <c r="H48" s="2273"/>
      <c r="I48" s="2273"/>
      <c r="J48" s="2273"/>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2062</v>
      </c>
      <c r="B49" s="126">
        <v>5.0000000000000001E-4</v>
      </c>
      <c r="C49" s="1767" t="s">
        <v>2063</v>
      </c>
      <c r="D49" s="2274"/>
      <c r="E49" s="2273"/>
      <c r="F49" s="2273"/>
      <c r="G49" s="2273"/>
      <c r="H49" s="2273"/>
      <c r="I49" s="2273"/>
      <c r="J49" s="2273"/>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2064</v>
      </c>
      <c r="B50" s="131">
        <v>1.2E-2</v>
      </c>
      <c r="C50" s="1424"/>
      <c r="D50" s="2274"/>
      <c r="E50" s="2273"/>
      <c r="F50" s="2273"/>
      <c r="G50" s="2273"/>
      <c r="H50" s="2273"/>
      <c r="I50" s="2273"/>
      <c r="J50" s="2273"/>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2065</v>
      </c>
      <c r="B51" s="132">
        <v>0.12</v>
      </c>
      <c r="C51" s="1424"/>
      <c r="D51" s="2274"/>
      <c r="E51" s="2273"/>
      <c r="F51" s="2273"/>
      <c r="G51" s="2273"/>
      <c r="H51" s="2273"/>
      <c r="I51" s="2273"/>
      <c r="J51" s="2273"/>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2066</v>
      </c>
      <c r="B52" s="133">
        <f>SUMIF(A54:A63,B53,B54:B63)</f>
        <v>20</v>
      </c>
      <c r="C52" s="1424"/>
      <c r="D52" s="2274"/>
      <c r="E52" s="2273"/>
      <c r="F52" s="2273"/>
      <c r="G52" s="2273"/>
      <c r="H52" s="2273"/>
      <c r="I52" s="2273"/>
      <c r="J52" s="2273"/>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2067</v>
      </c>
      <c r="B53" s="2332" t="s">
        <v>212</v>
      </c>
      <c r="C53" s="1424" t="s">
        <v>2068</v>
      </c>
      <c r="D53" s="2333" t="s">
        <v>2069</v>
      </c>
      <c r="E53" s="2273"/>
      <c r="F53" s="2273"/>
      <c r="G53" s="2273"/>
      <c r="H53" s="2273"/>
      <c r="I53" s="2273"/>
      <c r="J53" s="2273"/>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2070</v>
      </c>
      <c r="B54" s="2955">
        <v>20</v>
      </c>
      <c r="C54" s="1424">
        <v>30</v>
      </c>
      <c r="D54" s="2274"/>
      <c r="E54" s="2273"/>
      <c r="F54" s="2273"/>
      <c r="G54" s="2273"/>
      <c r="H54" s="2273"/>
      <c r="I54" s="2273"/>
      <c r="J54" s="2273"/>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2071</v>
      </c>
      <c r="B55" s="84"/>
      <c r="C55" s="1424">
        <v>24</v>
      </c>
      <c r="D55" s="2274"/>
      <c r="E55" s="2273"/>
      <c r="F55" s="2273"/>
      <c r="G55" s="2273"/>
      <c r="H55" s="2273"/>
      <c r="I55" s="2335"/>
      <c r="J55" s="2273"/>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2072</v>
      </c>
      <c r="B56" s="84"/>
      <c r="C56" s="1424">
        <v>18</v>
      </c>
      <c r="D56" s="2274"/>
      <c r="E56" s="2273"/>
      <c r="F56" s="2273"/>
      <c r="G56" s="2273"/>
      <c r="H56" s="2273"/>
      <c r="I56" s="2273"/>
      <c r="J56" s="2273"/>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2073</v>
      </c>
      <c r="B57" s="84"/>
      <c r="C57" s="1424">
        <v>12</v>
      </c>
      <c r="D57" s="2274"/>
      <c r="E57" s="2273"/>
      <c r="F57" s="2273"/>
      <c r="G57" s="2273"/>
      <c r="H57" s="2273"/>
      <c r="I57" s="2273"/>
      <c r="J57" s="2273"/>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2074</v>
      </c>
      <c r="B58" s="84"/>
      <c r="C58" s="1424">
        <v>3</v>
      </c>
      <c r="D58" s="2274"/>
      <c r="E58" s="2273"/>
      <c r="F58" s="2273"/>
      <c r="G58" s="2273"/>
      <c r="H58" s="2273"/>
      <c r="I58" s="2273"/>
      <c r="J58" s="2273"/>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2075</v>
      </c>
      <c r="B59" s="84"/>
      <c r="C59" s="1424">
        <v>1.5</v>
      </c>
      <c r="D59" s="2274"/>
      <c r="E59" s="2273"/>
      <c r="F59" s="2273"/>
      <c r="G59" s="2273"/>
      <c r="H59" s="2273"/>
      <c r="I59" s="2273"/>
      <c r="J59" s="2273"/>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2076</v>
      </c>
      <c r="B60" s="84"/>
      <c r="C60" s="2273"/>
      <c r="D60" s="2274"/>
      <c r="E60" s="2273"/>
      <c r="F60" s="2273"/>
      <c r="G60" s="2273"/>
      <c r="H60" s="2273"/>
      <c r="I60" s="2273"/>
      <c r="J60" s="2273"/>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2077</v>
      </c>
      <c r="B61" s="84"/>
      <c r="C61" s="2273"/>
      <c r="D61" s="2274"/>
      <c r="E61" s="2273"/>
      <c r="F61" s="2273"/>
      <c r="G61" s="2273"/>
      <c r="H61" s="2273"/>
      <c r="I61" s="2273"/>
      <c r="J61" s="2273"/>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2078</v>
      </c>
      <c r="B62" s="84"/>
      <c r="C62" s="2273"/>
      <c r="D62" s="2274"/>
      <c r="E62" s="2273"/>
      <c r="F62" s="2273"/>
      <c r="G62" s="2273"/>
      <c r="H62" s="2273"/>
      <c r="I62" s="2273"/>
      <c r="J62" s="2273"/>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2079</v>
      </c>
      <c r="B63" s="134"/>
      <c r="C63" s="2273"/>
      <c r="D63" s="2274"/>
      <c r="E63" s="2273"/>
      <c r="F63" s="2273"/>
      <c r="G63" s="2273"/>
      <c r="H63" s="2273"/>
      <c r="I63" s="2273"/>
      <c r="J63" s="2273"/>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7"/>
      <c r="D64" s="2338"/>
      <c r="K64" s="795"/>
      <c r="L64" s="795"/>
    </row>
    <row r="65" spans="1:12" s="961" customFormat="1">
      <c r="A65" s="2337"/>
      <c r="D65" s="2338"/>
      <c r="K65" s="795"/>
      <c r="L65" s="795"/>
    </row>
    <row r="66" spans="1:12" s="961" customFormat="1">
      <c r="A66" s="2337"/>
      <c r="D66" s="2338"/>
      <c r="K66" s="795"/>
      <c r="L66" s="795"/>
    </row>
    <row r="67" spans="1:12" s="961" customFormat="1">
      <c r="A67" s="2337"/>
      <c r="D67" s="2338"/>
      <c r="K67" s="795"/>
      <c r="L67" s="795"/>
    </row>
    <row r="68" spans="1:12" s="961" customFormat="1">
      <c r="A68" s="2337"/>
      <c r="D68" s="2338"/>
      <c r="K68" s="795"/>
      <c r="L68" s="795"/>
    </row>
    <row r="69" spans="1:12" s="961" customFormat="1">
      <c r="A69" s="2337"/>
      <c r="D69" s="2338"/>
      <c r="K69" s="795"/>
      <c r="L69" s="795"/>
    </row>
    <row r="70" spans="1:12" s="961" customFormat="1">
      <c r="A70" s="2337"/>
      <c r="D70" s="2338"/>
      <c r="K70" s="795"/>
      <c r="L70" s="795"/>
    </row>
    <row r="71" spans="1:12" s="961" customFormat="1">
      <c r="A71" s="2337"/>
      <c r="D71" s="2338"/>
      <c r="K71" s="795"/>
      <c r="L71" s="795"/>
    </row>
    <row r="72" spans="1:12" s="961" customFormat="1">
      <c r="A72" s="2337"/>
      <c r="D72" s="2338"/>
      <c r="K72" s="795"/>
      <c r="L72" s="795"/>
    </row>
    <row r="73" spans="1:12" s="961" customFormat="1">
      <c r="A73" s="2337"/>
      <c r="D73" s="2338"/>
      <c r="K73" s="795"/>
      <c r="L73" s="795"/>
    </row>
    <row r="74" spans="1:12" s="961" customFormat="1">
      <c r="A74" s="2337"/>
      <c r="D74" s="2338"/>
      <c r="K74" s="795"/>
      <c r="L74" s="795"/>
    </row>
    <row r="75" spans="1:12" s="961" customFormat="1">
      <c r="A75" s="2337"/>
      <c r="D75" s="2338"/>
      <c r="K75" s="795"/>
      <c r="L75" s="795"/>
    </row>
    <row r="76" spans="1:12" s="961" customFormat="1">
      <c r="A76" s="2337"/>
      <c r="D76" s="2338"/>
      <c r="K76" s="795"/>
      <c r="L76" s="795"/>
    </row>
    <row r="77" spans="1:12" s="961" customFormat="1">
      <c r="A77" s="2337"/>
      <c r="D77" s="2338"/>
      <c r="K77" s="795"/>
      <c r="L77" s="795"/>
    </row>
    <row r="78" spans="1:12" s="961" customFormat="1">
      <c r="A78" s="2337"/>
      <c r="D78" s="2338"/>
      <c r="K78" s="795"/>
      <c r="L78" s="795"/>
    </row>
    <row r="79" spans="1:12" s="961" customFormat="1">
      <c r="A79" s="2337"/>
      <c r="D79" s="2338"/>
      <c r="K79" s="795"/>
      <c r="L79" s="795"/>
    </row>
    <row r="80" spans="1:12" s="961" customFormat="1">
      <c r="A80" s="2337"/>
      <c r="D80" s="2338"/>
      <c r="K80" s="795"/>
      <c r="L80" s="795"/>
    </row>
    <row r="81" spans="1:12" s="961" customFormat="1">
      <c r="A81" s="2337"/>
      <c r="D81" s="2338"/>
      <c r="K81" s="795"/>
      <c r="L81" s="795"/>
    </row>
    <row r="82" spans="1:12" s="961" customFormat="1">
      <c r="A82" s="2337"/>
      <c r="D82" s="2338"/>
      <c r="K82" s="795"/>
      <c r="L82" s="795"/>
    </row>
    <row r="83" spans="1:12" s="961" customFormat="1">
      <c r="A83" s="2337"/>
      <c r="D83" s="2338"/>
      <c r="K83" s="795"/>
      <c r="L83" s="795"/>
    </row>
    <row r="84" spans="1:12" s="961" customFormat="1">
      <c r="A84" s="2337"/>
      <c r="D84" s="2338"/>
      <c r="K84" s="795"/>
      <c r="L84" s="795"/>
    </row>
    <row r="85" spans="1:12" s="961" customFormat="1">
      <c r="A85" s="2337"/>
      <c r="D85" s="2338"/>
      <c r="K85" s="795"/>
      <c r="L85" s="795"/>
    </row>
    <row r="86" spans="1:12" s="961" customFormat="1">
      <c r="A86" s="2337"/>
      <c r="D86" s="2338"/>
      <c r="K86" s="795"/>
      <c r="L86" s="795"/>
    </row>
    <row r="87" spans="1:12" s="961" customFormat="1">
      <c r="A87" s="2337"/>
      <c r="D87" s="2338"/>
      <c r="K87" s="795"/>
      <c r="L87" s="795"/>
    </row>
    <row r="88" spans="1:12" s="961" customFormat="1">
      <c r="A88" s="2337"/>
      <c r="D88" s="2338"/>
      <c r="K88" s="795"/>
      <c r="L88" s="795"/>
    </row>
    <row r="89" spans="1:12" s="961" customFormat="1">
      <c r="A89" s="2337"/>
      <c r="D89" s="2338"/>
      <c r="K89" s="795"/>
      <c r="L89" s="795"/>
    </row>
    <row r="90" spans="1:12" s="961" customFormat="1">
      <c r="A90" s="2337"/>
      <c r="D90" s="2338"/>
      <c r="K90" s="795"/>
      <c r="L90" s="795"/>
    </row>
    <row r="91" spans="1:12" s="961" customFormat="1">
      <c r="A91" s="2337"/>
      <c r="D91" s="2338"/>
      <c r="K91" s="795"/>
      <c r="L91" s="795"/>
    </row>
    <row r="92" spans="1:12" s="961" customFormat="1">
      <c r="A92" s="2337"/>
      <c r="D92" s="2338"/>
      <c r="K92" s="795"/>
      <c r="L92" s="795"/>
    </row>
    <row r="93" spans="1:12" s="961" customFormat="1">
      <c r="A93" s="2337"/>
      <c r="D93" s="2338"/>
      <c r="K93" s="795"/>
      <c r="L93" s="795"/>
    </row>
    <row r="94" spans="1:12" s="961" customFormat="1">
      <c r="A94" s="2337"/>
      <c r="D94" s="2338"/>
      <c r="K94" s="795"/>
      <c r="L94" s="795"/>
    </row>
    <row r="95" spans="1:12" s="961" customFormat="1">
      <c r="A95" s="2337"/>
      <c r="D95" s="2338"/>
      <c r="K95" s="795"/>
      <c r="L95" s="795"/>
    </row>
    <row r="96" spans="1:12" s="961" customFormat="1">
      <c r="A96" s="2337"/>
      <c r="D96" s="2338"/>
      <c r="K96" s="795"/>
      <c r="L96" s="795"/>
    </row>
    <row r="97" spans="1:12" s="961" customFormat="1">
      <c r="A97" s="2337"/>
      <c r="D97" s="2338"/>
      <c r="K97" s="795"/>
      <c r="L97" s="795"/>
    </row>
    <row r="98" spans="1:12" s="961" customFormat="1">
      <c r="A98" s="2337"/>
      <c r="D98" s="2338"/>
      <c r="K98" s="795"/>
      <c r="L98" s="795"/>
    </row>
    <row r="99" spans="1:12" s="961" customFormat="1">
      <c r="A99" s="2337"/>
      <c r="D99" s="2338"/>
      <c r="K99" s="795"/>
      <c r="L99" s="795"/>
    </row>
    <row r="100" spans="1:12" s="961" customFormat="1">
      <c r="A100" s="2337"/>
      <c r="D100" s="2338"/>
      <c r="K100" s="795"/>
      <c r="L100" s="795"/>
    </row>
    <row r="101" spans="1:12" s="961" customFormat="1">
      <c r="A101" s="2337"/>
      <c r="D101" s="2338"/>
      <c r="K101" s="795"/>
      <c r="L101" s="795"/>
    </row>
    <row r="102" spans="1:12" s="961" customFormat="1">
      <c r="A102" s="2337"/>
      <c r="D102" s="2338"/>
      <c r="K102" s="795"/>
      <c r="L102" s="795"/>
    </row>
    <row r="103" spans="1:12" s="961" customFormat="1">
      <c r="A103" s="2337"/>
      <c r="D103" s="2338"/>
      <c r="K103" s="795"/>
      <c r="L103" s="795"/>
    </row>
    <row r="104" spans="1:12" s="961" customFormat="1">
      <c r="A104" s="2337"/>
      <c r="D104" s="2338"/>
      <c r="K104" s="795"/>
      <c r="L104" s="795"/>
    </row>
    <row r="105" spans="1:12" s="961" customFormat="1">
      <c r="A105" s="2337"/>
      <c r="D105" s="2338"/>
      <c r="K105" s="795"/>
      <c r="L105" s="795"/>
    </row>
    <row r="106" spans="1:12" s="961" customFormat="1">
      <c r="A106" s="2337"/>
      <c r="D106" s="2338"/>
      <c r="K106" s="795"/>
      <c r="L106" s="795"/>
    </row>
    <row r="107" spans="1:12" s="961" customFormat="1">
      <c r="A107" s="2337"/>
      <c r="D107" s="2338"/>
      <c r="K107" s="795"/>
      <c r="L107" s="795"/>
    </row>
    <row r="108" spans="1:12" s="961" customFormat="1">
      <c r="A108" s="2337"/>
      <c r="D108" s="2338"/>
      <c r="K108" s="795"/>
      <c r="L108" s="795"/>
    </row>
    <row r="109" spans="1:12" s="961" customFormat="1">
      <c r="A109" s="2337"/>
      <c r="D109" s="2338"/>
      <c r="K109" s="795"/>
      <c r="L109" s="795"/>
    </row>
    <row r="110" spans="1:12" s="961" customFormat="1">
      <c r="A110" s="2337"/>
      <c r="D110" s="2338"/>
      <c r="K110" s="795"/>
      <c r="L110" s="795"/>
    </row>
    <row r="111" spans="1:12" s="961" customFormat="1">
      <c r="A111" s="2337"/>
      <c r="D111" s="2338"/>
      <c r="K111" s="795"/>
      <c r="L111" s="795"/>
    </row>
    <row r="112" spans="1:12" s="961" customFormat="1">
      <c r="A112" s="2337"/>
      <c r="D112" s="2338"/>
      <c r="K112" s="795"/>
      <c r="L112" s="795"/>
    </row>
    <row r="113" spans="1:12" s="961" customFormat="1">
      <c r="A113" s="2337"/>
      <c r="D113" s="2338"/>
      <c r="K113" s="795"/>
      <c r="L113" s="795"/>
    </row>
    <row r="114" spans="1:12" s="961" customFormat="1">
      <c r="A114" s="2337"/>
      <c r="D114" s="2338"/>
      <c r="K114" s="795"/>
      <c r="L114" s="795"/>
    </row>
    <row r="115" spans="1:12" s="961" customFormat="1">
      <c r="A115" s="2337"/>
      <c r="D115" s="2338"/>
      <c r="K115" s="795"/>
      <c r="L115" s="795"/>
    </row>
    <row r="116" spans="1:12" s="961" customFormat="1">
      <c r="A116" s="2337"/>
      <c r="D116" s="2338"/>
      <c r="K116" s="795"/>
      <c r="L116" s="795"/>
    </row>
    <row r="117" spans="1:12" s="961" customFormat="1">
      <c r="A117" s="2337"/>
      <c r="D117" s="2338"/>
      <c r="K117" s="795"/>
      <c r="L117" s="795"/>
    </row>
    <row r="118" spans="1:12" s="961" customFormat="1">
      <c r="A118" s="2337"/>
      <c r="D118" s="2338"/>
      <c r="K118" s="795"/>
      <c r="L118" s="795"/>
    </row>
    <row r="119" spans="1:12" s="961" customFormat="1">
      <c r="A119" s="2337"/>
      <c r="D119" s="2338"/>
      <c r="K119" s="795"/>
      <c r="L119" s="795"/>
    </row>
    <row r="120" spans="1:12" s="961" customFormat="1">
      <c r="A120" s="2337"/>
      <c r="D120" s="2338"/>
      <c r="K120" s="795"/>
      <c r="L120" s="795"/>
    </row>
    <row r="121" spans="1:12" s="961" customFormat="1">
      <c r="A121" s="2337"/>
      <c r="D121" s="2338"/>
      <c r="K121" s="795"/>
      <c r="L121" s="795"/>
    </row>
    <row r="122" spans="1:12" s="961" customFormat="1">
      <c r="A122" s="2337"/>
      <c r="D122" s="2338"/>
      <c r="K122" s="795"/>
      <c r="L122" s="795"/>
    </row>
    <row r="123" spans="1:12" s="961" customFormat="1">
      <c r="A123" s="2337"/>
      <c r="D123" s="2338"/>
      <c r="K123" s="795"/>
      <c r="L123" s="795"/>
    </row>
    <row r="124" spans="1:12" s="961" customFormat="1">
      <c r="A124" s="2337"/>
      <c r="D124" s="2338"/>
      <c r="K124" s="795"/>
      <c r="L124" s="795"/>
    </row>
    <row r="125" spans="1:12" s="961" customFormat="1">
      <c r="A125" s="2337"/>
      <c r="D125" s="2338"/>
      <c r="K125" s="795"/>
      <c r="L125" s="795"/>
    </row>
    <row r="126" spans="1:12" s="961" customFormat="1">
      <c r="A126" s="2337"/>
      <c r="D126" s="2338"/>
      <c r="K126" s="795"/>
      <c r="L126" s="795"/>
    </row>
    <row r="127" spans="1:12" s="961" customFormat="1">
      <c r="A127" s="2337"/>
      <c r="D127" s="2338"/>
      <c r="K127" s="795"/>
      <c r="L127" s="795"/>
    </row>
    <row r="128" spans="1:12" s="961" customFormat="1">
      <c r="A128" s="2337"/>
      <c r="D128" s="2338"/>
      <c r="K128" s="795"/>
      <c r="L128" s="795"/>
    </row>
    <row r="129" spans="1:12" s="961" customFormat="1">
      <c r="A129" s="2337"/>
      <c r="D129" s="2338"/>
      <c r="K129" s="795"/>
      <c r="L129" s="795"/>
    </row>
    <row r="130" spans="1:12" s="961" customFormat="1">
      <c r="A130" s="2337"/>
      <c r="D130" s="2338"/>
      <c r="K130" s="795"/>
      <c r="L130" s="795"/>
    </row>
    <row r="131" spans="1:12" s="961" customFormat="1">
      <c r="A131" s="2337"/>
      <c r="D131" s="2338"/>
      <c r="K131" s="795"/>
      <c r="L131" s="795"/>
    </row>
    <row r="132" spans="1:12" s="961" customFormat="1">
      <c r="A132" s="2337"/>
      <c r="D132" s="2338"/>
      <c r="K132" s="795"/>
      <c r="L132" s="795"/>
    </row>
    <row r="133" spans="1:12" s="961"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875" style="2392" customWidth="1"/>
    <col min="10" max="10" width="2.625" style="2391" customWidth="1"/>
    <col min="11" max="11" width="11.875" style="2391" customWidth="1"/>
    <col min="12" max="12" width="16.875" style="2392" customWidth="1"/>
    <col min="13" max="13" width="2.625" style="2391" customWidth="1"/>
    <col min="14" max="14" width="11.875" style="2391" customWidth="1"/>
    <col min="15" max="15" width="16.875" style="2392" customWidth="1"/>
    <col min="16" max="16" width="2.625" style="2391" customWidth="1"/>
    <col min="17" max="17" width="11.875" style="2391" customWidth="1"/>
    <col min="18" max="18" width="16.875" style="2393" customWidth="1"/>
    <col min="19" max="29" width="9" style="2363"/>
    <col min="30" max="16384" width="9" style="2364"/>
  </cols>
  <sheetData>
    <row r="1" spans="1:29" s="2357" customFormat="1" ht="19.5" thickBot="1">
      <c r="A1" s="3118" t="s">
        <v>2080</v>
      </c>
      <c r="B1" s="3119"/>
      <c r="C1" s="3119"/>
      <c r="D1" s="3119"/>
      <c r="E1" s="3119"/>
      <c r="F1" s="3119"/>
      <c r="G1" s="311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2"/>
      <c r="G2" s="2360" t="s">
        <v>2082</v>
      </c>
      <c r="H2" s="2363"/>
      <c r="I2" s="2363"/>
      <c r="J2" s="2363"/>
      <c r="K2" s="2363"/>
      <c r="L2" s="2363"/>
      <c r="M2" s="2363"/>
      <c r="N2" s="2363"/>
      <c r="O2" s="2363"/>
      <c r="P2" s="2363"/>
      <c r="Q2" s="2363"/>
      <c r="R2" s="2363"/>
    </row>
    <row r="3" spans="1:29" ht="54">
      <c r="A3" s="413" t="s">
        <v>2083</v>
      </c>
      <c r="B3" s="1265" t="s">
        <v>2084</v>
      </c>
      <c r="C3" s="2365" t="s">
        <v>2085</v>
      </c>
      <c r="D3" s="2366"/>
      <c r="E3" s="429" t="s">
        <v>2083</v>
      </c>
      <c r="F3" s="2367" t="s">
        <v>2086</v>
      </c>
      <c r="G3" s="2368" t="s">
        <v>2087</v>
      </c>
      <c r="H3" s="2363"/>
      <c r="I3" s="2363"/>
      <c r="J3" s="2363"/>
      <c r="K3" s="2363"/>
      <c r="L3" s="2363"/>
      <c r="M3" s="2363"/>
      <c r="N3" s="2363"/>
      <c r="O3" s="2363"/>
      <c r="P3" s="2363"/>
      <c r="Q3" s="2363"/>
      <c r="R3" s="2363"/>
    </row>
    <row r="4" spans="1:29" ht="41.25">
      <c r="A4" s="429"/>
      <c r="B4" s="1791" t="s">
        <v>2088</v>
      </c>
      <c r="C4" s="2369" t="s">
        <v>2089</v>
      </c>
      <c r="D4" s="2366"/>
      <c r="E4" s="2370"/>
      <c r="F4" s="42" t="s">
        <v>2090</v>
      </c>
      <c r="G4" s="2371" t="s">
        <v>2091</v>
      </c>
      <c r="H4" s="2363"/>
      <c r="I4" s="2363"/>
      <c r="J4" s="2363"/>
      <c r="K4" s="2363"/>
      <c r="L4" s="2363"/>
      <c r="M4" s="2363"/>
      <c r="N4" s="2363"/>
      <c r="O4" s="2363"/>
      <c r="P4" s="2363"/>
      <c r="Q4" s="2363"/>
      <c r="R4" s="2363"/>
    </row>
    <row r="5" spans="1:29" ht="41.25">
      <c r="A5" s="429"/>
      <c r="B5" s="1791" t="s">
        <v>2092</v>
      </c>
      <c r="C5" s="2369" t="s">
        <v>2093</v>
      </c>
      <c r="D5" s="2366"/>
      <c r="E5" s="2370"/>
      <c r="F5" s="1791" t="s">
        <v>2094</v>
      </c>
      <c r="G5" s="2371" t="s">
        <v>2095</v>
      </c>
      <c r="H5" s="2363"/>
      <c r="I5" s="2363"/>
      <c r="J5" s="2363"/>
      <c r="K5" s="2363"/>
      <c r="L5" s="2363"/>
      <c r="M5" s="2363"/>
      <c r="N5" s="2363"/>
      <c r="O5" s="2363"/>
      <c r="P5" s="2363"/>
      <c r="Q5" s="2363"/>
      <c r="R5" s="2363"/>
    </row>
    <row r="6" spans="1:29" ht="54">
      <c r="A6" s="429"/>
      <c r="B6" s="1791" t="s">
        <v>2096</v>
      </c>
      <c r="C6" s="2371" t="s">
        <v>2091</v>
      </c>
      <c r="D6" s="2366"/>
      <c r="E6" s="2370"/>
      <c r="F6" s="1791" t="s">
        <v>2097</v>
      </c>
      <c r="G6" s="2371" t="s">
        <v>2098</v>
      </c>
      <c r="H6" s="2363"/>
      <c r="I6" s="2363"/>
      <c r="J6" s="2363"/>
      <c r="K6" s="2363"/>
      <c r="L6" s="2363"/>
      <c r="M6" s="2363"/>
      <c r="N6" s="2363"/>
      <c r="O6" s="2363"/>
      <c r="P6" s="2363"/>
      <c r="Q6" s="2363"/>
      <c r="R6" s="2363"/>
    </row>
    <row r="7" spans="1:29" ht="41.25" thickBot="1">
      <c r="A7" s="429"/>
      <c r="B7" s="1791" t="s">
        <v>2094</v>
      </c>
      <c r="C7" s="2371" t="s">
        <v>2095</v>
      </c>
      <c r="D7" s="2372"/>
      <c r="E7" s="2373"/>
      <c r="F7" s="2374" t="s">
        <v>2099</v>
      </c>
      <c r="G7" s="2375" t="s">
        <v>2100</v>
      </c>
      <c r="H7" s="2363"/>
      <c r="I7" s="2363"/>
      <c r="J7" s="2363"/>
      <c r="K7" s="2363"/>
      <c r="L7" s="2363"/>
      <c r="M7" s="2363"/>
      <c r="N7" s="2363"/>
      <c r="O7" s="2363"/>
      <c r="P7" s="2363"/>
      <c r="Q7" s="2363"/>
      <c r="R7" s="2363"/>
    </row>
    <row r="8" spans="1:29" ht="27">
      <c r="A8" s="429"/>
      <c r="B8" s="1791" t="s">
        <v>2097</v>
      </c>
      <c r="C8" s="2371" t="s">
        <v>2098</v>
      </c>
      <c r="D8" s="2372"/>
      <c r="E8" s="2372"/>
      <c r="F8" s="1130"/>
      <c r="G8" s="1130"/>
      <c r="H8" s="2363"/>
      <c r="I8" s="2363"/>
      <c r="J8" s="2363"/>
      <c r="K8" s="2363"/>
      <c r="L8" s="2363"/>
      <c r="M8" s="2363"/>
      <c r="N8" s="2363"/>
      <c r="O8" s="2363"/>
      <c r="P8" s="2363"/>
      <c r="Q8" s="2363"/>
      <c r="R8" s="2363"/>
    </row>
    <row r="9" spans="1:29" ht="27">
      <c r="A9" s="429"/>
      <c r="B9" s="1791" t="s">
        <v>2101</v>
      </c>
      <c r="C9" s="2369" t="s">
        <v>2102</v>
      </c>
      <c r="D9" s="2366"/>
      <c r="E9" s="2372"/>
      <c r="F9" s="1130"/>
      <c r="G9" s="1130"/>
      <c r="H9" s="2363"/>
      <c r="I9" s="2363"/>
      <c r="J9" s="2363"/>
      <c r="K9" s="2363"/>
      <c r="L9" s="2363"/>
      <c r="M9" s="2363"/>
      <c r="N9" s="2363"/>
      <c r="O9" s="2363"/>
      <c r="P9" s="2363"/>
      <c r="Q9" s="2363"/>
      <c r="R9" s="2363"/>
    </row>
    <row r="10" spans="1:29" s="117" customFormat="1" ht="15.75" thickBot="1">
      <c r="A10" s="2376"/>
      <c r="B10" s="2377" t="s">
        <v>2103</v>
      </c>
      <c r="C10" s="2378"/>
      <c r="D10" s="2366"/>
      <c r="E10" s="2366"/>
      <c r="F10" s="1130"/>
      <c r="G10" s="1130"/>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8"/>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8"/>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2104</v>
      </c>
      <c r="B13" s="2383"/>
      <c r="C13" s="2383"/>
      <c r="D13" s="2390"/>
      <c r="E13" s="2383"/>
      <c r="F13" s="2383"/>
      <c r="G13" s="2383"/>
    </row>
    <row r="14" spans="1:29" ht="15.75" thickBot="1">
      <c r="A14" s="2394"/>
      <c r="B14" s="2395"/>
      <c r="C14" s="2396" t="s">
        <v>2105</v>
      </c>
      <c r="D14" s="2366"/>
      <c r="E14" s="2397"/>
      <c r="F14" s="2397"/>
      <c r="G14" s="2360" t="s">
        <v>2106</v>
      </c>
    </row>
    <row r="15" spans="1:29" ht="57">
      <c r="A15" s="68" t="s">
        <v>2107</v>
      </c>
      <c r="B15" s="1264" t="s">
        <v>2084</v>
      </c>
      <c r="C15" s="2398" t="str">
        <f>C3</f>
        <v>估价对象周边居住用地比例、居住小区规模和社区发展完善程度，综合评价居住社区成熟度一般</v>
      </c>
      <c r="D15" s="2366"/>
      <c r="E15" s="2399" t="s">
        <v>2108</v>
      </c>
      <c r="F15" s="1264" t="s">
        <v>2109</v>
      </c>
      <c r="G15" s="135" t="str">
        <f>G3</f>
        <v>估价对象位于XX开发区，园区建设成熟度XX，产业集聚程度XX</v>
      </c>
    </row>
    <row r="16" spans="1:29" ht="42.75">
      <c r="A16" s="643"/>
      <c r="B16" s="2400" t="s">
        <v>2088</v>
      </c>
      <c r="C16" s="2401" t="str">
        <f>C4</f>
        <v>估价对象位于XX商圈，周边商业氛围成熟，人流量大，商业繁华度好</v>
      </c>
      <c r="D16" s="2366"/>
      <c r="E16" s="2402"/>
      <c r="F16" s="2403" t="s">
        <v>2090</v>
      </c>
      <c r="G16" s="136" t="str">
        <f>G4</f>
        <v>估价对象周边道路状况、公共交通通达情况、停车便捷程度，综合评价交通便捷度较好</v>
      </c>
    </row>
    <row r="17" spans="1:18" ht="42.75">
      <c r="A17" s="643"/>
      <c r="B17" s="2400" t="s">
        <v>2092</v>
      </c>
      <c r="C17" s="2401" t="str">
        <f>C5</f>
        <v>估价对象位于XX商圈，周边办公楼项目较多，入驻率高，办公集聚程度较好</v>
      </c>
      <c r="D17" s="2372"/>
      <c r="E17" s="2402"/>
      <c r="F17" s="2403" t="s">
        <v>2110</v>
      </c>
      <c r="G17" s="1565"/>
    </row>
    <row r="18" spans="1:18" ht="57">
      <c r="A18" s="643"/>
      <c r="B18" s="2403" t="s">
        <v>2096</v>
      </c>
      <c r="C18" s="136" t="str">
        <f>C6</f>
        <v>估价对象周边道路状况、公共交通通达情况、停车便捷程度，综合评价交通便捷度较好</v>
      </c>
      <c r="D18" s="2372"/>
      <c r="E18" s="2402"/>
      <c r="F18" s="2403" t="s">
        <v>2099</v>
      </c>
      <c r="G18" s="136" t="str">
        <f>G7</f>
        <v>该园区内是否有污染型企业，绿化情况，卫生条件，整体环境状况判断</v>
      </c>
    </row>
    <row r="19" spans="1:18" ht="28.5">
      <c r="A19" s="643"/>
      <c r="B19" s="2403" t="s">
        <v>2111</v>
      </c>
      <c r="C19" s="1565"/>
      <c r="D19" s="2366"/>
      <c r="E19" s="2402"/>
      <c r="F19" s="1791" t="s">
        <v>2094</v>
      </c>
      <c r="G19" s="136" t="str">
        <f>G5</f>
        <v>估价对象所在区域公共配套设施齐备情况</v>
      </c>
    </row>
    <row r="20" spans="1:18" ht="28.5">
      <c r="A20" s="643"/>
      <c r="B20" s="2403" t="s">
        <v>2112</v>
      </c>
      <c r="C20" s="2401" t="str">
        <f>C9</f>
        <v>区域自然环境：；人文环境；综合评价环境状况一般</v>
      </c>
      <c r="D20" s="2372"/>
      <c r="E20" s="2402"/>
      <c r="F20" s="1791" t="s">
        <v>2113</v>
      </c>
      <c r="G20" s="136" t="str">
        <f>G6</f>
        <v>估价对象所在区域基础设施水平</v>
      </c>
    </row>
    <row r="21" spans="1:18" ht="28.5">
      <c r="A21" s="643"/>
      <c r="B21" s="1791" t="s">
        <v>2094</v>
      </c>
      <c r="C21" s="136" t="str">
        <f>C7</f>
        <v>估价对象所在区域公共配套设施齐备情况</v>
      </c>
      <c r="D21" s="2366"/>
      <c r="E21" s="2402"/>
      <c r="F21" s="2403" t="s">
        <v>2114</v>
      </c>
      <c r="G21" s="2404"/>
    </row>
    <row r="22" spans="1:18" ht="13.5" customHeight="1">
      <c r="A22" s="643"/>
      <c r="B22" s="1791" t="s">
        <v>2097</v>
      </c>
      <c r="C22" s="136" t="str">
        <f>C8</f>
        <v>估价对象所在区域基础设施水平</v>
      </c>
      <c r="D22" s="2366"/>
      <c r="E22" s="2402"/>
      <c r="F22" s="2403" t="s">
        <v>2103</v>
      </c>
      <c r="G22" s="1565"/>
    </row>
    <row r="23" spans="1:18" s="2363" customFormat="1" ht="15.75" thickBot="1">
      <c r="A23" s="643"/>
      <c r="B23" s="2403" t="s">
        <v>2114</v>
      </c>
      <c r="C23" s="2404"/>
      <c r="D23" s="2391"/>
      <c r="E23" s="2405"/>
      <c r="F23" s="2406" t="s">
        <v>2115</v>
      </c>
      <c r="G23" s="2407"/>
      <c r="H23" s="2391"/>
      <c r="I23" s="2392"/>
      <c r="J23" s="2391"/>
      <c r="K23" s="2391"/>
      <c r="L23" s="2392"/>
      <c r="M23" s="2391"/>
      <c r="N23" s="2391"/>
      <c r="O23" s="2392"/>
      <c r="P23" s="2391"/>
      <c r="Q23" s="2391"/>
      <c r="R23" s="2393"/>
    </row>
    <row r="24" spans="1:18" s="2363" customFormat="1" ht="15.75" thickBot="1">
      <c r="A24" s="2408"/>
      <c r="B24" s="2406" t="s">
        <v>2116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875" style="1734" customWidth="1"/>
    <col min="10" max="16384" width="9" style="1734"/>
  </cols>
  <sheetData>
    <row r="1" spans="1:10" ht="16.5">
      <c r="A1" s="1739" t="s">
        <v>1360</v>
      </c>
      <c r="B1" s="1739">
        <f>SUM(B14:B23)</f>
        <v>218862.73</v>
      </c>
      <c r="C1" s="1738"/>
      <c r="D1" s="1738"/>
      <c r="E1" s="1738"/>
      <c r="F1" s="1738"/>
      <c r="G1" s="1736"/>
    </row>
    <row r="2" spans="1:10" ht="16.5">
      <c r="A2" s="1739" t="s">
        <v>1348</v>
      </c>
      <c r="B2" s="1739">
        <f>SUM(C14:C23)</f>
        <v>196085</v>
      </c>
      <c r="C2" s="1738"/>
      <c r="D2" s="1738"/>
      <c r="E2" s="1738"/>
      <c r="F2" s="1738"/>
      <c r="G2" s="1736"/>
    </row>
    <row r="3" spans="1:10" ht="16.5">
      <c r="A3" s="1739" t="s">
        <v>1357</v>
      </c>
      <c r="B3" s="1740">
        <f>项目基本情况!D3</f>
        <v>43905</v>
      </c>
      <c r="C3" s="1738"/>
      <c r="D3" s="1738"/>
      <c r="E3" s="1738"/>
      <c r="F3" s="1738"/>
      <c r="G3" s="1736"/>
    </row>
    <row r="4" spans="1:10" ht="33">
      <c r="A4" s="1739" t="s">
        <v>1356</v>
      </c>
      <c r="B4" s="1739" t="s">
        <v>1355</v>
      </c>
      <c r="C4" s="1739" t="s">
        <v>1354</v>
      </c>
      <c r="D4" s="1739" t="s">
        <v>1353</v>
      </c>
      <c r="E4" s="1738"/>
      <c r="F4" s="1736"/>
      <c r="G4" s="1736"/>
    </row>
    <row r="5" spans="1:10" ht="16.5">
      <c r="A5" s="1739" t="s">
        <v>1352</v>
      </c>
      <c r="B5" s="1739">
        <f ca="1">SUM(D14:D23)</f>
        <v>258405</v>
      </c>
      <c r="C5" s="1739">
        <f ca="1">ROUND(B5*10000/$B$1,0)</f>
        <v>11807</v>
      </c>
      <c r="D5" s="1739">
        <f ca="1">ROUND(B5*10000/$B$2,0)</f>
        <v>13178</v>
      </c>
      <c r="E5" s="1738"/>
      <c r="F5" s="1736"/>
      <c r="G5" s="1736"/>
    </row>
    <row r="6" spans="1:10" ht="16.5">
      <c r="A6" s="1739" t="s">
        <v>1351</v>
      </c>
      <c r="B6" s="1739">
        <f ca="1">SUM(G14:G23)</f>
        <v>193829</v>
      </c>
      <c r="C6" s="1739">
        <f ca="1">ROUND(B6*10000/$B$1,0)</f>
        <v>8856</v>
      </c>
      <c r="D6" s="1739">
        <f ca="1">ROUND(B6*10000/$B$2,0)</f>
        <v>9885</v>
      </c>
      <c r="E6" s="1738"/>
      <c r="F6" s="1736"/>
      <c r="G6" s="1736"/>
    </row>
    <row r="7" spans="1:10" ht="16.5">
      <c r="A7" s="1739" t="s">
        <v>1359</v>
      </c>
      <c r="B7" s="1739">
        <f>SUM(H14:H23)</f>
        <v>0</v>
      </c>
      <c r="C7" s="1739">
        <f>ROUND(B7*10000/$B$1,0)</f>
        <v>0</v>
      </c>
      <c r="D7" s="1739">
        <f>ROUND(B7*10000/$B$2,0)</f>
        <v>0</v>
      </c>
      <c r="E7" s="1738"/>
      <c r="F7" s="1736"/>
      <c r="G7" s="1736"/>
    </row>
    <row r="8" spans="1:10" ht="16.5">
      <c r="A8" s="1739" t="s">
        <v>1280</v>
      </c>
      <c r="B8" s="1739">
        <f>SUM(I14:I23)</f>
        <v>0</v>
      </c>
      <c r="C8" s="1739">
        <f>ROUND(B8*10000/$B$1,0)</f>
        <v>0</v>
      </c>
      <c r="D8" s="1739">
        <f>ROUND(B8*10000/$B$2,0)</f>
        <v>0</v>
      </c>
      <c r="E8" s="1738"/>
      <c r="F8" s="1736"/>
      <c r="G8" s="1736"/>
    </row>
    <row r="9" spans="1:10" ht="16.5">
      <c r="A9" s="1739" t="s">
        <v>1350</v>
      </c>
      <c r="B9" s="1741"/>
      <c r="C9" s="1738"/>
      <c r="D9" s="1738"/>
      <c r="E9" s="1738"/>
      <c r="F9" s="1736"/>
      <c r="G9" s="1736"/>
    </row>
    <row r="10" spans="1:10" ht="16.5">
      <c r="A10" s="1739" t="s">
        <v>1349</v>
      </c>
      <c r="B10" s="1741"/>
      <c r="C10" s="1738"/>
      <c r="D10" s="1738"/>
      <c r="E10" s="1738"/>
      <c r="F10" s="1736"/>
      <c r="G10" s="1736"/>
    </row>
    <row r="11" spans="1:10" ht="16.5">
      <c r="A11" s="1739" t="s">
        <v>1365</v>
      </c>
      <c r="B11" s="1741"/>
      <c r="C11" s="1738"/>
      <c r="D11" s="1738"/>
      <c r="E11" s="1738"/>
      <c r="F11" s="1736"/>
      <c r="G11" s="1736"/>
    </row>
    <row r="12" spans="1:10" ht="16.5">
      <c r="A12" s="1738"/>
      <c r="B12" s="1738"/>
      <c r="C12" s="1738"/>
      <c r="D12" s="1738"/>
      <c r="E12" s="1738"/>
      <c r="F12" s="1736"/>
      <c r="G12" s="1736"/>
    </row>
    <row r="13" spans="1:10" ht="33">
      <c r="A13" s="1744" t="s">
        <v>1364</v>
      </c>
      <c r="B13" s="1737" t="s">
        <v>1361</v>
      </c>
      <c r="C13" s="1737" t="s">
        <v>1363</v>
      </c>
      <c r="D13" s="1737" t="s">
        <v>1362</v>
      </c>
      <c r="E13" s="1739" t="s">
        <v>1354</v>
      </c>
      <c r="F13" s="1739" t="s">
        <v>1353</v>
      </c>
      <c r="G13" s="1737" t="s">
        <v>1347</v>
      </c>
      <c r="H13" s="1737" t="s">
        <v>1358</v>
      </c>
      <c r="I13" s="1737" t="s">
        <v>1346</v>
      </c>
      <c r="J13" s="1736"/>
    </row>
    <row r="14" spans="1:10" ht="16.5">
      <c r="A14" s="1735" t="s">
        <v>1345</v>
      </c>
      <c r="B14" s="1737">
        <f>结果表!B118</f>
        <v>218862.73</v>
      </c>
      <c r="C14" s="1737">
        <f>结果表!C118</f>
        <v>196085</v>
      </c>
      <c r="D14" s="1737">
        <f ca="1">结果表!H118</f>
        <v>258405</v>
      </c>
      <c r="E14" s="1737">
        <f ca="1">ROUND(D14*10000/B14,0)</f>
        <v>11807</v>
      </c>
      <c r="F14" s="1737">
        <f ca="1">ROUND(D14*10000/C14,0)</f>
        <v>13178</v>
      </c>
      <c r="G14" s="1737">
        <f ca="1">结果表!D122</f>
        <v>193829</v>
      </c>
      <c r="H14" s="1737" t="str">
        <f>结果表!D124</f>
        <v>——</v>
      </c>
      <c r="I14" s="1737" t="str">
        <f>结果表!D126</f>
        <v>——</v>
      </c>
      <c r="J14" s="1736"/>
    </row>
    <row r="15" spans="1:10" ht="16.5">
      <c r="A15" s="1735" t="s">
        <v>1344</v>
      </c>
      <c r="B15" s="1742"/>
      <c r="C15" s="1742"/>
      <c r="D15" s="1742"/>
      <c r="E15" s="1737" t="e">
        <f t="shared" ref="E15:E23" si="0">ROUND(D15*10000/B15,0)</f>
        <v>#DIV/0!</v>
      </c>
      <c r="F15" s="1737" t="e">
        <f t="shared" ref="F15:F23" si="1">ROUND(D15*10000/C15,0)</f>
        <v>#DIV/0!</v>
      </c>
      <c r="G15" s="1743"/>
      <c r="H15" s="1743"/>
      <c r="I15" s="1742"/>
      <c r="J15" s="1736"/>
    </row>
    <row r="16" spans="1:10" ht="16.5">
      <c r="A16" s="1735" t="s">
        <v>1343</v>
      </c>
      <c r="B16" s="1742"/>
      <c r="C16" s="1742"/>
      <c r="D16" s="1742"/>
      <c r="E16" s="1737" t="e">
        <f t="shared" si="0"/>
        <v>#DIV/0!</v>
      </c>
      <c r="F16" s="1737" t="e">
        <f t="shared" si="1"/>
        <v>#DIV/0!</v>
      </c>
      <c r="G16" s="1743"/>
      <c r="H16" s="1743"/>
      <c r="I16" s="1742"/>
    </row>
    <row r="17" spans="1:9" ht="16.5">
      <c r="A17" s="1735" t="s">
        <v>1342</v>
      </c>
      <c r="B17" s="1742"/>
      <c r="C17" s="1742"/>
      <c r="D17" s="1742"/>
      <c r="E17" s="1737" t="e">
        <f t="shared" si="0"/>
        <v>#DIV/0!</v>
      </c>
      <c r="F17" s="1737" t="e">
        <f t="shared" si="1"/>
        <v>#DIV/0!</v>
      </c>
      <c r="G17" s="1743"/>
      <c r="H17" s="1743"/>
      <c r="I17" s="1742"/>
    </row>
    <row r="18" spans="1:9" ht="16.5">
      <c r="A18" s="1735" t="s">
        <v>1341</v>
      </c>
      <c r="B18" s="1742"/>
      <c r="C18" s="1742"/>
      <c r="D18" s="1742"/>
      <c r="E18" s="1737" t="e">
        <f t="shared" si="0"/>
        <v>#DIV/0!</v>
      </c>
      <c r="F18" s="1737" t="e">
        <f t="shared" si="1"/>
        <v>#DIV/0!</v>
      </c>
      <c r="G18" s="1742"/>
      <c r="H18" s="1742"/>
      <c r="I18" s="1742"/>
    </row>
    <row r="19" spans="1:9" ht="16.5">
      <c r="A19" s="1735" t="s">
        <v>1340</v>
      </c>
      <c r="B19" s="1742"/>
      <c r="C19" s="1742"/>
      <c r="D19" s="1742"/>
      <c r="E19" s="1737" t="e">
        <f t="shared" si="0"/>
        <v>#DIV/0!</v>
      </c>
      <c r="F19" s="1737" t="e">
        <f t="shared" si="1"/>
        <v>#DIV/0!</v>
      </c>
      <c r="G19" s="1742"/>
      <c r="H19" s="1742"/>
      <c r="I19" s="1742"/>
    </row>
    <row r="20" spans="1:9" ht="16.5">
      <c r="A20" s="1735" t="s">
        <v>1339</v>
      </c>
      <c r="B20" s="1742"/>
      <c r="C20" s="1742"/>
      <c r="D20" s="1742"/>
      <c r="E20" s="1737" t="e">
        <f t="shared" si="0"/>
        <v>#DIV/0!</v>
      </c>
      <c r="F20" s="1737" t="e">
        <f t="shared" si="1"/>
        <v>#DIV/0!</v>
      </c>
      <c r="G20" s="1742"/>
      <c r="H20" s="1742"/>
      <c r="I20" s="1742"/>
    </row>
    <row r="21" spans="1:9" ht="16.5">
      <c r="A21" s="1735" t="s">
        <v>1338</v>
      </c>
      <c r="B21" s="1742"/>
      <c r="C21" s="1742"/>
      <c r="D21" s="1742"/>
      <c r="E21" s="1737" t="e">
        <f t="shared" si="0"/>
        <v>#DIV/0!</v>
      </c>
      <c r="F21" s="1737" t="e">
        <f t="shared" si="1"/>
        <v>#DIV/0!</v>
      </c>
      <c r="G21" s="1742"/>
      <c r="H21" s="1742"/>
      <c r="I21" s="1742"/>
    </row>
    <row r="22" spans="1:9" ht="16.5">
      <c r="A22" s="1735" t="s">
        <v>1337</v>
      </c>
      <c r="B22" s="1742"/>
      <c r="C22" s="1742"/>
      <c r="D22" s="1742"/>
      <c r="E22" s="1737" t="e">
        <f t="shared" si="0"/>
        <v>#DIV/0!</v>
      </c>
      <c r="F22" s="1737" t="e">
        <f t="shared" si="1"/>
        <v>#DIV/0!</v>
      </c>
      <c r="G22" s="1742"/>
      <c r="H22" s="1742"/>
      <c r="I22" s="1742"/>
    </row>
    <row r="23" spans="1:9" ht="16.5">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10"/>
  <sheetViews>
    <sheetView zoomScaleNormal="100" workbookViewId="0">
      <pane ySplit="4" topLeftCell="A5" activePane="bottomLeft" state="frozen"/>
      <selection pane="bottomLeft" activeCell="D50" sqref="D50:D52"/>
    </sheetView>
  </sheetViews>
  <sheetFormatPr defaultColWidth="9" defaultRowHeight="18" customHeight="1"/>
  <cols>
    <col min="1" max="1" width="4.625" style="2965" customWidth="1"/>
    <col min="2" max="2" width="4.625" style="3010" customWidth="1"/>
    <col min="3" max="3" width="9.625" style="2965" customWidth="1"/>
    <col min="4" max="4" width="10.625" style="2965" customWidth="1"/>
    <col min="5" max="5" width="11.625" style="2965" customWidth="1"/>
    <col min="6" max="6" width="17.125" style="2965" customWidth="1"/>
    <col min="7" max="7" width="14.875" style="2965" customWidth="1"/>
    <col min="8" max="8" width="0.125" style="2965" customWidth="1"/>
    <col min="9" max="9" width="13.625" style="2965" hidden="1" customWidth="1"/>
    <col min="10" max="10" width="14.375" style="2965" hidden="1" customWidth="1"/>
    <col min="11" max="24" width="6.125" style="2965" hidden="1" customWidth="1"/>
    <col min="25" max="25" width="8.5" style="2965" hidden="1" customWidth="1"/>
    <col min="26" max="26" width="7.625" style="2965" hidden="1" customWidth="1"/>
    <col min="27" max="27" width="9" style="2965"/>
    <col min="28" max="28" width="15" style="2965" customWidth="1"/>
    <col min="29" max="29" width="9" style="2965"/>
    <col min="30" max="30" width="16" style="3009" customWidth="1"/>
    <col min="31" max="31" width="9.875" style="2965" customWidth="1"/>
    <col min="32" max="16384" width="9" style="2965"/>
  </cols>
  <sheetData>
    <row r="2" spans="1:39" ht="18" customHeight="1">
      <c r="A2" s="3140" t="s">
        <v>3543</v>
      </c>
      <c r="B2" s="3141"/>
      <c r="C2" s="3140"/>
      <c r="D2" s="3140"/>
      <c r="E2" s="3140"/>
      <c r="F2" s="3140"/>
      <c r="G2" s="3140"/>
      <c r="H2" s="3140"/>
      <c r="I2" s="3140"/>
      <c r="J2" s="3140"/>
      <c r="K2" s="3140"/>
      <c r="L2" s="3140"/>
      <c r="M2" s="3140"/>
      <c r="N2" s="3140"/>
      <c r="O2" s="3140"/>
      <c r="P2" s="3140"/>
      <c r="Q2" s="3140"/>
      <c r="R2" s="3140"/>
      <c r="S2" s="3140"/>
      <c r="T2" s="3140"/>
      <c r="U2" s="3140"/>
      <c r="V2" s="3140"/>
      <c r="W2" s="3140"/>
      <c r="X2" s="3140"/>
      <c r="Y2" s="3140"/>
      <c r="Z2" s="3140"/>
      <c r="AA2" s="3140"/>
      <c r="AB2" s="3140"/>
      <c r="AC2" s="3140"/>
      <c r="AD2" s="3142"/>
      <c r="AE2" s="3140"/>
      <c r="AF2" s="3140"/>
      <c r="AG2" s="3140"/>
      <c r="AH2" s="3140"/>
      <c r="AI2" s="3140"/>
      <c r="AJ2" s="3140"/>
      <c r="AK2" s="3140"/>
      <c r="AL2" s="3140"/>
    </row>
    <row r="3" spans="1:39" ht="18" customHeight="1">
      <c r="A3" s="3128" t="s">
        <v>3406</v>
      </c>
      <c r="B3" s="3127" t="s">
        <v>3407</v>
      </c>
      <c r="C3" s="3128"/>
      <c r="D3" s="3128" t="s">
        <v>3408</v>
      </c>
      <c r="E3" s="3128" t="s">
        <v>3409</v>
      </c>
      <c r="F3" s="3128" t="s">
        <v>3410</v>
      </c>
      <c r="G3" s="3128" t="s">
        <v>3411</v>
      </c>
      <c r="H3" s="3128"/>
      <c r="I3" s="3128"/>
      <c r="J3" s="3128"/>
      <c r="K3" s="3128"/>
      <c r="L3" s="3128"/>
      <c r="M3" s="3128"/>
      <c r="N3" s="3128"/>
      <c r="O3" s="3128"/>
      <c r="P3" s="3128"/>
      <c r="Q3" s="3128"/>
      <c r="R3" s="3128"/>
      <c r="S3" s="3128"/>
      <c r="T3" s="3128"/>
      <c r="U3" s="3128"/>
      <c r="V3" s="3128"/>
      <c r="W3" s="3128"/>
      <c r="X3" s="3128"/>
      <c r="Y3" s="3128"/>
      <c r="Z3" s="3128"/>
      <c r="AA3" s="3128" t="s">
        <v>3412</v>
      </c>
      <c r="AB3" s="3128" t="s">
        <v>3413</v>
      </c>
      <c r="AC3" s="2966"/>
      <c r="AD3" s="3143" t="s">
        <v>3414</v>
      </c>
      <c r="AE3" s="3128"/>
      <c r="AF3" s="3128"/>
      <c r="AG3" s="3128"/>
      <c r="AH3" s="3128"/>
      <c r="AI3" s="3128"/>
      <c r="AJ3" s="3128"/>
      <c r="AK3" s="3128" t="s">
        <v>3415</v>
      </c>
      <c r="AL3" s="3128" t="s">
        <v>3416</v>
      </c>
      <c r="AM3" s="3127" t="s">
        <v>3417</v>
      </c>
    </row>
    <row r="4" spans="1:39" ht="18" customHeight="1">
      <c r="A4" s="3128"/>
      <c r="B4" s="2967" t="s">
        <v>3418</v>
      </c>
      <c r="C4" s="2966" t="s">
        <v>3419</v>
      </c>
      <c r="D4" s="3128"/>
      <c r="E4" s="3128"/>
      <c r="F4" s="3128"/>
      <c r="G4" s="2966" t="s">
        <v>37</v>
      </c>
      <c r="H4" s="2966" t="s">
        <v>3420</v>
      </c>
      <c r="I4" s="2966" t="s">
        <v>3421</v>
      </c>
      <c r="J4" s="2966" t="s">
        <v>3422</v>
      </c>
      <c r="K4" s="2966" t="s">
        <v>3423</v>
      </c>
      <c r="L4" s="2966" t="s">
        <v>3424</v>
      </c>
      <c r="M4" s="2966" t="s">
        <v>3425</v>
      </c>
      <c r="N4" s="2966" t="s">
        <v>3426</v>
      </c>
      <c r="O4" s="2966" t="s">
        <v>3427</v>
      </c>
      <c r="P4" s="2966" t="s">
        <v>3428</v>
      </c>
      <c r="Q4" s="2966" t="s">
        <v>3429</v>
      </c>
      <c r="R4" s="2966" t="s">
        <v>3430</v>
      </c>
      <c r="S4" s="2966" t="s">
        <v>3431</v>
      </c>
      <c r="T4" s="2966" t="s">
        <v>3432</v>
      </c>
      <c r="U4" s="2966" t="s">
        <v>3433</v>
      </c>
      <c r="V4" s="2966" t="s">
        <v>3434</v>
      </c>
      <c r="W4" s="2966" t="s">
        <v>3435</v>
      </c>
      <c r="X4" s="2966" t="s">
        <v>3436</v>
      </c>
      <c r="Y4" s="2966" t="s">
        <v>3437</v>
      </c>
      <c r="Z4" s="2966" t="s">
        <v>3438</v>
      </c>
      <c r="AA4" s="3128" t="s">
        <v>3412</v>
      </c>
      <c r="AB4" s="3128" t="s">
        <v>3413</v>
      </c>
      <c r="AC4" s="2966"/>
      <c r="AD4" s="2968" t="s">
        <v>37</v>
      </c>
      <c r="AE4" s="2966" t="s">
        <v>3439</v>
      </c>
      <c r="AF4" s="2966" t="s">
        <v>3440</v>
      </c>
      <c r="AG4" s="2966" t="s">
        <v>3441</v>
      </c>
      <c r="AH4" s="2966" t="s">
        <v>3442</v>
      </c>
      <c r="AI4" s="2966" t="s">
        <v>3443</v>
      </c>
      <c r="AJ4" s="2966" t="s">
        <v>3444</v>
      </c>
      <c r="AK4" s="3128" t="s">
        <v>3415</v>
      </c>
      <c r="AL4" s="3128"/>
      <c r="AM4" s="3128"/>
    </row>
    <row r="5" spans="1:39" ht="24.95" customHeight="1">
      <c r="A5" s="2966"/>
      <c r="B5" s="3137" t="s">
        <v>3445</v>
      </c>
      <c r="C5" s="3124">
        <v>1816281835</v>
      </c>
      <c r="D5" s="2966" t="s">
        <v>3446</v>
      </c>
      <c r="E5" s="2966" t="s">
        <v>3447</v>
      </c>
      <c r="F5" s="2966">
        <v>24975000</v>
      </c>
      <c r="G5" s="2966">
        <v>51884300</v>
      </c>
      <c r="H5" s="2966"/>
      <c r="I5" s="2966"/>
      <c r="J5" s="2966"/>
      <c r="K5" s="2966"/>
      <c r="L5" s="2966"/>
      <c r="M5" s="2966"/>
      <c r="N5" s="2966"/>
      <c r="O5" s="2966"/>
      <c r="P5" s="2966"/>
      <c r="Q5" s="2966"/>
      <c r="R5" s="2966"/>
      <c r="S5" s="2966"/>
      <c r="T5" s="2966"/>
      <c r="U5" s="2966"/>
      <c r="V5" s="2966"/>
      <c r="W5" s="2966"/>
      <c r="X5" s="2966"/>
      <c r="Y5" s="2966"/>
      <c r="Z5" s="2966"/>
      <c r="AA5" s="2969">
        <v>1</v>
      </c>
      <c r="AB5" s="2970">
        <f>G5*AA5</f>
        <v>51884300</v>
      </c>
      <c r="AC5" s="2970"/>
      <c r="AD5" s="2971">
        <v>47937663.670000002</v>
      </c>
      <c r="AE5" s="2966"/>
      <c r="AF5" s="2966"/>
      <c r="AG5" s="2966"/>
      <c r="AH5" s="2966"/>
      <c r="AI5" s="2966"/>
      <c r="AJ5" s="2966"/>
      <c r="AK5" s="2972">
        <f>AB5-AD5</f>
        <v>3946636.3299999982</v>
      </c>
      <c r="AL5" s="2966"/>
      <c r="AM5" s="2966"/>
    </row>
    <row r="6" spans="1:39" ht="24.95" customHeight="1">
      <c r="A6" s="2966"/>
      <c r="B6" s="3138"/>
      <c r="C6" s="3125"/>
      <c r="D6" s="2966" t="s">
        <v>3446</v>
      </c>
      <c r="E6" s="2966" t="s">
        <v>3447</v>
      </c>
      <c r="F6" s="2966">
        <v>24975000</v>
      </c>
      <c r="G6" s="2966">
        <v>55167832.619999997</v>
      </c>
      <c r="H6" s="2966"/>
      <c r="I6" s="2966"/>
      <c r="J6" s="2966"/>
      <c r="K6" s="2966"/>
      <c r="L6" s="2966"/>
      <c r="M6" s="2966"/>
      <c r="N6" s="2966"/>
      <c r="O6" s="2966"/>
      <c r="P6" s="2966"/>
      <c r="Q6" s="2966"/>
      <c r="R6" s="2966"/>
      <c r="S6" s="2966"/>
      <c r="T6" s="2966"/>
      <c r="U6" s="2966"/>
      <c r="V6" s="2966"/>
      <c r="W6" s="2966"/>
      <c r="X6" s="2966"/>
      <c r="Y6" s="2966"/>
      <c r="Z6" s="2966"/>
      <c r="AA6" s="2969">
        <v>1</v>
      </c>
      <c r="AB6" s="2970">
        <f>G6*AA6</f>
        <v>55167832.619999997</v>
      </c>
      <c r="AC6" s="2970"/>
      <c r="AD6" s="2971" t="s">
        <v>3448</v>
      </c>
      <c r="AE6" s="2966"/>
      <c r="AF6" s="2966"/>
      <c r="AG6" s="2966"/>
      <c r="AH6" s="2966"/>
      <c r="AI6" s="2966"/>
      <c r="AJ6" s="2966"/>
      <c r="AK6" s="2972" t="s">
        <v>3448</v>
      </c>
      <c r="AL6" s="2966"/>
      <c r="AM6" s="2966"/>
    </row>
    <row r="7" spans="1:39" ht="24.95" customHeight="1">
      <c r="A7" s="2966"/>
      <c r="B7" s="3138"/>
      <c r="C7" s="3125"/>
      <c r="D7" s="2966" t="s">
        <v>3449</v>
      </c>
      <c r="E7" s="2966" t="s">
        <v>3450</v>
      </c>
      <c r="F7" s="2966">
        <v>5800000</v>
      </c>
      <c r="G7" s="2973">
        <f>SUM(H7:Z7)</f>
        <v>7481236.7400000002</v>
      </c>
      <c r="H7" s="2966">
        <v>3962174.15</v>
      </c>
      <c r="I7" s="2966">
        <v>1402843</v>
      </c>
      <c r="J7" s="2966">
        <v>809757</v>
      </c>
      <c r="K7" s="2966">
        <v>1306462.5900000001</v>
      </c>
      <c r="L7" s="2966"/>
      <c r="M7" s="2966"/>
      <c r="N7" s="2966"/>
      <c r="O7" s="2966"/>
      <c r="P7" s="2966"/>
      <c r="Q7" s="2966"/>
      <c r="R7" s="2966"/>
      <c r="S7" s="2966"/>
      <c r="T7" s="2966"/>
      <c r="U7" s="2966"/>
      <c r="V7" s="2966"/>
      <c r="W7" s="2966"/>
      <c r="X7" s="2966"/>
      <c r="Y7" s="2966"/>
      <c r="Z7" s="2967"/>
      <c r="AA7" s="2969">
        <v>0.97</v>
      </c>
      <c r="AB7" s="3129">
        <f>(G7+G8)*AA7</f>
        <v>28801782.385199998</v>
      </c>
      <c r="AC7" s="2972"/>
      <c r="AD7" s="3132">
        <v>27046166.469999999</v>
      </c>
      <c r="AE7" s="2966"/>
      <c r="AF7" s="2966"/>
      <c r="AG7" s="2966"/>
      <c r="AH7" s="2966"/>
      <c r="AI7" s="2966"/>
      <c r="AJ7" s="2966"/>
      <c r="AK7" s="3129">
        <f>AB7-AD7</f>
        <v>1755615.9151999988</v>
      </c>
      <c r="AL7" s="2966"/>
      <c r="AM7" s="2966"/>
    </row>
    <row r="8" spans="1:39" ht="24.95" customHeight="1">
      <c r="A8" s="2966"/>
      <c r="B8" s="3138"/>
      <c r="C8" s="3125"/>
      <c r="D8" s="2966" t="s">
        <v>3449</v>
      </c>
      <c r="E8" s="2966" t="s">
        <v>3451</v>
      </c>
      <c r="F8" s="2966">
        <v>18730000</v>
      </c>
      <c r="G8" s="2973">
        <f t="shared" ref="G8:G17" si="0">SUM(H8:Z8)</f>
        <v>22211322.419999998</v>
      </c>
      <c r="H8" s="2966">
        <v>18910332.879999999</v>
      </c>
      <c r="I8" s="2966">
        <v>0</v>
      </c>
      <c r="J8" s="2966">
        <v>1228558.8600000001</v>
      </c>
      <c r="K8" s="2966">
        <v>2072430.68</v>
      </c>
      <c r="L8" s="2966"/>
      <c r="M8" s="2966"/>
      <c r="N8" s="2966"/>
      <c r="O8" s="2966"/>
      <c r="P8" s="2966"/>
      <c r="Q8" s="2966"/>
      <c r="R8" s="2966"/>
      <c r="S8" s="2966"/>
      <c r="T8" s="2966"/>
      <c r="U8" s="2966"/>
      <c r="V8" s="2966"/>
      <c r="W8" s="2966"/>
      <c r="X8" s="2966"/>
      <c r="Y8" s="2966"/>
      <c r="Z8" s="2967"/>
      <c r="AA8" s="2969">
        <v>0.97</v>
      </c>
      <c r="AB8" s="3131"/>
      <c r="AC8" s="2974"/>
      <c r="AD8" s="3133"/>
      <c r="AE8" s="2966"/>
      <c r="AF8" s="2966"/>
      <c r="AG8" s="2966"/>
      <c r="AH8" s="2966"/>
      <c r="AI8" s="2966"/>
      <c r="AJ8" s="2966"/>
      <c r="AK8" s="3131"/>
      <c r="AL8" s="2966"/>
      <c r="AM8" s="2966"/>
    </row>
    <row r="9" spans="1:39" ht="24.95" customHeight="1">
      <c r="A9" s="2966"/>
      <c r="B9" s="3138"/>
      <c r="C9" s="3125"/>
      <c r="D9" s="2966" t="s">
        <v>3449</v>
      </c>
      <c r="E9" s="2966" t="s">
        <v>3450</v>
      </c>
      <c r="F9" s="2966">
        <v>6500000</v>
      </c>
      <c r="G9" s="2973">
        <f t="shared" si="0"/>
        <v>10611158.01</v>
      </c>
      <c r="H9" s="2966">
        <v>4624609</v>
      </c>
      <c r="I9" s="2966">
        <v>4523893</v>
      </c>
      <c r="J9" s="2966">
        <v>1462656.01</v>
      </c>
      <c r="K9" s="2966"/>
      <c r="L9" s="2966"/>
      <c r="M9" s="2966"/>
      <c r="N9" s="2966"/>
      <c r="O9" s="2966"/>
      <c r="P9" s="2966"/>
      <c r="Q9" s="2966"/>
      <c r="R9" s="2966"/>
      <c r="S9" s="2966"/>
      <c r="T9" s="2966"/>
      <c r="U9" s="2966"/>
      <c r="V9" s="2966"/>
      <c r="W9" s="2966"/>
      <c r="X9" s="2966"/>
      <c r="Y9" s="2966"/>
      <c r="Z9" s="2967"/>
      <c r="AA9" s="2969">
        <v>0.97</v>
      </c>
      <c r="AB9" s="3129">
        <f>60141099.43+6376782.35*0.97</f>
        <v>66326578.309500001</v>
      </c>
      <c r="AC9" s="2972"/>
      <c r="AD9" s="3132">
        <v>115358688.08</v>
      </c>
      <c r="AE9" s="2966"/>
      <c r="AF9" s="2966"/>
      <c r="AG9" s="2966"/>
      <c r="AH9" s="2966"/>
      <c r="AI9" s="2966"/>
      <c r="AJ9" s="2966"/>
      <c r="AK9" s="3129">
        <f>AB6+AB9-AD9</f>
        <v>6135722.8495000005</v>
      </c>
      <c r="AL9" s="2966"/>
      <c r="AM9" s="2966"/>
    </row>
    <row r="10" spans="1:39" ht="24.95" customHeight="1">
      <c r="A10" s="2966"/>
      <c r="B10" s="3138"/>
      <c r="C10" s="3125"/>
      <c r="D10" s="2966" t="s">
        <v>3449</v>
      </c>
      <c r="E10" s="2966" t="s">
        <v>3451</v>
      </c>
      <c r="F10" s="2966">
        <v>52860000</v>
      </c>
      <c r="G10" s="2973">
        <f t="shared" si="0"/>
        <v>61765535.460000008</v>
      </c>
      <c r="H10" s="2966">
        <v>37168616.920000002</v>
      </c>
      <c r="I10" s="2966">
        <v>12961487.6</v>
      </c>
      <c r="J10" s="2966">
        <v>2722526.92</v>
      </c>
      <c r="K10" s="2966">
        <v>8912904.0199999996</v>
      </c>
      <c r="L10" s="2966"/>
      <c r="M10" s="2966"/>
      <c r="N10" s="2966"/>
      <c r="O10" s="2966"/>
      <c r="P10" s="2966"/>
      <c r="Q10" s="2966"/>
      <c r="R10" s="2966"/>
      <c r="S10" s="2966"/>
      <c r="T10" s="2966"/>
      <c r="U10" s="2966"/>
      <c r="V10" s="2966"/>
      <c r="W10" s="2966"/>
      <c r="X10" s="2966"/>
      <c r="Y10" s="2966"/>
      <c r="Z10" s="2967"/>
      <c r="AA10" s="2969">
        <v>0.97</v>
      </c>
      <c r="AB10" s="3131"/>
      <c r="AC10" s="2974"/>
      <c r="AD10" s="3133"/>
      <c r="AE10" s="2966"/>
      <c r="AF10" s="2966"/>
      <c r="AG10" s="2966"/>
      <c r="AH10" s="2966"/>
      <c r="AI10" s="2966"/>
      <c r="AJ10" s="2966"/>
      <c r="AK10" s="3131"/>
      <c r="AL10" s="2966"/>
      <c r="AM10" s="2966"/>
    </row>
    <row r="11" spans="1:39" ht="24.95" customHeight="1">
      <c r="A11" s="2966"/>
      <c r="B11" s="3138"/>
      <c r="C11" s="3125"/>
      <c r="D11" s="2966" t="s">
        <v>3449</v>
      </c>
      <c r="E11" s="2966" t="s">
        <v>3450</v>
      </c>
      <c r="F11" s="2966">
        <v>5000000</v>
      </c>
      <c r="G11" s="2973">
        <f t="shared" si="0"/>
        <v>5719286.9399999995</v>
      </c>
      <c r="H11" s="2966">
        <v>4262819</v>
      </c>
      <c r="I11" s="2966">
        <v>1456467.94</v>
      </c>
      <c r="J11" s="2966"/>
      <c r="K11" s="2966"/>
      <c r="L11" s="2966"/>
      <c r="M11" s="2966"/>
      <c r="N11" s="2966"/>
      <c r="O11" s="2966"/>
      <c r="P11" s="2966"/>
      <c r="Q11" s="2966"/>
      <c r="R11" s="2966"/>
      <c r="S11" s="2966"/>
      <c r="T11" s="2966"/>
      <c r="U11" s="2966"/>
      <c r="V11" s="2966"/>
      <c r="W11" s="2966"/>
      <c r="X11" s="2966"/>
      <c r="Y11" s="2966"/>
      <c r="Z11" s="2967"/>
      <c r="AA11" s="2969">
        <v>0.97</v>
      </c>
      <c r="AB11" s="3129">
        <f>32120000*0.97</f>
        <v>31156400</v>
      </c>
      <c r="AC11" s="2972"/>
      <c r="AD11" s="3132">
        <v>30350442</v>
      </c>
      <c r="AE11" s="2966"/>
      <c r="AF11" s="2966"/>
      <c r="AG11" s="2966"/>
      <c r="AH11" s="2966"/>
      <c r="AI11" s="2966"/>
      <c r="AJ11" s="2966"/>
      <c r="AK11" s="3129">
        <f>AB11-AD11</f>
        <v>805958</v>
      </c>
      <c r="AL11" s="2966"/>
      <c r="AM11" s="2966"/>
    </row>
    <row r="12" spans="1:39" ht="24.95" customHeight="1">
      <c r="A12" s="2966"/>
      <c r="B12" s="3138"/>
      <c r="C12" s="3125"/>
      <c r="D12" s="2966" t="s">
        <v>3449</v>
      </c>
      <c r="E12" s="2966" t="s">
        <v>3451</v>
      </c>
      <c r="F12" s="2966">
        <v>29560000</v>
      </c>
      <c r="G12" s="2973">
        <f t="shared" si="0"/>
        <v>23375535.950000003</v>
      </c>
      <c r="H12" s="2966">
        <v>18643281.949999999</v>
      </c>
      <c r="I12" s="2966">
        <v>3304213.33</v>
      </c>
      <c r="J12" s="2966">
        <v>1428040.67</v>
      </c>
      <c r="K12" s="2966"/>
      <c r="L12" s="2966"/>
      <c r="M12" s="2966"/>
      <c r="N12" s="2966"/>
      <c r="O12" s="2966"/>
      <c r="P12" s="2966"/>
      <c r="Q12" s="2966"/>
      <c r="R12" s="2966"/>
      <c r="S12" s="2966"/>
      <c r="T12" s="2966"/>
      <c r="U12" s="2966"/>
      <c r="V12" s="2966"/>
      <c r="W12" s="2966"/>
      <c r="X12" s="2966"/>
      <c r="Y12" s="2966"/>
      <c r="Z12" s="2967"/>
      <c r="AA12" s="2969">
        <v>0.97</v>
      </c>
      <c r="AB12" s="3131"/>
      <c r="AC12" s="2974"/>
      <c r="AD12" s="3133"/>
      <c r="AE12" s="2966"/>
      <c r="AF12" s="2966"/>
      <c r="AG12" s="2966"/>
      <c r="AH12" s="2966"/>
      <c r="AI12" s="2966"/>
      <c r="AJ12" s="2966"/>
      <c r="AK12" s="3131"/>
      <c r="AL12" s="2966"/>
      <c r="AM12" s="2966"/>
    </row>
    <row r="13" spans="1:39" ht="24.95" customHeight="1">
      <c r="A13" s="2966"/>
      <c r="B13" s="3138"/>
      <c r="C13" s="3125"/>
      <c r="D13" s="2966" t="s">
        <v>3449</v>
      </c>
      <c r="E13" s="2966" t="s">
        <v>3450</v>
      </c>
      <c r="F13" s="2966">
        <v>5000000</v>
      </c>
      <c r="G13" s="2973">
        <f t="shared" si="0"/>
        <v>9998532</v>
      </c>
      <c r="H13" s="2966">
        <v>4998532</v>
      </c>
      <c r="I13" s="2966">
        <v>5000000</v>
      </c>
      <c r="J13" s="2966"/>
      <c r="K13" s="2966"/>
      <c r="L13" s="2966"/>
      <c r="M13" s="2966"/>
      <c r="N13" s="2966"/>
      <c r="O13" s="2966"/>
      <c r="P13" s="2966"/>
      <c r="Q13" s="2966"/>
      <c r="R13" s="2966"/>
      <c r="S13" s="2966"/>
      <c r="T13" s="2966"/>
      <c r="U13" s="2966"/>
      <c r="V13" s="2966"/>
      <c r="W13" s="2966"/>
      <c r="X13" s="2966"/>
      <c r="Y13" s="2966"/>
      <c r="Z13" s="2967"/>
      <c r="AA13" s="2969">
        <v>0.97</v>
      </c>
      <c r="AB13" s="3129">
        <f>(G13+G14)*AA13</f>
        <v>50438576.039999999</v>
      </c>
      <c r="AC13" s="2972"/>
      <c r="AD13" s="3132">
        <v>42100000</v>
      </c>
      <c r="AE13" s="2966"/>
      <c r="AF13" s="2966"/>
      <c r="AG13" s="2966"/>
      <c r="AH13" s="2966"/>
      <c r="AI13" s="2966"/>
      <c r="AJ13" s="2966"/>
      <c r="AK13" s="3129">
        <f>AB13-AD13</f>
        <v>8338576.0399999991</v>
      </c>
      <c r="AL13" s="2966"/>
      <c r="AM13" s="2966"/>
    </row>
    <row r="14" spans="1:39" ht="24.95" customHeight="1">
      <c r="A14" s="2966"/>
      <c r="B14" s="3138"/>
      <c r="C14" s="3125"/>
      <c r="D14" s="2966" t="s">
        <v>3449</v>
      </c>
      <c r="E14" s="2966" t="s">
        <v>3451</v>
      </c>
      <c r="F14" s="2966">
        <v>32400000</v>
      </c>
      <c r="G14" s="2973">
        <f t="shared" si="0"/>
        <v>42000000</v>
      </c>
      <c r="H14" s="2966">
        <v>31347600</v>
      </c>
      <c r="I14" s="2966">
        <v>1057652.3500000001</v>
      </c>
      <c r="J14" s="2966">
        <v>3750000</v>
      </c>
      <c r="K14" s="2966">
        <v>5844747.6500000004</v>
      </c>
      <c r="L14" s="2966"/>
      <c r="M14" s="2966"/>
      <c r="N14" s="2966"/>
      <c r="O14" s="2966"/>
      <c r="P14" s="2966"/>
      <c r="Q14" s="2966"/>
      <c r="R14" s="2966"/>
      <c r="S14" s="2966"/>
      <c r="T14" s="2966"/>
      <c r="U14" s="2966"/>
      <c r="V14" s="2966"/>
      <c r="W14" s="2966"/>
      <c r="X14" s="2966"/>
      <c r="Y14" s="2966"/>
      <c r="Z14" s="2967"/>
      <c r="AA14" s="2969">
        <v>0.97</v>
      </c>
      <c r="AB14" s="3131"/>
      <c r="AC14" s="2974"/>
      <c r="AD14" s="3133"/>
      <c r="AE14" s="2966"/>
      <c r="AF14" s="2966"/>
      <c r="AG14" s="2966"/>
      <c r="AH14" s="2966"/>
      <c r="AI14" s="2966"/>
      <c r="AJ14" s="2966"/>
      <c r="AK14" s="3131"/>
      <c r="AL14" s="2966"/>
      <c r="AM14" s="2966"/>
    </row>
    <row r="15" spans="1:39" ht="24.95" customHeight="1">
      <c r="A15" s="2966"/>
      <c r="B15" s="3138"/>
      <c r="C15" s="3125"/>
      <c r="D15" s="2966" t="s">
        <v>3449</v>
      </c>
      <c r="E15" s="2966" t="s">
        <v>3450</v>
      </c>
      <c r="F15" s="2966">
        <v>200000</v>
      </c>
      <c r="G15" s="2973">
        <f t="shared" si="0"/>
        <v>928537.5</v>
      </c>
      <c r="H15" s="2966">
        <v>928537.5</v>
      </c>
      <c r="I15" s="2966"/>
      <c r="J15" s="2966"/>
      <c r="K15" s="2966"/>
      <c r="L15" s="2966"/>
      <c r="M15" s="2966"/>
      <c r="N15" s="2966"/>
      <c r="O15" s="2966"/>
      <c r="P15" s="2966"/>
      <c r="Q15" s="2966"/>
      <c r="R15" s="2966"/>
      <c r="S15" s="2966"/>
      <c r="T15" s="2966"/>
      <c r="U15" s="2966"/>
      <c r="V15" s="2966"/>
      <c r="W15" s="2966"/>
      <c r="X15" s="2966"/>
      <c r="Y15" s="2966"/>
      <c r="Z15" s="2967"/>
      <c r="AA15" s="2969">
        <v>0.97</v>
      </c>
      <c r="AB15" s="2973">
        <f>G15*AA15</f>
        <v>900681.375</v>
      </c>
      <c r="AC15" s="2973"/>
      <c r="AD15" s="2975">
        <v>900600</v>
      </c>
      <c r="AE15" s="2966"/>
      <c r="AF15" s="2966"/>
      <c r="AG15" s="2966"/>
      <c r="AH15" s="2966"/>
      <c r="AI15" s="2966"/>
      <c r="AJ15" s="2966"/>
      <c r="AK15" s="2973">
        <f>AB15-AD15</f>
        <v>81.375</v>
      </c>
      <c r="AL15" s="2966"/>
      <c r="AM15" s="2966"/>
    </row>
    <row r="16" spans="1:39" ht="24.95" customHeight="1">
      <c r="A16" s="2966"/>
      <c r="B16" s="3138"/>
      <c r="C16" s="3125"/>
      <c r="D16" s="2966" t="s">
        <v>3449</v>
      </c>
      <c r="E16" s="2966" t="s">
        <v>3452</v>
      </c>
      <c r="F16" s="2966">
        <v>3000000</v>
      </c>
      <c r="G16" s="2973">
        <f t="shared" si="0"/>
        <v>9873831.7400000002</v>
      </c>
      <c r="H16" s="2966">
        <v>383773.5</v>
      </c>
      <c r="I16" s="2966">
        <v>4896399.2</v>
      </c>
      <c r="J16" s="2966">
        <v>1443421.65</v>
      </c>
      <c r="K16" s="2966">
        <v>901800.6</v>
      </c>
      <c r="L16" s="2966">
        <v>686628.06</v>
      </c>
      <c r="M16" s="2966">
        <v>328215.34999999998</v>
      </c>
      <c r="N16" s="2966">
        <v>180961.8</v>
      </c>
      <c r="O16" s="2966">
        <v>1052631.58</v>
      </c>
      <c r="P16" s="2966"/>
      <c r="Q16" s="2966"/>
      <c r="R16" s="2966"/>
      <c r="S16" s="2966"/>
      <c r="T16" s="2966"/>
      <c r="U16" s="2966"/>
      <c r="V16" s="2966"/>
      <c r="W16" s="2966"/>
      <c r="X16" s="2966"/>
      <c r="Y16" s="2966"/>
      <c r="Z16" s="2967"/>
      <c r="AA16" s="2969">
        <v>1</v>
      </c>
      <c r="AB16" s="2973">
        <f>G16*AA16</f>
        <v>9873831.7400000002</v>
      </c>
      <c r="AC16" s="2973"/>
      <c r="AD16" s="2975">
        <v>9833429.5800000001</v>
      </c>
      <c r="AE16" s="2966"/>
      <c r="AF16" s="2966"/>
      <c r="AG16" s="2966"/>
      <c r="AH16" s="2966"/>
      <c r="AI16" s="2966"/>
      <c r="AJ16" s="2966"/>
      <c r="AK16" s="2973">
        <f t="shared" ref="AK16:AK46" si="1">AB16-AD16</f>
        <v>40402.160000000149</v>
      </c>
      <c r="AL16" s="2966"/>
      <c r="AM16" s="2966"/>
    </row>
    <row r="17" spans="1:39" ht="24.95" customHeight="1">
      <c r="A17" s="2966"/>
      <c r="B17" s="3138"/>
      <c r="C17" s="3125"/>
      <c r="D17" s="2966" t="s">
        <v>3449</v>
      </c>
      <c r="E17" s="2966" t="s">
        <v>3453</v>
      </c>
      <c r="F17" s="2966">
        <v>3000000</v>
      </c>
      <c r="G17" s="2973">
        <f t="shared" si="0"/>
        <v>1011610.84</v>
      </c>
      <c r="H17" s="2966">
        <v>1011610.84</v>
      </c>
      <c r="I17" s="2966"/>
      <c r="J17" s="2966"/>
      <c r="K17" s="2966"/>
      <c r="L17" s="2966"/>
      <c r="M17" s="2966"/>
      <c r="N17" s="2966"/>
      <c r="O17" s="2966"/>
      <c r="P17" s="2966"/>
      <c r="Q17" s="2966"/>
      <c r="R17" s="2966"/>
      <c r="S17" s="2966"/>
      <c r="T17" s="2966"/>
      <c r="U17" s="2966"/>
      <c r="V17" s="2966"/>
      <c r="W17" s="2966"/>
      <c r="X17" s="2966"/>
      <c r="Y17" s="2966"/>
      <c r="Z17" s="2967"/>
      <c r="AA17" s="2969">
        <v>0.97</v>
      </c>
      <c r="AB17" s="2973">
        <f>G17*AA17</f>
        <v>981262.51479999989</v>
      </c>
      <c r="AC17" s="2973"/>
      <c r="AD17" s="2975">
        <v>500000</v>
      </c>
      <c r="AE17" s="2966"/>
      <c r="AF17" s="2966"/>
      <c r="AG17" s="2966"/>
      <c r="AH17" s="2966"/>
      <c r="AI17" s="2966"/>
      <c r="AJ17" s="2966"/>
      <c r="AK17" s="2973">
        <f t="shared" si="1"/>
        <v>481262.51479999989</v>
      </c>
      <c r="AL17" s="2966"/>
      <c r="AM17" s="2966"/>
    </row>
    <row r="18" spans="1:39" ht="24.95" customHeight="1">
      <c r="A18" s="2966"/>
      <c r="B18" s="3138"/>
      <c r="C18" s="3125"/>
      <c r="D18" s="2966" t="s">
        <v>3446</v>
      </c>
      <c r="E18" s="2966" t="s">
        <v>3454</v>
      </c>
      <c r="F18" s="2966">
        <v>500000000</v>
      </c>
      <c r="G18" s="2973">
        <f t="shared" ref="G18:G38" si="2">SUM(H18:Z18)</f>
        <v>379251308.80000001</v>
      </c>
      <c r="H18" s="2966">
        <v>70000000</v>
      </c>
      <c r="I18" s="2966">
        <v>119625654.40000001</v>
      </c>
      <c r="J18" s="2973">
        <v>189625654.40000001</v>
      </c>
      <c r="K18" s="2966"/>
      <c r="L18" s="2966"/>
      <c r="M18" s="2966"/>
      <c r="N18" s="2966"/>
      <c r="O18" s="2966"/>
      <c r="P18" s="2966"/>
      <c r="Q18" s="2966"/>
      <c r="R18" s="2966"/>
      <c r="S18" s="2966"/>
      <c r="T18" s="2966"/>
      <c r="U18" s="2966"/>
      <c r="V18" s="2966"/>
      <c r="W18" s="2966"/>
      <c r="X18" s="2966"/>
      <c r="Y18" s="2966"/>
      <c r="Z18" s="2967"/>
      <c r="AA18" s="2969">
        <v>1</v>
      </c>
      <c r="AB18" s="2973">
        <f t="shared" ref="AB18:AB53" si="3">G18*AA18</f>
        <v>379251308.80000001</v>
      </c>
      <c r="AC18" s="2973"/>
      <c r="AD18" s="2975">
        <v>264679790.31999999</v>
      </c>
      <c r="AE18" s="2966"/>
      <c r="AF18" s="2966"/>
      <c r="AG18" s="2966"/>
      <c r="AH18" s="2966"/>
      <c r="AI18" s="2966"/>
      <c r="AJ18" s="2966"/>
      <c r="AK18" s="2973">
        <f t="shared" si="1"/>
        <v>114571518.48000002</v>
      </c>
      <c r="AL18" s="2966"/>
      <c r="AM18" s="2966"/>
    </row>
    <row r="19" spans="1:39" ht="24.95" customHeight="1">
      <c r="A19" s="2966"/>
      <c r="B19" s="3138"/>
      <c r="C19" s="3125"/>
      <c r="D19" s="2966" t="s">
        <v>3446</v>
      </c>
      <c r="E19" s="2966" t="s">
        <v>3454</v>
      </c>
      <c r="F19" s="2966">
        <v>500000000</v>
      </c>
      <c r="G19" s="2973">
        <v>339908684.83999997</v>
      </c>
      <c r="H19" s="2966">
        <v>70000000</v>
      </c>
      <c r="I19" s="2966">
        <v>94015075</v>
      </c>
      <c r="J19" s="2973">
        <v>162005998.06999999</v>
      </c>
      <c r="K19" s="2966">
        <v>10000000</v>
      </c>
      <c r="L19" s="2966"/>
      <c r="M19" s="2966"/>
      <c r="N19" s="2966"/>
      <c r="O19" s="2966"/>
      <c r="P19" s="2966"/>
      <c r="Q19" s="2966"/>
      <c r="R19" s="2966"/>
      <c r="S19" s="2966"/>
      <c r="T19" s="2966"/>
      <c r="U19" s="2966"/>
      <c r="V19" s="2966"/>
      <c r="W19" s="2966"/>
      <c r="X19" s="2966"/>
      <c r="Y19" s="2966"/>
      <c r="Z19" s="2967"/>
      <c r="AA19" s="2969">
        <v>0.97</v>
      </c>
      <c r="AB19" s="2973">
        <f t="shared" si="3"/>
        <v>329711424.29479998</v>
      </c>
      <c r="AC19" s="2973"/>
      <c r="AD19" s="2975">
        <v>329944688.60000002</v>
      </c>
      <c r="AE19" s="2966"/>
      <c r="AF19" s="2966"/>
      <c r="AG19" s="2966"/>
      <c r="AH19" s="2966"/>
      <c r="AI19" s="2966"/>
      <c r="AJ19" s="2966"/>
      <c r="AK19" s="2973">
        <f t="shared" si="1"/>
        <v>-233264.30520004034</v>
      </c>
      <c r="AL19" s="2966"/>
      <c r="AM19" s="2966"/>
    </row>
    <row r="20" spans="1:39" ht="24.95" customHeight="1">
      <c r="A20" s="2966"/>
      <c r="B20" s="3138"/>
      <c r="C20" s="3125"/>
      <c r="D20" s="2966" t="s">
        <v>3446</v>
      </c>
      <c r="E20" s="2966" t="s">
        <v>3455</v>
      </c>
      <c r="F20" s="2966">
        <v>12000000</v>
      </c>
      <c r="G20" s="2973">
        <f t="shared" si="2"/>
        <v>70055826.810000002</v>
      </c>
      <c r="H20" s="2966">
        <v>7586801.04</v>
      </c>
      <c r="I20" s="2966">
        <v>14690214.050000001</v>
      </c>
      <c r="J20" s="2966">
        <v>17528197.969999999</v>
      </c>
      <c r="K20" s="2966">
        <v>11276709.74</v>
      </c>
      <c r="L20" s="2966">
        <v>14858627.77</v>
      </c>
      <c r="M20" s="2966">
        <v>4115276.24</v>
      </c>
      <c r="N20" s="2966"/>
      <c r="O20" s="2966"/>
      <c r="P20" s="2966"/>
      <c r="Q20" s="2966"/>
      <c r="R20" s="2966"/>
      <c r="S20" s="2966"/>
      <c r="T20" s="2966"/>
      <c r="U20" s="2966"/>
      <c r="V20" s="2966"/>
      <c r="W20" s="2966"/>
      <c r="X20" s="2966"/>
      <c r="Y20" s="2966"/>
      <c r="Z20" s="2967"/>
      <c r="AA20" s="2969">
        <v>0.85</v>
      </c>
      <c r="AB20" s="2973">
        <f t="shared" si="3"/>
        <v>59547452.788500004</v>
      </c>
      <c r="AC20" s="2973"/>
      <c r="AD20" s="2976">
        <f>44362140.95+2150000+8000000</f>
        <v>54512140.950000003</v>
      </c>
      <c r="AE20" s="2966"/>
      <c r="AF20" s="2966"/>
      <c r="AG20" s="2966"/>
      <c r="AH20" s="2966"/>
      <c r="AI20" s="2966"/>
      <c r="AJ20" s="2966"/>
      <c r="AK20" s="2973">
        <f t="shared" si="1"/>
        <v>5035311.8385000005</v>
      </c>
      <c r="AL20" s="2966"/>
      <c r="AM20" s="2966"/>
    </row>
    <row r="21" spans="1:39" ht="24.95" customHeight="1">
      <c r="A21" s="2966"/>
      <c r="B21" s="3138"/>
      <c r="C21" s="3125"/>
      <c r="D21" s="2966" t="s">
        <v>3446</v>
      </c>
      <c r="E21" s="2966" t="s">
        <v>3456</v>
      </c>
      <c r="F21" s="2966">
        <v>50000000</v>
      </c>
      <c r="G21" s="2973">
        <f t="shared" si="2"/>
        <v>64271179.099999994</v>
      </c>
      <c r="H21" s="2966">
        <v>22960329.07</v>
      </c>
      <c r="I21" s="2966">
        <v>19703196.859999999</v>
      </c>
      <c r="J21" s="2966">
        <v>12187298.689999999</v>
      </c>
      <c r="K21" s="2966">
        <v>9420354.4800000004</v>
      </c>
      <c r="L21" s="2966"/>
      <c r="M21" s="2966"/>
      <c r="N21" s="2966"/>
      <c r="O21" s="2966"/>
      <c r="P21" s="2966"/>
      <c r="Q21" s="2966"/>
      <c r="R21" s="2966"/>
      <c r="S21" s="2966"/>
      <c r="T21" s="2966"/>
      <c r="U21" s="2966"/>
      <c r="V21" s="2966"/>
      <c r="W21" s="2966"/>
      <c r="X21" s="2966"/>
      <c r="Y21" s="2966"/>
      <c r="Z21" s="2967"/>
      <c r="AA21" s="2969">
        <v>0.7</v>
      </c>
      <c r="AB21" s="2973">
        <f t="shared" si="3"/>
        <v>44989825.36999999</v>
      </c>
      <c r="AC21" s="2973"/>
      <c r="AD21" s="2976">
        <v>43204707.780000001</v>
      </c>
      <c r="AE21" s="2966"/>
      <c r="AF21" s="2966"/>
      <c r="AG21" s="2966"/>
      <c r="AH21" s="2966"/>
      <c r="AI21" s="2966"/>
      <c r="AJ21" s="2966"/>
      <c r="AK21" s="2973">
        <f t="shared" si="1"/>
        <v>1785117.5899999887</v>
      </c>
      <c r="AL21" s="2966"/>
      <c r="AM21" s="2966"/>
    </row>
    <row r="22" spans="1:39" ht="24.95" customHeight="1">
      <c r="A22" s="2966"/>
      <c r="B22" s="3138"/>
      <c r="C22" s="3125"/>
      <c r="D22" s="2966" t="s">
        <v>3446</v>
      </c>
      <c r="E22" s="2966" t="s">
        <v>3457</v>
      </c>
      <c r="F22" s="2966">
        <v>35000000</v>
      </c>
      <c r="G22" s="2973">
        <v>55000000</v>
      </c>
      <c r="H22" s="2966">
        <v>5250000</v>
      </c>
      <c r="I22" s="2966">
        <v>14417300</v>
      </c>
      <c r="J22" s="2966">
        <v>1000000</v>
      </c>
      <c r="K22" s="2966">
        <v>5200000</v>
      </c>
      <c r="L22" s="2966">
        <v>2000000</v>
      </c>
      <c r="M22" s="2966">
        <v>3000000</v>
      </c>
      <c r="N22" s="2966">
        <v>6200000</v>
      </c>
      <c r="O22" s="2966">
        <v>1500000</v>
      </c>
      <c r="P22" s="2966">
        <v>11432700</v>
      </c>
      <c r="Q22" s="2966"/>
      <c r="R22" s="2966"/>
      <c r="S22" s="2966"/>
      <c r="T22" s="2966"/>
      <c r="U22" s="2966"/>
      <c r="V22" s="2966"/>
      <c r="W22" s="2966"/>
      <c r="X22" s="2966"/>
      <c r="Y22" s="2966"/>
      <c r="Z22" s="2967"/>
      <c r="AA22" s="2969">
        <v>1</v>
      </c>
      <c r="AB22" s="2973">
        <v>55000000</v>
      </c>
      <c r="AC22" s="2973"/>
      <c r="AD22" s="2975">
        <v>39017300</v>
      </c>
      <c r="AE22" s="2977"/>
      <c r="AF22" s="2966"/>
      <c r="AG22" s="2966"/>
      <c r="AH22" s="2966"/>
      <c r="AI22" s="2966"/>
      <c r="AJ22" s="2966"/>
      <c r="AK22" s="2973">
        <f t="shared" si="1"/>
        <v>15982700</v>
      </c>
      <c r="AL22" s="2966"/>
      <c r="AM22" s="2966"/>
    </row>
    <row r="23" spans="1:39" ht="24.95" customHeight="1">
      <c r="A23" s="2966"/>
      <c r="B23" s="3138"/>
      <c r="C23" s="3125"/>
      <c r="D23" s="2966" t="s">
        <v>3446</v>
      </c>
      <c r="E23" s="2966" t="s">
        <v>3458</v>
      </c>
      <c r="F23" s="2966">
        <v>85000000</v>
      </c>
      <c r="G23" s="2973">
        <f t="shared" si="2"/>
        <v>76840656.919999987</v>
      </c>
      <c r="H23" s="2966">
        <v>16755456.289999999</v>
      </c>
      <c r="I23" s="2966">
        <v>7226182.7699999996</v>
      </c>
      <c r="J23" s="2966">
        <v>24665299.289999999</v>
      </c>
      <c r="K23" s="2966">
        <v>11092218.710000001</v>
      </c>
      <c r="L23" s="2966">
        <v>11301499.859999999</v>
      </c>
      <c r="M23" s="2966">
        <v>4000000</v>
      </c>
      <c r="N23" s="2966">
        <v>1800000</v>
      </c>
      <c r="O23" s="2966"/>
      <c r="P23" s="2966"/>
      <c r="Q23" s="2966"/>
      <c r="R23" s="2966"/>
      <c r="S23" s="2966"/>
      <c r="T23" s="2966"/>
      <c r="U23" s="2966"/>
      <c r="V23" s="2966"/>
      <c r="W23" s="2966"/>
      <c r="X23" s="2966"/>
      <c r="Y23" s="2966"/>
      <c r="Z23" s="2967"/>
      <c r="AA23" s="2969">
        <v>0.9</v>
      </c>
      <c r="AB23" s="2973">
        <f>G23*AA23+5207049.65/2</f>
        <v>71760116.052999988</v>
      </c>
      <c r="AC23" s="2973"/>
      <c r="AD23" s="2975">
        <v>70057340.530000001</v>
      </c>
      <c r="AE23" s="2977"/>
      <c r="AF23" s="2966"/>
      <c r="AG23" s="2966"/>
      <c r="AH23" s="2966"/>
      <c r="AI23" s="2966"/>
      <c r="AJ23" s="2966"/>
      <c r="AK23" s="2973">
        <f t="shared" si="1"/>
        <v>1702775.522999987</v>
      </c>
      <c r="AL23" s="2966"/>
      <c r="AM23" s="2966"/>
    </row>
    <row r="24" spans="1:39" ht="24.95" customHeight="1">
      <c r="A24" s="2966"/>
      <c r="B24" s="3138"/>
      <c r="C24" s="3125"/>
      <c r="D24" s="2966" t="s">
        <v>3446</v>
      </c>
      <c r="E24" s="2966" t="s">
        <v>3459</v>
      </c>
      <c r="F24" s="2966">
        <v>4436800</v>
      </c>
      <c r="G24" s="2973">
        <f t="shared" si="2"/>
        <v>4031854.1</v>
      </c>
      <c r="H24" s="2966">
        <v>907098</v>
      </c>
      <c r="I24" s="2966">
        <v>2011700</v>
      </c>
      <c r="J24" s="2966">
        <v>1113056.1000000001</v>
      </c>
      <c r="K24" s="2966"/>
      <c r="L24" s="2966"/>
      <c r="M24" s="2966"/>
      <c r="N24" s="2966"/>
      <c r="O24" s="2966"/>
      <c r="P24" s="2966"/>
      <c r="Q24" s="2966"/>
      <c r="R24" s="2966"/>
      <c r="S24" s="2966"/>
      <c r="T24" s="2966"/>
      <c r="U24" s="2966"/>
      <c r="V24" s="2966"/>
      <c r="W24" s="2966"/>
      <c r="X24" s="2966"/>
      <c r="Y24" s="2966"/>
      <c r="Z24" s="2967"/>
      <c r="AA24" s="2969">
        <v>1</v>
      </c>
      <c r="AB24" s="2973">
        <f t="shared" si="3"/>
        <v>4031854.1</v>
      </c>
      <c r="AC24" s="2973"/>
      <c r="AD24" s="2975">
        <v>2910940.67</v>
      </c>
      <c r="AE24" s="2977"/>
      <c r="AF24" s="2966"/>
      <c r="AG24" s="2966"/>
      <c r="AH24" s="2966"/>
      <c r="AI24" s="2966"/>
      <c r="AJ24" s="2966"/>
      <c r="AK24" s="2973">
        <f t="shared" si="1"/>
        <v>1120913.4300000002</v>
      </c>
      <c r="AL24" s="2966"/>
      <c r="AM24" s="2966"/>
    </row>
    <row r="25" spans="1:39" ht="24.95" customHeight="1">
      <c r="A25" s="2966"/>
      <c r="B25" s="3138"/>
      <c r="C25" s="3125"/>
      <c r="D25" s="2966" t="s">
        <v>3446</v>
      </c>
      <c r="E25" s="2966" t="s">
        <v>3460</v>
      </c>
      <c r="F25" s="2966">
        <f>2496300+9989700</f>
        <v>12486000</v>
      </c>
      <c r="G25" s="2973">
        <f t="shared" si="2"/>
        <v>8116300</v>
      </c>
      <c r="H25" s="2966">
        <v>2000000</v>
      </c>
      <c r="I25" s="2966">
        <v>6116300</v>
      </c>
      <c r="J25" s="2966"/>
      <c r="K25" s="2966"/>
      <c r="L25" s="2966"/>
      <c r="M25" s="2966"/>
      <c r="N25" s="2966"/>
      <c r="O25" s="2966"/>
      <c r="P25" s="2966"/>
      <c r="Q25" s="2966"/>
      <c r="R25" s="2966"/>
      <c r="S25" s="2966"/>
      <c r="T25" s="2966"/>
      <c r="U25" s="2966"/>
      <c r="V25" s="2966"/>
      <c r="W25" s="2966"/>
      <c r="X25" s="2966"/>
      <c r="Y25" s="2966"/>
      <c r="Z25" s="2967"/>
      <c r="AA25" s="2969">
        <v>1</v>
      </c>
      <c r="AB25" s="2973">
        <f t="shared" si="3"/>
        <v>8116300</v>
      </c>
      <c r="AC25" s="2973"/>
      <c r="AD25" s="2975">
        <v>6170733.0300000003</v>
      </c>
      <c r="AE25" s="2977"/>
      <c r="AF25" s="2966"/>
      <c r="AG25" s="2966"/>
      <c r="AH25" s="2966"/>
      <c r="AI25" s="2966"/>
      <c r="AJ25" s="2966"/>
      <c r="AK25" s="2973">
        <f t="shared" si="1"/>
        <v>1945566.9699999997</v>
      </c>
      <c r="AL25" s="2966"/>
      <c r="AM25" s="2966"/>
    </row>
    <row r="26" spans="1:39" ht="24.95" customHeight="1">
      <c r="A26" s="2966"/>
      <c r="B26" s="3138"/>
      <c r="C26" s="3125"/>
      <c r="D26" s="2966" t="s">
        <v>3446</v>
      </c>
      <c r="E26" s="2966" t="s">
        <v>3461</v>
      </c>
      <c r="F26" s="2966">
        <v>39825667.25</v>
      </c>
      <c r="G26" s="2973">
        <f t="shared" si="2"/>
        <v>27877967.079999998</v>
      </c>
      <c r="H26" s="2966">
        <v>4192175.5</v>
      </c>
      <c r="I26" s="2966">
        <v>20430425</v>
      </c>
      <c r="J26" s="2966">
        <v>3255366.58</v>
      </c>
      <c r="K26" s="2966"/>
      <c r="L26" s="2966"/>
      <c r="M26" s="2966"/>
      <c r="N26" s="2966"/>
      <c r="O26" s="2966"/>
      <c r="P26" s="2966"/>
      <c r="Q26" s="2966"/>
      <c r="R26" s="2966"/>
      <c r="S26" s="2966"/>
      <c r="T26" s="2966"/>
      <c r="U26" s="2966"/>
      <c r="V26" s="2966"/>
      <c r="W26" s="2966"/>
      <c r="X26" s="2966"/>
      <c r="Y26" s="2966"/>
      <c r="Z26" s="2967"/>
      <c r="AA26" s="2969">
        <v>1</v>
      </c>
      <c r="AB26" s="2973">
        <f t="shared" si="3"/>
        <v>27877967.079999998</v>
      </c>
      <c r="AC26" s="2973"/>
      <c r="AD26" s="2975">
        <v>22766974.52</v>
      </c>
      <c r="AE26" s="2977"/>
      <c r="AF26" s="2966"/>
      <c r="AG26" s="2966"/>
      <c r="AH26" s="2966"/>
      <c r="AI26" s="2966"/>
      <c r="AJ26" s="2966"/>
      <c r="AK26" s="2973">
        <f t="shared" si="1"/>
        <v>5110992.5599999987</v>
      </c>
      <c r="AL26" s="2966"/>
      <c r="AM26" s="2966"/>
    </row>
    <row r="27" spans="1:39" ht="24.95" customHeight="1">
      <c r="A27" s="2966"/>
      <c r="B27" s="3138"/>
      <c r="C27" s="3125"/>
      <c r="D27" s="2966" t="s">
        <v>3446</v>
      </c>
      <c r="E27" s="2966" t="s">
        <v>3462</v>
      </c>
      <c r="F27" s="2966">
        <v>1480624.03</v>
      </c>
      <c r="G27" s="2973">
        <f t="shared" si="2"/>
        <v>1247100</v>
      </c>
      <c r="H27" s="2966">
        <v>148062.39999999999</v>
      </c>
      <c r="I27" s="2966">
        <v>1099037.6000000001</v>
      </c>
      <c r="J27" s="2966"/>
      <c r="K27" s="2966"/>
      <c r="L27" s="2966"/>
      <c r="M27" s="2966"/>
      <c r="N27" s="2966"/>
      <c r="O27" s="2966"/>
      <c r="P27" s="2966"/>
      <c r="Q27" s="2966"/>
      <c r="R27" s="2966"/>
      <c r="S27" s="2966"/>
      <c r="T27" s="2966"/>
      <c r="U27" s="2966"/>
      <c r="V27" s="2966"/>
      <c r="W27" s="2966"/>
      <c r="X27" s="2966"/>
      <c r="Y27" s="2966"/>
      <c r="Z27" s="2967"/>
      <c r="AA27" s="2969">
        <v>1</v>
      </c>
      <c r="AB27" s="2973">
        <f t="shared" si="3"/>
        <v>1247100</v>
      </c>
      <c r="AC27" s="2973"/>
      <c r="AD27" s="2975">
        <v>873062.40000000002</v>
      </c>
      <c r="AE27" s="2977"/>
      <c r="AF27" s="2966"/>
      <c r="AG27" s="2966"/>
      <c r="AH27" s="2966"/>
      <c r="AI27" s="2966"/>
      <c r="AJ27" s="2966"/>
      <c r="AK27" s="2973">
        <f t="shared" si="1"/>
        <v>374037.6</v>
      </c>
      <c r="AL27" s="2966"/>
      <c r="AM27" s="2966"/>
    </row>
    <row r="28" spans="1:39" ht="24.95" customHeight="1">
      <c r="A28" s="2966"/>
      <c r="B28" s="3138"/>
      <c r="C28" s="3125"/>
      <c r="D28" s="2966" t="s">
        <v>3446</v>
      </c>
      <c r="E28" s="2966" t="s">
        <v>3463</v>
      </c>
      <c r="F28" s="2966">
        <v>36176940.899999999</v>
      </c>
      <c r="G28" s="2973">
        <f t="shared" si="2"/>
        <v>32559246.829999998</v>
      </c>
      <c r="H28" s="2966">
        <v>6000000</v>
      </c>
      <c r="I28" s="2966">
        <v>1250000</v>
      </c>
      <c r="J28" s="2966">
        <v>4375000</v>
      </c>
      <c r="K28" s="2966">
        <v>6000000</v>
      </c>
      <c r="L28" s="2966">
        <v>1000000</v>
      </c>
      <c r="M28" s="2966">
        <v>10053400</v>
      </c>
      <c r="N28" s="2966">
        <v>3880846.83</v>
      </c>
      <c r="O28" s="2966"/>
      <c r="P28" s="2966"/>
      <c r="Q28" s="2966"/>
      <c r="R28" s="2966"/>
      <c r="S28" s="2966"/>
      <c r="T28" s="2966"/>
      <c r="U28" s="2966"/>
      <c r="V28" s="2966"/>
      <c r="W28" s="2966"/>
      <c r="X28" s="2966"/>
      <c r="Y28" s="2966"/>
      <c r="Z28" s="2967"/>
      <c r="AA28" s="2969">
        <v>0.9</v>
      </c>
      <c r="AB28" s="2973">
        <f t="shared" si="3"/>
        <v>29303322.147</v>
      </c>
      <c r="AC28" s="2973"/>
      <c r="AD28" s="2975">
        <f>18600000+4000000</f>
        <v>22600000</v>
      </c>
      <c r="AE28" s="2977"/>
      <c r="AF28" s="2966"/>
      <c r="AG28" s="2966"/>
      <c r="AH28" s="2966"/>
      <c r="AI28" s="2966"/>
      <c r="AJ28" s="2966"/>
      <c r="AK28" s="2973">
        <f t="shared" si="1"/>
        <v>6703322.1469999999</v>
      </c>
      <c r="AL28" s="2966"/>
      <c r="AM28" s="2966"/>
    </row>
    <row r="29" spans="1:39" ht="24.95" customHeight="1">
      <c r="A29" s="2966"/>
      <c r="B29" s="3138"/>
      <c r="C29" s="3125"/>
      <c r="D29" s="2978" t="s">
        <v>3446</v>
      </c>
      <c r="E29" s="2978" t="s">
        <v>3464</v>
      </c>
      <c r="F29" s="2978">
        <v>45000000</v>
      </c>
      <c r="G29" s="2979">
        <f t="shared" si="2"/>
        <v>54114384.409999996</v>
      </c>
      <c r="H29" s="2978">
        <v>6725418.4699999997</v>
      </c>
      <c r="I29" s="2978">
        <v>20179502.239999998</v>
      </c>
      <c r="J29" s="2978">
        <v>12336902.35</v>
      </c>
      <c r="K29" s="2978">
        <v>3700000</v>
      </c>
      <c r="L29" s="2978">
        <v>1300000</v>
      </c>
      <c r="M29" s="2978">
        <v>2230000</v>
      </c>
      <c r="N29" s="2978">
        <v>4642561.3499999996</v>
      </c>
      <c r="O29" s="2978">
        <v>3000000</v>
      </c>
      <c r="P29" s="2978"/>
      <c r="Q29" s="2978"/>
      <c r="R29" s="2978"/>
      <c r="S29" s="2978"/>
      <c r="T29" s="2978"/>
      <c r="U29" s="2978"/>
      <c r="V29" s="2978"/>
      <c r="W29" s="2978"/>
      <c r="X29" s="2978"/>
      <c r="Y29" s="2978"/>
      <c r="Z29" s="2980"/>
      <c r="AA29" s="2981">
        <v>0.9</v>
      </c>
      <c r="AB29" s="2979">
        <f t="shared" si="3"/>
        <v>48702945.968999997</v>
      </c>
      <c r="AC29" s="2979"/>
      <c r="AD29" s="2982" t="s">
        <v>3465</v>
      </c>
      <c r="AE29" s="2983"/>
      <c r="AF29" s="2978"/>
      <c r="AG29" s="2978"/>
      <c r="AH29" s="2978"/>
      <c r="AI29" s="2978"/>
      <c r="AJ29" s="2978"/>
      <c r="AK29" s="2979" t="s">
        <v>3448</v>
      </c>
      <c r="AL29" s="2966"/>
      <c r="AM29" s="2966"/>
    </row>
    <row r="30" spans="1:39" ht="24.95" customHeight="1">
      <c r="A30" s="2966"/>
      <c r="B30" s="3138"/>
      <c r="C30" s="3125"/>
      <c r="D30" s="2966" t="s">
        <v>3446</v>
      </c>
      <c r="E30" s="2966" t="s">
        <v>3464</v>
      </c>
      <c r="F30" s="2966">
        <v>30000000</v>
      </c>
      <c r="G30" s="2973">
        <f t="shared" si="2"/>
        <v>39186835.170000002</v>
      </c>
      <c r="H30" s="2966">
        <v>32280998.530000001</v>
      </c>
      <c r="I30" s="2966">
        <v>5705836.6399999997</v>
      </c>
      <c r="J30" s="2966">
        <v>1200000</v>
      </c>
      <c r="K30" s="2966"/>
      <c r="L30" s="2966"/>
      <c r="M30" s="2966"/>
      <c r="N30" s="2966"/>
      <c r="O30" s="2966"/>
      <c r="P30" s="2966"/>
      <c r="Q30" s="2966"/>
      <c r="R30" s="2966"/>
      <c r="S30" s="2966"/>
      <c r="T30" s="2966"/>
      <c r="U30" s="2966"/>
      <c r="V30" s="2966"/>
      <c r="W30" s="2966"/>
      <c r="X30" s="2966"/>
      <c r="Y30" s="2966"/>
      <c r="Z30" s="2967"/>
      <c r="AA30" s="2969">
        <v>0.9</v>
      </c>
      <c r="AB30" s="2973">
        <f t="shared" si="3"/>
        <v>35268151.653000005</v>
      </c>
      <c r="AC30" s="2973"/>
      <c r="AD30" s="2975">
        <f>27515609.05+8000000</f>
        <v>35515609.049999997</v>
      </c>
      <c r="AE30" s="2977"/>
      <c r="AF30" s="2966"/>
      <c r="AG30" s="2966"/>
      <c r="AH30" s="2966"/>
      <c r="AI30" s="2966"/>
      <c r="AJ30" s="2966"/>
      <c r="AK30" s="2973">
        <f t="shared" si="1"/>
        <v>-247457.39699999243</v>
      </c>
      <c r="AL30" s="2966"/>
      <c r="AM30" s="2966"/>
    </row>
    <row r="31" spans="1:39" ht="24.95" customHeight="1">
      <c r="A31" s="2966"/>
      <c r="B31" s="3138"/>
      <c r="C31" s="3125"/>
      <c r="D31" s="2966" t="s">
        <v>3446</v>
      </c>
      <c r="E31" s="2966" t="s">
        <v>3464</v>
      </c>
      <c r="F31" s="2966">
        <v>25000000</v>
      </c>
      <c r="G31" s="2973">
        <v>25000000</v>
      </c>
      <c r="H31" s="2966">
        <v>2352941.1800000002</v>
      </c>
      <c r="I31" s="2966">
        <v>2647058.8199999998</v>
      </c>
      <c r="J31" s="2966">
        <v>882352.94</v>
      </c>
      <c r="K31" s="2966">
        <v>5882352.9400000004</v>
      </c>
      <c r="L31" s="2966">
        <v>8235294.1200000001</v>
      </c>
      <c r="M31" s="2966"/>
      <c r="N31" s="2966"/>
      <c r="O31" s="2966"/>
      <c r="P31" s="2966"/>
      <c r="Q31" s="2966"/>
      <c r="R31" s="2966"/>
      <c r="S31" s="2966"/>
      <c r="T31" s="2966"/>
      <c r="U31" s="2966"/>
      <c r="V31" s="2966"/>
      <c r="W31" s="2966"/>
      <c r="X31" s="2966"/>
      <c r="Y31" s="2966"/>
      <c r="Z31" s="2967"/>
      <c r="AA31" s="2969">
        <v>0.9</v>
      </c>
      <c r="AB31" s="2973">
        <f t="shared" si="3"/>
        <v>22500000</v>
      </c>
      <c r="AC31" s="2973"/>
      <c r="AD31" s="2975">
        <f>14020249.13+8000000</f>
        <v>22020249.130000003</v>
      </c>
      <c r="AE31" s="2984"/>
      <c r="AF31" s="2966"/>
      <c r="AG31" s="2966"/>
      <c r="AH31" s="2966"/>
      <c r="AI31" s="2966"/>
      <c r="AJ31" s="2966"/>
      <c r="AK31" s="2973">
        <f t="shared" si="1"/>
        <v>479750.86999999732</v>
      </c>
      <c r="AL31" s="2966"/>
      <c r="AM31" s="2966"/>
    </row>
    <row r="32" spans="1:39" ht="24.95" customHeight="1">
      <c r="A32" s="2966"/>
      <c r="B32" s="3138"/>
      <c r="C32" s="3125"/>
      <c r="D32" s="2966" t="s">
        <v>3446</v>
      </c>
      <c r="E32" s="2966" t="s">
        <v>3466</v>
      </c>
      <c r="F32" s="2966">
        <v>175000000</v>
      </c>
      <c r="G32" s="2973">
        <v>143778688.03999999</v>
      </c>
      <c r="H32" s="2966">
        <v>11988207.460000001</v>
      </c>
      <c r="I32" s="2966">
        <v>12211904.98</v>
      </c>
      <c r="J32" s="2966">
        <v>16250179.029999999</v>
      </c>
      <c r="K32" s="2966">
        <v>23207414.629999999</v>
      </c>
      <c r="L32" s="2966">
        <v>39484900.590000004</v>
      </c>
      <c r="M32" s="2966">
        <v>15136081.35</v>
      </c>
      <c r="N32" s="2966"/>
      <c r="O32" s="2966"/>
      <c r="P32" s="2966"/>
      <c r="Q32" s="2966"/>
      <c r="R32" s="2966"/>
      <c r="S32" s="2966"/>
      <c r="T32" s="2966"/>
      <c r="U32" s="2966"/>
      <c r="V32" s="2966"/>
      <c r="W32" s="2966"/>
      <c r="X32" s="2966"/>
      <c r="Y32" s="2966"/>
      <c r="Z32" s="2967"/>
      <c r="AA32" s="2969">
        <v>0.8</v>
      </c>
      <c r="AB32" s="2973">
        <f t="shared" si="3"/>
        <v>115022950.432</v>
      </c>
      <c r="AC32" s="2973"/>
      <c r="AD32" s="2975">
        <v>105450448.09999999</v>
      </c>
      <c r="AE32" s="2977"/>
      <c r="AF32" s="2966"/>
      <c r="AG32" s="2966"/>
      <c r="AH32" s="2966"/>
      <c r="AI32" s="2966"/>
      <c r="AJ32" s="2966"/>
      <c r="AK32" s="2973">
        <f t="shared" si="1"/>
        <v>9572502.3320000023</v>
      </c>
      <c r="AL32" s="2966"/>
      <c r="AM32" s="2966"/>
    </row>
    <row r="33" spans="1:39" ht="24.95" customHeight="1">
      <c r="A33" s="2966"/>
      <c r="B33" s="3138"/>
      <c r="C33" s="3125"/>
      <c r="D33" s="2966" t="s">
        <v>3446</v>
      </c>
      <c r="E33" s="2966" t="s">
        <v>3467</v>
      </c>
      <c r="F33" s="2966">
        <v>3750000</v>
      </c>
      <c r="G33" s="2973">
        <f t="shared" si="2"/>
        <v>3265552.93</v>
      </c>
      <c r="H33" s="2966">
        <v>940341.6</v>
      </c>
      <c r="I33" s="2966">
        <v>2325211.33</v>
      </c>
      <c r="J33" s="2966"/>
      <c r="K33" s="2966"/>
      <c r="L33" s="2966"/>
      <c r="M33" s="2966"/>
      <c r="N33" s="2966"/>
      <c r="O33" s="2966"/>
      <c r="P33" s="2966"/>
      <c r="Q33" s="2966"/>
      <c r="R33" s="2966"/>
      <c r="S33" s="2966"/>
      <c r="T33" s="2966"/>
      <c r="U33" s="2966"/>
      <c r="V33" s="2966"/>
      <c r="W33" s="2966"/>
      <c r="X33" s="2966"/>
      <c r="Y33" s="2966"/>
      <c r="Z33" s="2967"/>
      <c r="AA33" s="2969">
        <v>0.95</v>
      </c>
      <c r="AB33" s="2973">
        <f t="shared" si="3"/>
        <v>3102275.2834999999</v>
      </c>
      <c r="AC33" s="2973"/>
      <c r="AD33" s="2975">
        <v>2150000</v>
      </c>
      <c r="AE33" s="2966"/>
      <c r="AF33" s="2966"/>
      <c r="AG33" s="2966"/>
      <c r="AH33" s="2966"/>
      <c r="AI33" s="2966"/>
      <c r="AJ33" s="2966"/>
      <c r="AK33" s="2973">
        <f t="shared" si="1"/>
        <v>952275.2834999999</v>
      </c>
      <c r="AL33" s="2966"/>
      <c r="AM33" s="2966"/>
    </row>
    <row r="34" spans="1:39" ht="24.95" customHeight="1">
      <c r="A34" s="2966"/>
      <c r="B34" s="3138"/>
      <c r="C34" s="3125"/>
      <c r="D34" s="2966" t="s">
        <v>3446</v>
      </c>
      <c r="E34" s="2966" t="s">
        <v>3467</v>
      </c>
      <c r="F34" s="2966">
        <v>1500000</v>
      </c>
      <c r="G34" s="2973">
        <f t="shared" si="2"/>
        <v>1684600</v>
      </c>
      <c r="H34" s="2966">
        <v>500000</v>
      </c>
      <c r="I34" s="2966">
        <v>81259.5</v>
      </c>
      <c r="J34" s="2966">
        <v>625000</v>
      </c>
      <c r="K34" s="2966">
        <v>478340.5</v>
      </c>
      <c r="L34" s="2966"/>
      <c r="M34" s="2966"/>
      <c r="N34" s="2966"/>
      <c r="O34" s="2966"/>
      <c r="P34" s="2966"/>
      <c r="Q34" s="2966"/>
      <c r="R34" s="2966"/>
      <c r="S34" s="2966"/>
      <c r="T34" s="2966"/>
      <c r="U34" s="2966"/>
      <c r="V34" s="2966"/>
      <c r="W34" s="2966"/>
      <c r="X34" s="2966"/>
      <c r="Y34" s="2966"/>
      <c r="Z34" s="2967"/>
      <c r="AA34" s="2969">
        <v>0.95</v>
      </c>
      <c r="AB34" s="2973">
        <f t="shared" si="3"/>
        <v>1600370</v>
      </c>
      <c r="AC34" s="2973"/>
      <c r="AD34" s="2975">
        <v>965007.6</v>
      </c>
      <c r="AE34" s="2966"/>
      <c r="AF34" s="2966"/>
      <c r="AG34" s="2966"/>
      <c r="AH34" s="2966"/>
      <c r="AI34" s="2966"/>
      <c r="AJ34" s="2966"/>
      <c r="AK34" s="2973">
        <f t="shared" si="1"/>
        <v>635362.4</v>
      </c>
      <c r="AL34" s="2966"/>
      <c r="AM34" s="2966"/>
    </row>
    <row r="35" spans="1:39" ht="24.95" customHeight="1">
      <c r="A35" s="2966"/>
      <c r="B35" s="3138"/>
      <c r="C35" s="3125"/>
      <c r="D35" s="2966" t="s">
        <v>3446</v>
      </c>
      <c r="E35" s="2967" t="s">
        <v>3468</v>
      </c>
      <c r="F35" s="2966">
        <v>3950000</v>
      </c>
      <c r="G35" s="2973">
        <f t="shared" si="2"/>
        <v>7077324.4800000004</v>
      </c>
      <c r="H35" s="2966">
        <v>7077324.4800000004</v>
      </c>
      <c r="I35" s="2966"/>
      <c r="J35" s="2966"/>
      <c r="K35" s="2966"/>
      <c r="L35" s="2966"/>
      <c r="M35" s="2966"/>
      <c r="N35" s="2966"/>
      <c r="O35" s="2966"/>
      <c r="P35" s="2966"/>
      <c r="Q35" s="2966"/>
      <c r="R35" s="2966"/>
      <c r="S35" s="2966"/>
      <c r="T35" s="2966"/>
      <c r="U35" s="2966"/>
      <c r="V35" s="2966"/>
      <c r="W35" s="2966"/>
      <c r="X35" s="2966"/>
      <c r="Y35" s="2967"/>
      <c r="Z35" s="2967"/>
      <c r="AA35" s="2969">
        <v>0.97</v>
      </c>
      <c r="AB35" s="2973">
        <f t="shared" si="3"/>
        <v>6865004.7456</v>
      </c>
      <c r="AC35" s="2973"/>
      <c r="AD35" s="2975">
        <v>5750000</v>
      </c>
      <c r="AE35" s="2966"/>
      <c r="AF35" s="2966"/>
      <c r="AG35" s="2966"/>
      <c r="AH35" s="2966"/>
      <c r="AI35" s="2966"/>
      <c r="AJ35" s="2966"/>
      <c r="AK35" s="2973">
        <f t="shared" si="1"/>
        <v>1115004.7456</v>
      </c>
      <c r="AL35" s="2966"/>
      <c r="AM35" s="2966"/>
    </row>
    <row r="36" spans="1:39" ht="24.95" customHeight="1">
      <c r="A36" s="2966"/>
      <c r="B36" s="3138"/>
      <c r="C36" s="3125"/>
      <c r="D36" s="2966" t="s">
        <v>3446</v>
      </c>
      <c r="E36" s="2966" t="s">
        <v>3469</v>
      </c>
      <c r="F36" s="2966">
        <v>13660000</v>
      </c>
      <c r="G36" s="2973">
        <f t="shared" si="2"/>
        <v>10000000</v>
      </c>
      <c r="H36" s="2966">
        <v>5000000</v>
      </c>
      <c r="I36" s="2966">
        <v>1250000</v>
      </c>
      <c r="J36" s="2966">
        <v>3750000</v>
      </c>
      <c r="K36" s="2966"/>
      <c r="L36" s="2966"/>
      <c r="M36" s="2966"/>
      <c r="N36" s="2966"/>
      <c r="O36" s="2966"/>
      <c r="P36" s="2966"/>
      <c r="Q36" s="2966"/>
      <c r="R36" s="2966"/>
      <c r="S36" s="2966"/>
      <c r="T36" s="2966"/>
      <c r="U36" s="2966"/>
      <c r="V36" s="2966"/>
      <c r="W36" s="2966"/>
      <c r="X36" s="2966"/>
      <c r="Y36" s="2966"/>
      <c r="Z36" s="2967"/>
      <c r="AA36" s="2969">
        <v>0.8</v>
      </c>
      <c r="AB36" s="2973">
        <f t="shared" si="3"/>
        <v>8000000</v>
      </c>
      <c r="AC36" s="2973"/>
      <c r="AD36" s="2975">
        <f>5012352.55</f>
        <v>5012352.55</v>
      </c>
      <c r="AE36" s="2966"/>
      <c r="AF36" s="2966"/>
      <c r="AG36" s="2966"/>
      <c r="AH36" s="2966"/>
      <c r="AI36" s="2966"/>
      <c r="AJ36" s="2966"/>
      <c r="AK36" s="2973">
        <f t="shared" si="1"/>
        <v>2987647.45</v>
      </c>
      <c r="AL36" s="2966"/>
      <c r="AM36" s="2966"/>
    </row>
    <row r="37" spans="1:39" ht="24.95" customHeight="1">
      <c r="A37" s="2966"/>
      <c r="B37" s="3138"/>
      <c r="C37" s="3125"/>
      <c r="D37" s="2966" t="s">
        <v>3446</v>
      </c>
      <c r="E37" s="2967" t="s">
        <v>3470</v>
      </c>
      <c r="F37" s="2966">
        <v>20998800</v>
      </c>
      <c r="G37" s="2973">
        <f t="shared" si="2"/>
        <v>17848980</v>
      </c>
      <c r="H37" s="2966">
        <v>12000000</v>
      </c>
      <c r="I37" s="2966">
        <v>5848980</v>
      </c>
      <c r="J37" s="2966"/>
      <c r="K37" s="2966"/>
      <c r="L37" s="2966"/>
      <c r="M37" s="2966"/>
      <c r="N37" s="2966"/>
      <c r="O37" s="2966"/>
      <c r="P37" s="2966"/>
      <c r="Q37" s="2966"/>
      <c r="R37" s="2966"/>
      <c r="S37" s="2966"/>
      <c r="T37" s="2966"/>
      <c r="U37" s="2966"/>
      <c r="V37" s="2966"/>
      <c r="W37" s="2966"/>
      <c r="X37" s="2966"/>
      <c r="Y37" s="2967"/>
      <c r="Z37" s="2967"/>
      <c r="AA37" s="2969">
        <v>1</v>
      </c>
      <c r="AB37" s="2973">
        <f t="shared" si="3"/>
        <v>17848980</v>
      </c>
      <c r="AC37" s="2973"/>
      <c r="AD37" s="2975">
        <f>9500060.4+600000</f>
        <v>10100060.4</v>
      </c>
      <c r="AE37" s="2966"/>
      <c r="AF37" s="2966"/>
      <c r="AG37" s="2966"/>
      <c r="AH37" s="2966"/>
      <c r="AI37" s="2966"/>
      <c r="AJ37" s="2966"/>
      <c r="AK37" s="2973">
        <f t="shared" si="1"/>
        <v>7748919.5999999996</v>
      </c>
      <c r="AL37" s="2966"/>
      <c r="AM37" s="2966"/>
    </row>
    <row r="38" spans="1:39" ht="24.95" customHeight="1">
      <c r="A38" s="2966"/>
      <c r="B38" s="3138"/>
      <c r="C38" s="3125"/>
      <c r="D38" s="2966" t="s">
        <v>3446</v>
      </c>
      <c r="E38" s="2967" t="s">
        <v>3471</v>
      </c>
      <c r="F38" s="2966">
        <v>1785000</v>
      </c>
      <c r="G38" s="2973">
        <f t="shared" si="2"/>
        <v>1606500</v>
      </c>
      <c r="H38" s="2966">
        <v>178500</v>
      </c>
      <c r="I38" s="2966">
        <v>357000</v>
      </c>
      <c r="J38" s="2966">
        <v>535500</v>
      </c>
      <c r="K38" s="2966">
        <v>535500</v>
      </c>
      <c r="L38" s="2966"/>
      <c r="M38" s="2966"/>
      <c r="N38" s="2966"/>
      <c r="O38" s="2966"/>
      <c r="P38" s="2966"/>
      <c r="Q38" s="2966"/>
      <c r="R38" s="2966"/>
      <c r="S38" s="2966"/>
      <c r="T38" s="2966"/>
      <c r="U38" s="2966"/>
      <c r="V38" s="2966"/>
      <c r="W38" s="2966"/>
      <c r="X38" s="2966"/>
      <c r="Y38" s="2967"/>
      <c r="Z38" s="2967"/>
      <c r="AA38" s="2969">
        <v>1</v>
      </c>
      <c r="AB38" s="2973">
        <f t="shared" si="3"/>
        <v>1606500</v>
      </c>
      <c r="AC38" s="2973"/>
      <c r="AD38" s="2975">
        <f>953500+500000</f>
        <v>1453500</v>
      </c>
      <c r="AE38" s="2966"/>
      <c r="AF38" s="2966"/>
      <c r="AG38" s="2966"/>
      <c r="AH38" s="2966"/>
      <c r="AI38" s="2966"/>
      <c r="AJ38" s="2966"/>
      <c r="AK38" s="2973">
        <f t="shared" si="1"/>
        <v>153000</v>
      </c>
      <c r="AL38" s="2966"/>
      <c r="AM38" s="2966"/>
    </row>
    <row r="39" spans="1:39" ht="24.95" customHeight="1">
      <c r="A39" s="2966">
        <v>7</v>
      </c>
      <c r="B39" s="3138"/>
      <c r="C39" s="3125"/>
      <c r="D39" s="2966" t="s">
        <v>3472</v>
      </c>
      <c r="E39" s="2966" t="s">
        <v>3473</v>
      </c>
      <c r="F39" s="2966">
        <v>68000000</v>
      </c>
      <c r="G39" s="2973"/>
      <c r="H39" s="2966"/>
      <c r="I39" s="2966"/>
      <c r="J39" s="2966"/>
      <c r="K39" s="2966"/>
      <c r="L39" s="2966"/>
      <c r="M39" s="2966"/>
      <c r="N39" s="2966"/>
      <c r="O39" s="2966"/>
      <c r="P39" s="2966"/>
      <c r="Q39" s="2966"/>
      <c r="R39" s="2966"/>
      <c r="S39" s="2966"/>
      <c r="T39" s="2966"/>
      <c r="U39" s="2966"/>
      <c r="V39" s="2966"/>
      <c r="W39" s="2966"/>
      <c r="X39" s="2966"/>
      <c r="Y39" s="2966"/>
      <c r="Z39" s="2967"/>
      <c r="AA39" s="2985"/>
      <c r="AB39" s="2973">
        <f t="shared" si="3"/>
        <v>0</v>
      </c>
      <c r="AC39" s="2973"/>
      <c r="AD39" s="2975"/>
      <c r="AE39" s="2966"/>
      <c r="AF39" s="2966"/>
      <c r="AG39" s="2966"/>
      <c r="AH39" s="2966"/>
      <c r="AI39" s="2966"/>
      <c r="AJ39" s="2966"/>
      <c r="AK39" s="2973"/>
      <c r="AL39" s="2966"/>
      <c r="AM39" s="2966"/>
    </row>
    <row r="40" spans="1:39" ht="24.95" customHeight="1">
      <c r="A40" s="2966">
        <v>8</v>
      </c>
      <c r="B40" s="3138"/>
      <c r="C40" s="3125"/>
      <c r="D40" s="2966" t="s">
        <v>3472</v>
      </c>
      <c r="E40" s="2966" t="s">
        <v>3474</v>
      </c>
      <c r="F40" s="2966" t="s">
        <v>3448</v>
      </c>
      <c r="G40" s="2973"/>
      <c r="H40" s="2966"/>
      <c r="I40" s="2966"/>
      <c r="J40" s="2966"/>
      <c r="K40" s="2966"/>
      <c r="L40" s="2966"/>
      <c r="M40" s="2966"/>
      <c r="N40" s="2966"/>
      <c r="O40" s="2966"/>
      <c r="P40" s="2966"/>
      <c r="Q40" s="2966"/>
      <c r="R40" s="2966"/>
      <c r="S40" s="2966"/>
      <c r="T40" s="2966"/>
      <c r="U40" s="2966"/>
      <c r="V40" s="2966"/>
      <c r="W40" s="2966"/>
      <c r="X40" s="2966"/>
      <c r="Y40" s="2966"/>
      <c r="Z40" s="2967"/>
      <c r="AA40" s="2985"/>
      <c r="AB40" s="2973">
        <f t="shared" si="3"/>
        <v>0</v>
      </c>
      <c r="AC40" s="2973"/>
      <c r="AD40" s="2975"/>
      <c r="AE40" s="2966"/>
      <c r="AF40" s="2966"/>
      <c r="AG40" s="2966"/>
      <c r="AH40" s="2966"/>
      <c r="AI40" s="2966"/>
      <c r="AJ40" s="2966"/>
      <c r="AK40" s="2973"/>
      <c r="AL40" s="2966"/>
      <c r="AM40" s="2966"/>
    </row>
    <row r="41" spans="1:39" ht="24.95" customHeight="1">
      <c r="A41" s="2966"/>
      <c r="B41" s="3138"/>
      <c r="C41" s="3125"/>
      <c r="D41" s="2966" t="s">
        <v>3472</v>
      </c>
      <c r="E41" s="2966" t="s">
        <v>3475</v>
      </c>
      <c r="F41" s="2966">
        <v>500000</v>
      </c>
      <c r="G41" s="2973"/>
      <c r="H41" s="2966"/>
      <c r="I41" s="2966"/>
      <c r="J41" s="2966"/>
      <c r="K41" s="2966"/>
      <c r="L41" s="2966"/>
      <c r="M41" s="2966"/>
      <c r="N41" s="2966"/>
      <c r="O41" s="2966"/>
      <c r="P41" s="2966"/>
      <c r="Q41" s="2966"/>
      <c r="R41" s="2966"/>
      <c r="S41" s="2966"/>
      <c r="T41" s="2966"/>
      <c r="U41" s="2966"/>
      <c r="V41" s="2966"/>
      <c r="W41" s="2966"/>
      <c r="X41" s="2966"/>
      <c r="Y41" s="2966"/>
      <c r="Z41" s="2967"/>
      <c r="AA41" s="2985"/>
      <c r="AB41" s="2973">
        <f t="shared" si="3"/>
        <v>0</v>
      </c>
      <c r="AC41" s="2973"/>
      <c r="AD41" s="2975"/>
      <c r="AE41" s="2966"/>
      <c r="AF41" s="2966"/>
      <c r="AG41" s="2966"/>
      <c r="AH41" s="2966"/>
      <c r="AI41" s="2966"/>
      <c r="AJ41" s="2966"/>
      <c r="AK41" s="2973"/>
      <c r="AL41" s="2966"/>
      <c r="AM41" s="2966"/>
    </row>
    <row r="42" spans="1:39" ht="24.95" customHeight="1">
      <c r="A42" s="2966"/>
      <c r="B42" s="3138"/>
      <c r="C42" s="3125"/>
      <c r="D42" s="2966" t="s">
        <v>3472</v>
      </c>
      <c r="E42" s="2966" t="s">
        <v>3476</v>
      </c>
      <c r="F42" s="2966" t="s">
        <v>3448</v>
      </c>
      <c r="G42" s="2973"/>
      <c r="H42" s="2966"/>
      <c r="I42" s="2966"/>
      <c r="J42" s="2966"/>
      <c r="K42" s="2966"/>
      <c r="L42" s="2966"/>
      <c r="M42" s="2966"/>
      <c r="N42" s="2966"/>
      <c r="O42" s="2966"/>
      <c r="P42" s="2966"/>
      <c r="Q42" s="2966"/>
      <c r="R42" s="2966"/>
      <c r="S42" s="2966"/>
      <c r="T42" s="2966"/>
      <c r="U42" s="2966"/>
      <c r="V42" s="2966"/>
      <c r="W42" s="2966"/>
      <c r="X42" s="2966"/>
      <c r="Y42" s="2966"/>
      <c r="Z42" s="2967"/>
      <c r="AA42" s="2985"/>
      <c r="AB42" s="2973">
        <f t="shared" si="3"/>
        <v>0</v>
      </c>
      <c r="AC42" s="2973"/>
      <c r="AD42" s="2975"/>
      <c r="AE42" s="2966"/>
      <c r="AF42" s="2966"/>
      <c r="AG42" s="2966"/>
      <c r="AH42" s="2966"/>
      <c r="AI42" s="2966"/>
      <c r="AJ42" s="2966"/>
      <c r="AK42" s="2973"/>
      <c r="AL42" s="2966"/>
      <c r="AM42" s="2966"/>
    </row>
    <row r="43" spans="1:39" ht="24.95" customHeight="1">
      <c r="A43" s="2966"/>
      <c r="B43" s="3138"/>
      <c r="C43" s="3125"/>
      <c r="D43" s="2966" t="s">
        <v>3472</v>
      </c>
      <c r="E43" s="2966" t="s">
        <v>3477</v>
      </c>
      <c r="F43" s="2966" t="s">
        <v>3448</v>
      </c>
      <c r="G43" s="2973">
        <v>5932819.7300000004</v>
      </c>
      <c r="H43" s="2986"/>
      <c r="I43" s="2966"/>
      <c r="J43" s="2966"/>
      <c r="K43" s="2966"/>
      <c r="L43" s="2966"/>
      <c r="M43" s="2966"/>
      <c r="N43" s="2966"/>
      <c r="O43" s="2966"/>
      <c r="P43" s="2966"/>
      <c r="Q43" s="2966"/>
      <c r="R43" s="2966"/>
      <c r="S43" s="2966"/>
      <c r="T43" s="2966"/>
      <c r="U43" s="2966"/>
      <c r="V43" s="2966"/>
      <c r="W43" s="2966"/>
      <c r="X43" s="2966"/>
      <c r="Y43" s="2966"/>
      <c r="Z43" s="2967"/>
      <c r="AA43" s="2985">
        <v>1</v>
      </c>
      <c r="AB43" s="2973">
        <v>5932819.7300000004</v>
      </c>
      <c r="AC43" s="2973"/>
      <c r="AD43" s="2975">
        <v>5046337.26</v>
      </c>
      <c r="AE43" s="2966"/>
      <c r="AF43" s="2966"/>
      <c r="AG43" s="2966"/>
      <c r="AH43" s="2966"/>
      <c r="AI43" s="2966"/>
      <c r="AJ43" s="2966"/>
      <c r="AK43" s="2973">
        <f t="shared" si="1"/>
        <v>886482.47000000067</v>
      </c>
      <c r="AL43" s="2966"/>
      <c r="AM43" s="2966"/>
    </row>
    <row r="44" spans="1:39" ht="24.95" customHeight="1">
      <c r="A44" s="2966">
        <v>9</v>
      </c>
      <c r="B44" s="3138"/>
      <c r="C44" s="3125"/>
      <c r="D44" s="2966" t="s">
        <v>3472</v>
      </c>
      <c r="E44" s="2966" t="s">
        <v>3478</v>
      </c>
      <c r="F44" s="2966">
        <v>4749345.93</v>
      </c>
      <c r="G44" s="2973">
        <f t="shared" ref="G44:G50" si="4">SUM(H44:Z44)</f>
        <v>3324542.15</v>
      </c>
      <c r="H44" s="2966">
        <v>949869.19</v>
      </c>
      <c r="I44" s="2966">
        <v>2374672.96</v>
      </c>
      <c r="J44" s="2966"/>
      <c r="K44" s="2966"/>
      <c r="L44" s="2966"/>
      <c r="M44" s="2966"/>
      <c r="N44" s="2966"/>
      <c r="O44" s="2966"/>
      <c r="P44" s="2966"/>
      <c r="Q44" s="2966"/>
      <c r="R44" s="2966"/>
      <c r="S44" s="2966"/>
      <c r="T44" s="2966"/>
      <c r="U44" s="2966"/>
      <c r="V44" s="2966"/>
      <c r="W44" s="2966"/>
      <c r="X44" s="2966"/>
      <c r="Y44" s="2966"/>
      <c r="Z44" s="2967"/>
      <c r="AA44" s="2985">
        <v>1</v>
      </c>
      <c r="AB44" s="2973">
        <f t="shared" si="3"/>
        <v>3324542.15</v>
      </c>
      <c r="AC44" s="2973"/>
      <c r="AD44" s="2975">
        <v>2200000</v>
      </c>
      <c r="AE44" s="2966"/>
      <c r="AF44" s="2966"/>
      <c r="AG44" s="2966"/>
      <c r="AH44" s="2966"/>
      <c r="AI44" s="2966"/>
      <c r="AJ44" s="2966"/>
      <c r="AK44" s="2973">
        <f t="shared" si="1"/>
        <v>1124542.1499999999</v>
      </c>
      <c r="AL44" s="2966"/>
      <c r="AM44" s="2966"/>
    </row>
    <row r="45" spans="1:39" ht="24.95" customHeight="1">
      <c r="A45" s="2966"/>
      <c r="B45" s="3138"/>
      <c r="C45" s="3125"/>
      <c r="D45" s="2966" t="s">
        <v>3472</v>
      </c>
      <c r="E45" s="2966" t="s">
        <v>3453</v>
      </c>
      <c r="F45" s="2966" t="s">
        <v>3448</v>
      </c>
      <c r="G45" s="2973">
        <f t="shared" si="4"/>
        <v>2618311.1</v>
      </c>
      <c r="H45" s="2966">
        <v>2618311.1</v>
      </c>
      <c r="I45" s="2966"/>
      <c r="J45" s="2966"/>
      <c r="K45" s="2966"/>
      <c r="L45" s="2966"/>
      <c r="M45" s="2966"/>
      <c r="N45" s="2966"/>
      <c r="O45" s="2966"/>
      <c r="P45" s="2966"/>
      <c r="Q45" s="2966"/>
      <c r="R45" s="2966"/>
      <c r="S45" s="2966"/>
      <c r="T45" s="2966"/>
      <c r="U45" s="2966"/>
      <c r="V45" s="2966"/>
      <c r="W45" s="2966"/>
      <c r="X45" s="2966"/>
      <c r="Y45" s="2966"/>
      <c r="Z45" s="2967"/>
      <c r="AA45" s="2985">
        <v>0.97</v>
      </c>
      <c r="AB45" s="2973">
        <f t="shared" si="3"/>
        <v>2539761.767</v>
      </c>
      <c r="AC45" s="2973"/>
      <c r="AD45" s="2975">
        <v>2300000</v>
      </c>
      <c r="AE45" s="2966"/>
      <c r="AF45" s="2966"/>
      <c r="AG45" s="2966"/>
      <c r="AH45" s="2966"/>
      <c r="AI45" s="2966"/>
      <c r="AJ45" s="2966"/>
      <c r="AK45" s="2973">
        <f t="shared" si="1"/>
        <v>239761.76699999999</v>
      </c>
      <c r="AL45" s="2966"/>
      <c r="AM45" s="2966"/>
    </row>
    <row r="46" spans="1:39" ht="24.95" customHeight="1">
      <c r="A46" s="2966"/>
      <c r="B46" s="3139"/>
      <c r="C46" s="3126"/>
      <c r="D46" s="2966" t="s">
        <v>3472</v>
      </c>
      <c r="E46" s="2966" t="s">
        <v>3479</v>
      </c>
      <c r="F46" s="2966">
        <v>6000000</v>
      </c>
      <c r="G46" s="2973">
        <v>4672479.75</v>
      </c>
      <c r="H46" s="2966">
        <v>3000000</v>
      </c>
      <c r="I46" s="2966">
        <v>1390531.35</v>
      </c>
      <c r="J46" s="2966"/>
      <c r="K46" s="2966"/>
      <c r="L46" s="2966"/>
      <c r="M46" s="2966"/>
      <c r="N46" s="2966"/>
      <c r="O46" s="2966"/>
      <c r="P46" s="2966"/>
      <c r="Q46" s="2966"/>
      <c r="R46" s="2966"/>
      <c r="S46" s="2966"/>
      <c r="T46" s="2966"/>
      <c r="U46" s="2966"/>
      <c r="V46" s="2966"/>
      <c r="W46" s="2966"/>
      <c r="X46" s="2966"/>
      <c r="Y46" s="2966"/>
      <c r="Z46" s="2967"/>
      <c r="AA46" s="2985">
        <v>0.97</v>
      </c>
      <c r="AB46" s="2973">
        <f t="shared" si="3"/>
        <v>4532305.3574999999</v>
      </c>
      <c r="AC46" s="2973"/>
      <c r="AD46" s="2975">
        <v>4672479.75</v>
      </c>
      <c r="AE46" s="2966"/>
      <c r="AF46" s="2966"/>
      <c r="AG46" s="2966"/>
      <c r="AH46" s="2966"/>
      <c r="AI46" s="2966"/>
      <c r="AJ46" s="2966"/>
      <c r="AK46" s="2973">
        <f t="shared" si="1"/>
        <v>-140174.39250000007</v>
      </c>
      <c r="AL46" s="2966"/>
      <c r="AM46" s="2966"/>
    </row>
    <row r="47" spans="1:39" ht="24.95" customHeight="1">
      <c r="A47" s="2966">
        <v>13</v>
      </c>
      <c r="B47" s="3127" t="s">
        <v>3480</v>
      </c>
      <c r="C47" s="3128">
        <v>18903000</v>
      </c>
      <c r="D47" s="2966" t="s">
        <v>3481</v>
      </c>
      <c r="E47" s="2966"/>
      <c r="F47" s="2966"/>
      <c r="G47" s="2973">
        <f t="shared" si="4"/>
        <v>2051384.5100000002</v>
      </c>
      <c r="H47" s="2966">
        <v>0</v>
      </c>
      <c r="I47" s="2966">
        <v>273446.01</v>
      </c>
      <c r="J47" s="2966">
        <v>78818.19</v>
      </c>
      <c r="K47" s="2966">
        <v>1252962.33</v>
      </c>
      <c r="L47" s="2966">
        <v>0</v>
      </c>
      <c r="M47" s="2966">
        <v>0</v>
      </c>
      <c r="N47" s="2966">
        <v>0</v>
      </c>
      <c r="O47" s="2966">
        <v>164856.82999999999</v>
      </c>
      <c r="P47" s="2966">
        <v>281301.15000000002</v>
      </c>
      <c r="Q47" s="2966">
        <v>0</v>
      </c>
      <c r="R47" s="2966">
        <v>0</v>
      </c>
      <c r="S47" s="2966">
        <v>0</v>
      </c>
      <c r="T47" s="2966">
        <v>0</v>
      </c>
      <c r="U47" s="2966">
        <v>0</v>
      </c>
      <c r="V47" s="2966">
        <v>0</v>
      </c>
      <c r="W47" s="2966">
        <v>0</v>
      </c>
      <c r="X47" s="2966">
        <v>0</v>
      </c>
      <c r="Y47" s="2966">
        <v>0</v>
      </c>
      <c r="Z47" s="2966">
        <v>0</v>
      </c>
      <c r="AA47" s="2985"/>
      <c r="AB47" s="2973">
        <f t="shared" si="3"/>
        <v>0</v>
      </c>
      <c r="AC47" s="2973"/>
      <c r="AD47" s="2987"/>
      <c r="AE47" s="2966"/>
      <c r="AF47" s="2966"/>
      <c r="AG47" s="2966"/>
      <c r="AH47" s="2966"/>
      <c r="AI47" s="2966"/>
      <c r="AJ47" s="2966"/>
      <c r="AK47" s="2973"/>
      <c r="AL47" s="2966"/>
      <c r="AM47" s="2966"/>
    </row>
    <row r="48" spans="1:39" ht="24.95" customHeight="1">
      <c r="A48" s="2966">
        <v>14</v>
      </c>
      <c r="B48" s="3127"/>
      <c r="C48" s="3128"/>
      <c r="D48" s="2966" t="s">
        <v>3482</v>
      </c>
      <c r="E48" s="2966"/>
      <c r="F48" s="2966"/>
      <c r="G48" s="2973">
        <f t="shared" si="4"/>
        <v>0</v>
      </c>
      <c r="H48" s="2966"/>
      <c r="I48" s="2966"/>
      <c r="J48" s="2966"/>
      <c r="K48" s="2966"/>
      <c r="L48" s="2966"/>
      <c r="M48" s="2966"/>
      <c r="N48" s="2966"/>
      <c r="O48" s="2966"/>
      <c r="P48" s="2966"/>
      <c r="Q48" s="2966"/>
      <c r="R48" s="2966"/>
      <c r="S48" s="2966"/>
      <c r="T48" s="2966"/>
      <c r="U48" s="2966"/>
      <c r="V48" s="2966"/>
      <c r="W48" s="2966"/>
      <c r="X48" s="2966"/>
      <c r="Y48" s="2966"/>
      <c r="Z48" s="2966"/>
      <c r="AA48" s="2985"/>
      <c r="AB48" s="2973">
        <f t="shared" si="3"/>
        <v>0</v>
      </c>
      <c r="AC48" s="2973"/>
      <c r="AD48" s="2987"/>
      <c r="AE48" s="2966"/>
      <c r="AF48" s="2966"/>
      <c r="AG48" s="2966"/>
      <c r="AH48" s="2966"/>
      <c r="AI48" s="2966"/>
      <c r="AJ48" s="2966"/>
      <c r="AK48" s="2973"/>
      <c r="AL48" s="2966"/>
      <c r="AM48" s="2966"/>
    </row>
    <row r="49" spans="1:39" ht="24.95" customHeight="1">
      <c r="A49" s="2966">
        <v>15</v>
      </c>
      <c r="B49" s="3127"/>
      <c r="C49" s="3128"/>
      <c r="D49" s="2966" t="s">
        <v>3483</v>
      </c>
      <c r="E49" s="2966"/>
      <c r="F49" s="2966"/>
      <c r="G49" s="2973">
        <f t="shared" si="4"/>
        <v>0</v>
      </c>
      <c r="H49" s="2966"/>
      <c r="I49" s="2966"/>
      <c r="J49" s="2966"/>
      <c r="K49" s="2966"/>
      <c r="L49" s="2966"/>
      <c r="M49" s="2966"/>
      <c r="N49" s="2966"/>
      <c r="O49" s="2966"/>
      <c r="P49" s="2966"/>
      <c r="Q49" s="2966"/>
      <c r="R49" s="2966"/>
      <c r="S49" s="2966"/>
      <c r="T49" s="2966"/>
      <c r="U49" s="2966"/>
      <c r="V49" s="2966"/>
      <c r="W49" s="2966"/>
      <c r="X49" s="2966"/>
      <c r="Y49" s="2966"/>
      <c r="Z49" s="2966"/>
      <c r="AA49" s="2985"/>
      <c r="AB49" s="2973">
        <f t="shared" si="3"/>
        <v>0</v>
      </c>
      <c r="AC49" s="2973"/>
      <c r="AD49" s="2987"/>
      <c r="AE49" s="2966"/>
      <c r="AF49" s="2966"/>
      <c r="AG49" s="2966"/>
      <c r="AH49" s="2966"/>
      <c r="AI49" s="2966"/>
      <c r="AJ49" s="2966"/>
      <c r="AK49" s="2973"/>
      <c r="AL49" s="2966"/>
      <c r="AM49" s="2966"/>
    </row>
    <row r="50" spans="1:39" ht="24.95" customHeight="1">
      <c r="A50" s="2966">
        <v>17</v>
      </c>
      <c r="B50" s="3127" t="s">
        <v>3484</v>
      </c>
      <c r="C50" s="3128">
        <v>3928000</v>
      </c>
      <c r="D50" s="2966" t="s">
        <v>3485</v>
      </c>
      <c r="E50" s="2966"/>
      <c r="F50" s="2966"/>
      <c r="G50" s="3129">
        <f t="shared" si="4"/>
        <v>6048700.4300000016</v>
      </c>
      <c r="H50" s="3124">
        <v>10065.799999999999</v>
      </c>
      <c r="I50" s="3124">
        <v>14098</v>
      </c>
      <c r="J50" s="3124">
        <v>75348.539999999994</v>
      </c>
      <c r="K50" s="3124">
        <v>0</v>
      </c>
      <c r="L50" s="3124">
        <v>383950</v>
      </c>
      <c r="M50" s="3124">
        <v>415413.92</v>
      </c>
      <c r="N50" s="3124">
        <v>58430</v>
      </c>
      <c r="O50" s="3124">
        <v>1293621.73</v>
      </c>
      <c r="P50" s="3124">
        <v>36709</v>
      </c>
      <c r="Q50" s="3124">
        <v>16947</v>
      </c>
      <c r="R50" s="3124">
        <v>1111195.53</v>
      </c>
      <c r="S50" s="3124">
        <v>32400</v>
      </c>
      <c r="T50" s="3124">
        <v>1542454.1</v>
      </c>
      <c r="U50" s="3124">
        <v>0</v>
      </c>
      <c r="V50" s="3124">
        <v>527623.31000000006</v>
      </c>
      <c r="W50" s="3124">
        <v>31629</v>
      </c>
      <c r="X50" s="3124">
        <v>498814.5</v>
      </c>
      <c r="Y50" s="3124">
        <v>0</v>
      </c>
      <c r="Z50" s="3124">
        <v>0</v>
      </c>
      <c r="AA50" s="3134"/>
      <c r="AB50" s="2973">
        <f t="shared" si="3"/>
        <v>0</v>
      </c>
      <c r="AC50" s="2973"/>
      <c r="AD50" s="2987"/>
      <c r="AE50" s="2966"/>
      <c r="AF50" s="2966"/>
      <c r="AG50" s="2966"/>
      <c r="AH50" s="2966"/>
      <c r="AI50" s="2966"/>
      <c r="AJ50" s="2966"/>
      <c r="AK50" s="2973"/>
      <c r="AL50" s="2966"/>
      <c r="AM50" s="2966"/>
    </row>
    <row r="51" spans="1:39" ht="24.95" customHeight="1">
      <c r="A51" s="2966">
        <v>18</v>
      </c>
      <c r="B51" s="3127"/>
      <c r="C51" s="3128"/>
      <c r="D51" s="2966" t="s">
        <v>3486</v>
      </c>
      <c r="E51" s="2966"/>
      <c r="F51" s="2966"/>
      <c r="G51" s="3130"/>
      <c r="H51" s="3125"/>
      <c r="I51" s="3125"/>
      <c r="J51" s="3125"/>
      <c r="K51" s="3125"/>
      <c r="L51" s="3125"/>
      <c r="M51" s="3125"/>
      <c r="N51" s="3125"/>
      <c r="O51" s="3125"/>
      <c r="P51" s="3125"/>
      <c r="Q51" s="3125"/>
      <c r="R51" s="3125"/>
      <c r="S51" s="3125"/>
      <c r="T51" s="3125"/>
      <c r="U51" s="3125"/>
      <c r="V51" s="3125"/>
      <c r="W51" s="3125"/>
      <c r="X51" s="3125"/>
      <c r="Y51" s="3125"/>
      <c r="Z51" s="3125"/>
      <c r="AA51" s="3135"/>
      <c r="AB51" s="2973">
        <f t="shared" si="3"/>
        <v>0</v>
      </c>
      <c r="AC51" s="2973"/>
      <c r="AD51" s="2987"/>
      <c r="AE51" s="2966"/>
      <c r="AF51" s="2966"/>
      <c r="AG51" s="2966"/>
      <c r="AH51" s="2966"/>
      <c r="AI51" s="2966"/>
      <c r="AJ51" s="2966"/>
      <c r="AK51" s="2973"/>
      <c r="AL51" s="2966"/>
      <c r="AM51" s="2966"/>
    </row>
    <row r="52" spans="1:39" ht="24.95" customHeight="1">
      <c r="A52" s="2966">
        <v>19</v>
      </c>
      <c r="B52" s="3127"/>
      <c r="C52" s="3128"/>
      <c r="D52" s="2966" t="s">
        <v>3487</v>
      </c>
      <c r="E52" s="2966"/>
      <c r="F52" s="2966"/>
      <c r="G52" s="3131"/>
      <c r="H52" s="3126"/>
      <c r="I52" s="3126"/>
      <c r="J52" s="3126"/>
      <c r="K52" s="3126"/>
      <c r="L52" s="3126"/>
      <c r="M52" s="3126"/>
      <c r="N52" s="3126"/>
      <c r="O52" s="3126"/>
      <c r="P52" s="3126"/>
      <c r="Q52" s="3126"/>
      <c r="R52" s="3126"/>
      <c r="S52" s="3126"/>
      <c r="T52" s="3126"/>
      <c r="U52" s="3126"/>
      <c r="V52" s="3126"/>
      <c r="W52" s="3126"/>
      <c r="X52" s="3126"/>
      <c r="Y52" s="3126"/>
      <c r="Z52" s="3126"/>
      <c r="AA52" s="3136"/>
      <c r="AB52" s="2973">
        <f t="shared" si="3"/>
        <v>0</v>
      </c>
      <c r="AC52" s="2973"/>
      <c r="AD52" s="2987"/>
      <c r="AE52" s="2966"/>
      <c r="AF52" s="2966"/>
      <c r="AG52" s="2966"/>
      <c r="AH52" s="2966"/>
      <c r="AI52" s="2966"/>
      <c r="AJ52" s="2966"/>
      <c r="AK52" s="2973"/>
      <c r="AL52" s="2966"/>
      <c r="AM52" s="2966"/>
    </row>
    <row r="53" spans="1:39" ht="24.95" customHeight="1">
      <c r="A53" s="2966">
        <v>21</v>
      </c>
      <c r="B53" s="2988" t="s">
        <v>3488</v>
      </c>
      <c r="C53" s="2989">
        <v>2720000</v>
      </c>
      <c r="D53" s="2989" t="s">
        <v>3489</v>
      </c>
      <c r="E53" s="2966"/>
      <c r="F53" s="2966"/>
      <c r="G53" s="2990">
        <f>SUM(H53:Z53)</f>
        <v>2145503.02</v>
      </c>
      <c r="H53" s="2970">
        <v>0</v>
      </c>
      <c r="I53" s="2970">
        <v>0</v>
      </c>
      <c r="J53" s="2970">
        <v>0</v>
      </c>
      <c r="K53" s="2970">
        <v>385602.69</v>
      </c>
      <c r="L53" s="2970">
        <v>220452.65</v>
      </c>
      <c r="M53" s="2970">
        <v>146784.4</v>
      </c>
      <c r="N53" s="2970">
        <v>174739.35</v>
      </c>
      <c r="O53" s="2970">
        <v>241410.89</v>
      </c>
      <c r="P53" s="2970">
        <v>223788.72</v>
      </c>
      <c r="Q53" s="2970">
        <v>0</v>
      </c>
      <c r="R53" s="2970">
        <v>0</v>
      </c>
      <c r="S53" s="2970">
        <v>364500.2</v>
      </c>
      <c r="T53" s="2970">
        <v>182450.62</v>
      </c>
      <c r="U53" s="2970">
        <v>0</v>
      </c>
      <c r="V53" s="2970">
        <v>150606.82999999999</v>
      </c>
      <c r="W53" s="2970">
        <v>45520.17</v>
      </c>
      <c r="X53" s="2970">
        <v>0</v>
      </c>
      <c r="Y53" s="2970">
        <v>9646.5</v>
      </c>
      <c r="Z53" s="2970">
        <v>0</v>
      </c>
      <c r="AA53" s="2991"/>
      <c r="AB53" s="2973">
        <f t="shared" si="3"/>
        <v>0</v>
      </c>
      <c r="AC53" s="2973"/>
      <c r="AD53" s="2987"/>
      <c r="AE53" s="2966"/>
      <c r="AF53" s="2966"/>
      <c r="AG53" s="2966"/>
      <c r="AH53" s="2966"/>
      <c r="AI53" s="2966"/>
      <c r="AJ53" s="2966"/>
      <c r="AK53" s="2973"/>
      <c r="AL53" s="2966"/>
      <c r="AM53" s="2966"/>
    </row>
    <row r="54" spans="1:39" ht="24.95" customHeight="1">
      <c r="A54" s="2966">
        <v>22</v>
      </c>
      <c r="B54" s="2988"/>
      <c r="C54" s="2992"/>
      <c r="D54" s="2992"/>
      <c r="E54" s="2993" t="s">
        <v>3490</v>
      </c>
      <c r="F54" s="2994">
        <v>75948688</v>
      </c>
      <c r="G54" s="2995"/>
      <c r="H54" s="2996"/>
      <c r="I54" s="2996"/>
      <c r="J54" s="2996"/>
      <c r="K54" s="2996"/>
      <c r="L54" s="2996"/>
      <c r="M54" s="2996"/>
      <c r="N54" s="2996"/>
      <c r="O54" s="2996"/>
      <c r="P54" s="2996"/>
      <c r="Q54" s="2996"/>
      <c r="R54" s="2996"/>
      <c r="S54" s="2996"/>
      <c r="T54" s="2996"/>
      <c r="U54" s="2996"/>
      <c r="V54" s="2996"/>
      <c r="W54" s="2996"/>
      <c r="X54" s="2996"/>
      <c r="Y54" s="2996"/>
      <c r="Z54" s="2996"/>
      <c r="AA54" s="2997"/>
      <c r="AB54" s="2973"/>
      <c r="AC54" s="2973"/>
      <c r="AD54" s="2998">
        <v>41500000</v>
      </c>
      <c r="AE54" s="2966"/>
      <c r="AF54" s="2966"/>
      <c r="AG54" s="2966"/>
      <c r="AH54" s="2966"/>
      <c r="AI54" s="2966"/>
      <c r="AJ54" s="2966"/>
      <c r="AK54" s="2973">
        <f>F54-AD54</f>
        <v>34448688</v>
      </c>
      <c r="AL54" s="2966"/>
      <c r="AM54" s="2966"/>
    </row>
    <row r="55" spans="1:39" ht="24.95" customHeight="1">
      <c r="A55" s="2966">
        <v>23</v>
      </c>
      <c r="B55" s="2988"/>
      <c r="C55" s="2992"/>
      <c r="D55" s="2992"/>
      <c r="E55" s="2993" t="s">
        <v>3491</v>
      </c>
      <c r="F55" s="2966">
        <v>22760000</v>
      </c>
      <c r="G55" s="2995"/>
      <c r="H55" s="2996"/>
      <c r="I55" s="2996"/>
      <c r="J55" s="2996"/>
      <c r="K55" s="2996"/>
      <c r="L55" s="2996"/>
      <c r="M55" s="2996"/>
      <c r="N55" s="2996"/>
      <c r="O55" s="2996"/>
      <c r="P55" s="2996"/>
      <c r="Q55" s="2996"/>
      <c r="R55" s="2996"/>
      <c r="S55" s="2996"/>
      <c r="T55" s="2996"/>
      <c r="U55" s="2996"/>
      <c r="V55" s="2996"/>
      <c r="W55" s="2996"/>
      <c r="X55" s="2996"/>
      <c r="Y55" s="2996"/>
      <c r="Z55" s="2996"/>
      <c r="AA55" s="2997"/>
      <c r="AB55" s="2973"/>
      <c r="AC55" s="2973"/>
      <c r="AD55" s="2999">
        <f>4000000+3000000+3000000</f>
        <v>10000000</v>
      </c>
      <c r="AE55" s="2966"/>
      <c r="AF55" s="2966"/>
      <c r="AG55" s="2966"/>
      <c r="AH55" s="2966"/>
      <c r="AI55" s="2966"/>
      <c r="AJ55" s="2966"/>
      <c r="AK55" s="2973">
        <f>F55-AD55</f>
        <v>12760000</v>
      </c>
      <c r="AL55" s="2966"/>
      <c r="AM55" s="2966"/>
    </row>
    <row r="56" spans="1:39" ht="24.95" customHeight="1">
      <c r="A56" s="2966">
        <v>24</v>
      </c>
      <c r="B56" s="2988"/>
      <c r="C56" s="2992"/>
      <c r="D56" s="2992"/>
      <c r="E56" s="2993" t="s">
        <v>3492</v>
      </c>
      <c r="F56" s="2994">
        <v>11400000</v>
      </c>
      <c r="G56" s="2995"/>
      <c r="H56" s="2996"/>
      <c r="I56" s="2996"/>
      <c r="J56" s="2996"/>
      <c r="K56" s="2996"/>
      <c r="L56" s="2996"/>
      <c r="M56" s="2996"/>
      <c r="N56" s="2996"/>
      <c r="O56" s="2996"/>
      <c r="P56" s="2996"/>
      <c r="Q56" s="2996"/>
      <c r="R56" s="2996"/>
      <c r="S56" s="2996"/>
      <c r="T56" s="2996"/>
      <c r="U56" s="2996"/>
      <c r="V56" s="2996"/>
      <c r="W56" s="2996"/>
      <c r="X56" s="2996"/>
      <c r="Y56" s="2996"/>
      <c r="Z56" s="2996"/>
      <c r="AA56" s="2997"/>
      <c r="AB56" s="2973"/>
      <c r="AC56" s="2973"/>
      <c r="AD56" s="2998">
        <v>7000000</v>
      </c>
      <c r="AE56" s="2966"/>
      <c r="AF56" s="2966"/>
      <c r="AG56" s="2966"/>
      <c r="AH56" s="2966"/>
      <c r="AI56" s="2966"/>
      <c r="AJ56" s="2966"/>
      <c r="AK56" s="2973">
        <f t="shared" ref="AK56:AK103" si="5">F56-AD56</f>
        <v>4400000</v>
      </c>
      <c r="AL56" s="2966"/>
      <c r="AM56" s="2966"/>
    </row>
    <row r="57" spans="1:39" ht="24.95" customHeight="1">
      <c r="A57" s="2966">
        <v>25</v>
      </c>
      <c r="B57" s="2988"/>
      <c r="C57" s="2992"/>
      <c r="D57" s="2992"/>
      <c r="E57" s="2993" t="s">
        <v>3493</v>
      </c>
      <c r="F57" s="2994">
        <v>9680000</v>
      </c>
      <c r="G57" s="2995"/>
      <c r="H57" s="2996"/>
      <c r="I57" s="2996"/>
      <c r="J57" s="2996"/>
      <c r="K57" s="2996"/>
      <c r="L57" s="2996"/>
      <c r="M57" s="2996"/>
      <c r="N57" s="2996"/>
      <c r="O57" s="2996"/>
      <c r="P57" s="2996"/>
      <c r="Q57" s="2996"/>
      <c r="R57" s="2996"/>
      <c r="S57" s="2996"/>
      <c r="T57" s="2996"/>
      <c r="U57" s="2996"/>
      <c r="V57" s="2996"/>
      <c r="W57" s="2996"/>
      <c r="X57" s="2996"/>
      <c r="Y57" s="2996"/>
      <c r="Z57" s="2996"/>
      <c r="AA57" s="2997"/>
      <c r="AB57" s="2973"/>
      <c r="AC57" s="2973"/>
      <c r="AD57" s="2998">
        <v>6000000</v>
      </c>
      <c r="AE57" s="2966"/>
      <c r="AF57" s="2966"/>
      <c r="AG57" s="2966"/>
      <c r="AH57" s="2966"/>
      <c r="AI57" s="2966"/>
      <c r="AJ57" s="2966"/>
      <c r="AK57" s="2973">
        <f t="shared" si="5"/>
        <v>3680000</v>
      </c>
      <c r="AL57" s="2966"/>
      <c r="AM57" s="2966"/>
    </row>
    <row r="58" spans="1:39" ht="24.95" customHeight="1">
      <c r="A58" s="2966">
        <v>26</v>
      </c>
      <c r="B58" s="2988"/>
      <c r="C58" s="2992"/>
      <c r="D58" s="2992"/>
      <c r="E58" s="2993" t="s">
        <v>3494</v>
      </c>
      <c r="F58" s="2994">
        <v>5564810.4000000004</v>
      </c>
      <c r="G58" s="2995"/>
      <c r="H58" s="2996"/>
      <c r="I58" s="2996"/>
      <c r="J58" s="2996"/>
      <c r="K58" s="2996"/>
      <c r="L58" s="2996"/>
      <c r="M58" s="2996"/>
      <c r="N58" s="2996"/>
      <c r="O58" s="2996"/>
      <c r="P58" s="2996"/>
      <c r="Q58" s="2996"/>
      <c r="R58" s="2996"/>
      <c r="S58" s="2996"/>
      <c r="T58" s="2996"/>
      <c r="U58" s="2996"/>
      <c r="V58" s="2996"/>
      <c r="W58" s="2996"/>
      <c r="X58" s="2996"/>
      <c r="Y58" s="2996"/>
      <c r="Z58" s="2996"/>
      <c r="AA58" s="2997"/>
      <c r="AB58" s="2973"/>
      <c r="AC58" s="2973"/>
      <c r="AD58" s="2998">
        <v>4900000</v>
      </c>
      <c r="AE58" s="2966"/>
      <c r="AF58" s="2966"/>
      <c r="AG58" s="2966"/>
      <c r="AH58" s="2966"/>
      <c r="AI58" s="2966"/>
      <c r="AJ58" s="2966"/>
      <c r="AK58" s="2973">
        <f t="shared" si="5"/>
        <v>664810.40000000037</v>
      </c>
      <c r="AL58" s="2966"/>
      <c r="AM58" s="2966"/>
    </row>
    <row r="59" spans="1:39" ht="24.95" customHeight="1">
      <c r="A59" s="2966">
        <v>27</v>
      </c>
      <c r="B59" s="2988"/>
      <c r="C59" s="2992"/>
      <c r="D59" s="2992"/>
      <c r="E59" s="3000" t="s">
        <v>3495</v>
      </c>
      <c r="F59" s="3001">
        <v>4674150</v>
      </c>
      <c r="G59" s="2995"/>
      <c r="H59" s="2996"/>
      <c r="I59" s="2996"/>
      <c r="J59" s="2996"/>
      <c r="K59" s="2996"/>
      <c r="L59" s="2996"/>
      <c r="M59" s="2996"/>
      <c r="N59" s="2996"/>
      <c r="O59" s="2996"/>
      <c r="P59" s="2996"/>
      <c r="Q59" s="2996"/>
      <c r="R59" s="2996"/>
      <c r="S59" s="2996"/>
      <c r="T59" s="2996"/>
      <c r="U59" s="2996"/>
      <c r="V59" s="2996"/>
      <c r="W59" s="2996"/>
      <c r="X59" s="2996"/>
      <c r="Y59" s="2996"/>
      <c r="Z59" s="2996"/>
      <c r="AA59" s="2997"/>
      <c r="AB59" s="2973"/>
      <c r="AC59" s="2973"/>
      <c r="AD59" s="2998">
        <v>3000000</v>
      </c>
      <c r="AE59" s="2966"/>
      <c r="AF59" s="2966"/>
      <c r="AG59" s="2966"/>
      <c r="AH59" s="2966"/>
      <c r="AI59" s="2966"/>
      <c r="AJ59" s="2966"/>
      <c r="AK59" s="2973">
        <f t="shared" si="5"/>
        <v>1674150</v>
      </c>
      <c r="AL59" s="2966"/>
      <c r="AM59" s="2966"/>
    </row>
    <row r="60" spans="1:39" ht="24.95" customHeight="1">
      <c r="A60" s="2966">
        <v>28</v>
      </c>
      <c r="B60" s="2988"/>
      <c r="C60" s="2992"/>
      <c r="D60" s="2992"/>
      <c r="E60" s="2993" t="s">
        <v>3495</v>
      </c>
      <c r="F60" s="2994">
        <v>3240000</v>
      </c>
      <c r="G60" s="2995"/>
      <c r="H60" s="2996"/>
      <c r="I60" s="2996"/>
      <c r="J60" s="2996"/>
      <c r="K60" s="2996"/>
      <c r="L60" s="2996"/>
      <c r="M60" s="2996"/>
      <c r="N60" s="2996"/>
      <c r="O60" s="2996"/>
      <c r="P60" s="2996"/>
      <c r="Q60" s="2996"/>
      <c r="R60" s="2996"/>
      <c r="S60" s="2996"/>
      <c r="T60" s="2996"/>
      <c r="U60" s="2996"/>
      <c r="V60" s="2996"/>
      <c r="W60" s="2996"/>
      <c r="X60" s="2996"/>
      <c r="Y60" s="2996"/>
      <c r="Z60" s="2996"/>
      <c r="AA60" s="2997"/>
      <c r="AB60" s="2973"/>
      <c r="AC60" s="2973"/>
      <c r="AD60" s="2998">
        <f>897628.2+200000</f>
        <v>1097628.2</v>
      </c>
      <c r="AE60" s="2966"/>
      <c r="AF60" s="2966"/>
      <c r="AG60" s="2966"/>
      <c r="AH60" s="2966"/>
      <c r="AI60" s="2966"/>
      <c r="AJ60" s="2966"/>
      <c r="AK60" s="2973">
        <f t="shared" si="5"/>
        <v>2142371.7999999998</v>
      </c>
      <c r="AL60" s="2966"/>
      <c r="AM60" s="2966"/>
    </row>
    <row r="61" spans="1:39" ht="24.95" customHeight="1">
      <c r="A61" s="2966">
        <v>29</v>
      </c>
      <c r="B61" s="2988"/>
      <c r="C61" s="2992"/>
      <c r="D61" s="2992"/>
      <c r="E61" s="2993" t="s">
        <v>3496</v>
      </c>
      <c r="F61" s="2994">
        <v>2992094</v>
      </c>
      <c r="G61" s="2995"/>
      <c r="H61" s="2996"/>
      <c r="I61" s="2996"/>
      <c r="J61" s="2996"/>
      <c r="K61" s="2996"/>
      <c r="L61" s="2996"/>
      <c r="M61" s="2996"/>
      <c r="N61" s="2996"/>
      <c r="O61" s="2996"/>
      <c r="P61" s="2996"/>
      <c r="Q61" s="2996"/>
      <c r="R61" s="2996"/>
      <c r="S61" s="2996"/>
      <c r="T61" s="2996"/>
      <c r="U61" s="2996"/>
      <c r="V61" s="2996"/>
      <c r="W61" s="2996"/>
      <c r="X61" s="2996"/>
      <c r="Y61" s="2996"/>
      <c r="Z61" s="2996"/>
      <c r="AA61" s="2997"/>
      <c r="AB61" s="2973"/>
      <c r="AC61" s="2973"/>
      <c r="AD61" s="2998">
        <f>897628.2+200000</f>
        <v>1097628.2</v>
      </c>
      <c r="AE61" s="2966"/>
      <c r="AF61" s="2966"/>
      <c r="AG61" s="2966"/>
      <c r="AH61" s="2966"/>
      <c r="AI61" s="2966"/>
      <c r="AJ61" s="2966"/>
      <c r="AK61" s="2973">
        <f t="shared" si="5"/>
        <v>1894465.8</v>
      </c>
      <c r="AL61" s="2966"/>
      <c r="AM61" s="2966"/>
    </row>
    <row r="62" spans="1:39" ht="24.95" customHeight="1">
      <c r="A62" s="2966">
        <v>30</v>
      </c>
      <c r="B62" s="2988"/>
      <c r="C62" s="2992"/>
      <c r="D62" s="2992"/>
      <c r="E62" s="3002" t="s">
        <v>3497</v>
      </c>
      <c r="F62" s="3003">
        <v>4504847.0999999996</v>
      </c>
      <c r="G62" s="2995"/>
      <c r="H62" s="2996"/>
      <c r="I62" s="2996"/>
      <c r="J62" s="2996"/>
      <c r="K62" s="2996"/>
      <c r="L62" s="2996"/>
      <c r="M62" s="2996"/>
      <c r="N62" s="2996"/>
      <c r="O62" s="2996"/>
      <c r="P62" s="2996"/>
      <c r="Q62" s="2996"/>
      <c r="R62" s="2996"/>
      <c r="S62" s="2996"/>
      <c r="T62" s="2996"/>
      <c r="U62" s="2996"/>
      <c r="V62" s="2996"/>
      <c r="W62" s="2996"/>
      <c r="X62" s="2996"/>
      <c r="Y62" s="2996"/>
      <c r="Z62" s="2996"/>
      <c r="AA62" s="2997"/>
      <c r="AB62" s="2973"/>
      <c r="AC62" s="2973"/>
      <c r="AD62" s="3004">
        <v>4100000</v>
      </c>
      <c r="AE62" s="2966"/>
      <c r="AF62" s="2966"/>
      <c r="AG62" s="2966"/>
      <c r="AH62" s="2966"/>
      <c r="AI62" s="2966"/>
      <c r="AJ62" s="2966"/>
      <c r="AK62" s="2973">
        <f t="shared" si="5"/>
        <v>404847.09999999963</v>
      </c>
      <c r="AL62" s="2966"/>
      <c r="AM62" s="2966"/>
    </row>
    <row r="63" spans="1:39" ht="24.95" customHeight="1">
      <c r="A63" s="2966">
        <v>31</v>
      </c>
      <c r="B63" s="2988"/>
      <c r="C63" s="2992"/>
      <c r="D63" s="2992"/>
      <c r="E63" s="2993" t="s">
        <v>3498</v>
      </c>
      <c r="F63" s="2994">
        <v>2560000</v>
      </c>
      <c r="G63" s="2995"/>
      <c r="H63" s="2996"/>
      <c r="I63" s="2996"/>
      <c r="J63" s="2996"/>
      <c r="K63" s="2996"/>
      <c r="L63" s="2996"/>
      <c r="M63" s="2996"/>
      <c r="N63" s="2996"/>
      <c r="O63" s="2996"/>
      <c r="P63" s="2996"/>
      <c r="Q63" s="2996"/>
      <c r="R63" s="2996"/>
      <c r="S63" s="2996"/>
      <c r="T63" s="2996"/>
      <c r="U63" s="2996"/>
      <c r="V63" s="2996"/>
      <c r="W63" s="2996"/>
      <c r="X63" s="2996"/>
      <c r="Y63" s="2996"/>
      <c r="Z63" s="2996"/>
      <c r="AA63" s="2997"/>
      <c r="AB63" s="2973"/>
      <c r="AC63" s="2973"/>
      <c r="AD63" s="2998">
        <f>440000+1352000</f>
        <v>1792000</v>
      </c>
      <c r="AE63" s="2966"/>
      <c r="AF63" s="2966"/>
      <c r="AG63" s="2966"/>
      <c r="AH63" s="2966"/>
      <c r="AI63" s="2966"/>
      <c r="AJ63" s="2966"/>
      <c r="AK63" s="2973">
        <f t="shared" si="5"/>
        <v>768000</v>
      </c>
      <c r="AL63" s="2966"/>
      <c r="AM63" s="2966"/>
    </row>
    <row r="64" spans="1:39" ht="24.95" customHeight="1">
      <c r="A64" s="2966">
        <v>32</v>
      </c>
      <c r="B64" s="2988"/>
      <c r="C64" s="2992"/>
      <c r="D64" s="2992"/>
      <c r="E64" s="2993" t="s">
        <v>3499</v>
      </c>
      <c r="F64" s="2994">
        <v>2410000</v>
      </c>
      <c r="G64" s="2995"/>
      <c r="H64" s="2996"/>
      <c r="I64" s="2996"/>
      <c r="J64" s="2996"/>
      <c r="K64" s="2996"/>
      <c r="L64" s="2996"/>
      <c r="M64" s="2996"/>
      <c r="N64" s="2996"/>
      <c r="O64" s="2996"/>
      <c r="P64" s="2996"/>
      <c r="Q64" s="2996"/>
      <c r="R64" s="2996"/>
      <c r="S64" s="2996"/>
      <c r="T64" s="2996"/>
      <c r="U64" s="2996"/>
      <c r="V64" s="2996"/>
      <c r="W64" s="2996"/>
      <c r="X64" s="2996"/>
      <c r="Y64" s="2996"/>
      <c r="Z64" s="2996"/>
      <c r="AA64" s="2997"/>
      <c r="AB64" s="2973"/>
      <c r="AC64" s="2973"/>
      <c r="AD64" s="2994">
        <v>2410000</v>
      </c>
      <c r="AE64" s="2966"/>
      <c r="AF64" s="2966"/>
      <c r="AG64" s="2966"/>
      <c r="AH64" s="2966"/>
      <c r="AI64" s="2966"/>
      <c r="AJ64" s="2966"/>
      <c r="AK64" s="2973">
        <f t="shared" si="5"/>
        <v>0</v>
      </c>
      <c r="AL64" s="2966"/>
      <c r="AM64" s="2966"/>
    </row>
    <row r="65" spans="1:39" ht="24.95" customHeight="1">
      <c r="A65" s="2966">
        <v>33</v>
      </c>
      <c r="B65" s="2988"/>
      <c r="C65" s="2992"/>
      <c r="D65" s="2992"/>
      <c r="E65" s="2993" t="s">
        <v>3500</v>
      </c>
      <c r="F65" s="2994">
        <v>2269400</v>
      </c>
      <c r="G65" s="2995"/>
      <c r="H65" s="2996"/>
      <c r="I65" s="2996"/>
      <c r="J65" s="2996"/>
      <c r="K65" s="2996"/>
      <c r="L65" s="2996"/>
      <c r="M65" s="2996"/>
      <c r="N65" s="2996"/>
      <c r="O65" s="2996"/>
      <c r="P65" s="2996"/>
      <c r="Q65" s="2996"/>
      <c r="R65" s="2996"/>
      <c r="S65" s="2996"/>
      <c r="T65" s="2996"/>
      <c r="U65" s="2996"/>
      <c r="V65" s="2996"/>
      <c r="W65" s="2996"/>
      <c r="X65" s="2996"/>
      <c r="Y65" s="2996"/>
      <c r="Z65" s="2996"/>
      <c r="AA65" s="2997"/>
      <c r="AB65" s="2973"/>
      <c r="AC65" s="2973"/>
      <c r="AD65" s="2998">
        <v>2269400</v>
      </c>
      <c r="AE65" s="2966"/>
      <c r="AF65" s="2966"/>
      <c r="AG65" s="2966"/>
      <c r="AH65" s="2966"/>
      <c r="AI65" s="2966"/>
      <c r="AJ65" s="2966"/>
      <c r="AK65" s="2973">
        <f t="shared" si="5"/>
        <v>0</v>
      </c>
      <c r="AL65" s="2966"/>
      <c r="AM65" s="2966"/>
    </row>
    <row r="66" spans="1:39" ht="24.95" customHeight="1">
      <c r="A66" s="2966">
        <v>34</v>
      </c>
      <c r="B66" s="2988"/>
      <c r="C66" s="2992"/>
      <c r="D66" s="2992"/>
      <c r="E66" s="2993" t="s">
        <v>3501</v>
      </c>
      <c r="F66" s="2994">
        <v>2187567</v>
      </c>
      <c r="G66" s="2995"/>
      <c r="H66" s="2996"/>
      <c r="I66" s="2996"/>
      <c r="J66" s="2996"/>
      <c r="K66" s="2996"/>
      <c r="L66" s="2996"/>
      <c r="M66" s="2996"/>
      <c r="N66" s="2996"/>
      <c r="O66" s="2996"/>
      <c r="P66" s="2996"/>
      <c r="Q66" s="2996"/>
      <c r="R66" s="2996"/>
      <c r="S66" s="2996"/>
      <c r="T66" s="2996"/>
      <c r="U66" s="2996"/>
      <c r="V66" s="2996"/>
      <c r="W66" s="2996"/>
      <c r="X66" s="2996"/>
      <c r="Y66" s="2996"/>
      <c r="Z66" s="2996"/>
      <c r="AA66" s="2997"/>
      <c r="AB66" s="2973"/>
      <c r="AC66" s="2973"/>
      <c r="AD66" s="2998">
        <v>2149717</v>
      </c>
      <c r="AE66" s="2966"/>
      <c r="AF66" s="2966"/>
      <c r="AG66" s="2966"/>
      <c r="AH66" s="2966"/>
      <c r="AI66" s="2966"/>
      <c r="AJ66" s="2966"/>
      <c r="AK66" s="2973">
        <f t="shared" si="5"/>
        <v>37850</v>
      </c>
      <c r="AL66" s="2966"/>
      <c r="AM66" s="2966"/>
    </row>
    <row r="67" spans="1:39" ht="24.95" customHeight="1">
      <c r="A67" s="2966">
        <v>35</v>
      </c>
      <c r="B67" s="2988"/>
      <c r="C67" s="2992"/>
      <c r="D67" s="2992"/>
      <c r="E67" s="2993" t="s">
        <v>3502</v>
      </c>
      <c r="F67" s="2994">
        <f>1263207.54+851538.46</f>
        <v>2114746</v>
      </c>
      <c r="G67" s="2995"/>
      <c r="H67" s="2996"/>
      <c r="I67" s="2996"/>
      <c r="J67" s="2996"/>
      <c r="K67" s="2996"/>
      <c r="L67" s="2996"/>
      <c r="M67" s="2996"/>
      <c r="N67" s="2996"/>
      <c r="O67" s="2996"/>
      <c r="P67" s="2996"/>
      <c r="Q67" s="2996"/>
      <c r="R67" s="2996"/>
      <c r="S67" s="2996"/>
      <c r="T67" s="2996"/>
      <c r="U67" s="2996"/>
      <c r="V67" s="2996"/>
      <c r="W67" s="2996"/>
      <c r="X67" s="2996"/>
      <c r="Y67" s="2996"/>
      <c r="Z67" s="2996"/>
      <c r="AA67" s="2997"/>
      <c r="AB67" s="2973"/>
      <c r="AC67" s="2973"/>
      <c r="AD67" s="2998">
        <v>2075289.63</v>
      </c>
      <c r="AE67" s="2966"/>
      <c r="AF67" s="2966"/>
      <c r="AG67" s="2966"/>
      <c r="AH67" s="2966"/>
      <c r="AI67" s="2966"/>
      <c r="AJ67" s="2966"/>
      <c r="AK67" s="2973">
        <f t="shared" si="5"/>
        <v>39456.370000000112</v>
      </c>
      <c r="AL67" s="2966"/>
      <c r="AM67" s="2966"/>
    </row>
    <row r="68" spans="1:39" ht="24.95" customHeight="1">
      <c r="A68" s="2966">
        <v>36</v>
      </c>
      <c r="B68" s="2988"/>
      <c r="C68" s="2992"/>
      <c r="D68" s="2992"/>
      <c r="E68" s="2993" t="s">
        <v>3503</v>
      </c>
      <c r="F68" s="2994">
        <v>1573820.71</v>
      </c>
      <c r="G68" s="2995"/>
      <c r="H68" s="2996"/>
      <c r="I68" s="2996"/>
      <c r="J68" s="2996"/>
      <c r="K68" s="2996"/>
      <c r="L68" s="2996"/>
      <c r="M68" s="2996"/>
      <c r="N68" s="2996"/>
      <c r="O68" s="2996"/>
      <c r="P68" s="2996"/>
      <c r="Q68" s="2996"/>
      <c r="R68" s="2996"/>
      <c r="S68" s="2996"/>
      <c r="T68" s="2996"/>
      <c r="U68" s="2996"/>
      <c r="V68" s="2996"/>
      <c r="W68" s="2996"/>
      <c r="X68" s="2996"/>
      <c r="Y68" s="2996"/>
      <c r="Z68" s="2996"/>
      <c r="AA68" s="2997"/>
      <c r="AB68" s="2973"/>
      <c r="AC68" s="2973"/>
      <c r="AD68" s="2998">
        <f>1376837+157600</f>
        <v>1534437</v>
      </c>
      <c r="AE68" s="2966"/>
      <c r="AF68" s="2966"/>
      <c r="AG68" s="2966"/>
      <c r="AH68" s="2966"/>
      <c r="AI68" s="2966"/>
      <c r="AJ68" s="2966"/>
      <c r="AK68" s="2973">
        <f t="shared" si="5"/>
        <v>39383.709999999963</v>
      </c>
      <c r="AL68" s="2966"/>
      <c r="AM68" s="2966"/>
    </row>
    <row r="69" spans="1:39" ht="24.95" customHeight="1">
      <c r="A69" s="2966">
        <v>37</v>
      </c>
      <c r="B69" s="2988"/>
      <c r="C69" s="2992"/>
      <c r="D69" s="2992"/>
      <c r="E69" s="2993" t="s">
        <v>3504</v>
      </c>
      <c r="F69" s="2994">
        <v>1456506</v>
      </c>
      <c r="G69" s="2995"/>
      <c r="H69" s="2996"/>
      <c r="I69" s="2996"/>
      <c r="J69" s="2996"/>
      <c r="K69" s="2996"/>
      <c r="L69" s="2996"/>
      <c r="M69" s="2996"/>
      <c r="N69" s="2996"/>
      <c r="O69" s="2996"/>
      <c r="P69" s="2996"/>
      <c r="Q69" s="2996"/>
      <c r="R69" s="2996"/>
      <c r="S69" s="2996"/>
      <c r="T69" s="2996"/>
      <c r="U69" s="2996"/>
      <c r="V69" s="2996"/>
      <c r="W69" s="2996"/>
      <c r="X69" s="2996"/>
      <c r="Y69" s="2996"/>
      <c r="Z69" s="2996"/>
      <c r="AA69" s="2997"/>
      <c r="AB69" s="2973"/>
      <c r="AC69" s="2973"/>
      <c r="AD69" s="2998">
        <f>436951.8+457580.2</f>
        <v>894532</v>
      </c>
      <c r="AE69" s="2966"/>
      <c r="AF69" s="2966"/>
      <c r="AG69" s="2966"/>
      <c r="AH69" s="2966"/>
      <c r="AI69" s="2966"/>
      <c r="AJ69" s="2966"/>
      <c r="AK69" s="2973">
        <f t="shared" si="5"/>
        <v>561974</v>
      </c>
      <c r="AL69" s="2966"/>
      <c r="AM69" s="2966"/>
    </row>
    <row r="70" spans="1:39" ht="24.95" customHeight="1">
      <c r="A70" s="2966">
        <v>38</v>
      </c>
      <c r="B70" s="2988"/>
      <c r="C70" s="2992"/>
      <c r="D70" s="2992"/>
      <c r="E70" s="2993" t="s">
        <v>3505</v>
      </c>
      <c r="F70" s="2994">
        <v>2992094</v>
      </c>
      <c r="G70" s="2995"/>
      <c r="H70" s="2996"/>
      <c r="I70" s="2996"/>
      <c r="J70" s="2996"/>
      <c r="K70" s="2996"/>
      <c r="L70" s="2996"/>
      <c r="M70" s="2996"/>
      <c r="N70" s="2996"/>
      <c r="O70" s="2996"/>
      <c r="P70" s="2996"/>
      <c r="Q70" s="2996"/>
      <c r="R70" s="2996"/>
      <c r="S70" s="2996"/>
      <c r="T70" s="2996"/>
      <c r="U70" s="2996"/>
      <c r="V70" s="2996"/>
      <c r="W70" s="2996"/>
      <c r="X70" s="2996"/>
      <c r="Y70" s="2996"/>
      <c r="Z70" s="2996"/>
      <c r="AA70" s="2997"/>
      <c r="AB70" s="2973"/>
      <c r="AC70" s="2973"/>
      <c r="AD70" s="2998">
        <v>897628.2</v>
      </c>
      <c r="AE70" s="2966"/>
      <c r="AF70" s="2966"/>
      <c r="AG70" s="2966"/>
      <c r="AH70" s="2966"/>
      <c r="AI70" s="2966"/>
      <c r="AJ70" s="2966"/>
      <c r="AK70" s="2973">
        <f t="shared" si="5"/>
        <v>2094465.8</v>
      </c>
      <c r="AL70" s="2966"/>
      <c r="AM70" s="2966"/>
    </row>
    <row r="71" spans="1:39" ht="24.95" customHeight="1">
      <c r="A71" s="2966">
        <v>39</v>
      </c>
      <c r="B71" s="2988"/>
      <c r="C71" s="2992"/>
      <c r="D71" s="2992"/>
      <c r="E71" s="2993" t="s">
        <v>3500</v>
      </c>
      <c r="F71" s="2994">
        <v>769100</v>
      </c>
      <c r="G71" s="2995"/>
      <c r="H71" s="2996"/>
      <c r="I71" s="2996"/>
      <c r="J71" s="2996"/>
      <c r="K71" s="2996"/>
      <c r="L71" s="2996"/>
      <c r="M71" s="2996"/>
      <c r="N71" s="2996"/>
      <c r="O71" s="2996"/>
      <c r="P71" s="2996"/>
      <c r="Q71" s="2996"/>
      <c r="R71" s="2996"/>
      <c r="S71" s="2996"/>
      <c r="T71" s="2996"/>
      <c r="U71" s="2996"/>
      <c r="V71" s="2996"/>
      <c r="W71" s="2996"/>
      <c r="X71" s="2996"/>
      <c r="Y71" s="2996"/>
      <c r="Z71" s="2996"/>
      <c r="AA71" s="2997"/>
      <c r="AB71" s="2973"/>
      <c r="AC71" s="2973"/>
      <c r="AD71" s="2994">
        <v>769100</v>
      </c>
      <c r="AE71" s="2966"/>
      <c r="AF71" s="2966"/>
      <c r="AG71" s="2966"/>
      <c r="AH71" s="2966"/>
      <c r="AI71" s="2966"/>
      <c r="AJ71" s="2966"/>
      <c r="AK71" s="2973">
        <f t="shared" si="5"/>
        <v>0</v>
      </c>
      <c r="AL71" s="2966"/>
      <c r="AM71" s="2966"/>
    </row>
    <row r="72" spans="1:39" ht="24.95" customHeight="1">
      <c r="A72" s="2966">
        <v>40</v>
      </c>
      <c r="B72" s="2988"/>
      <c r="C72" s="2992"/>
      <c r="D72" s="2992"/>
      <c r="E72" s="2993" t="s">
        <v>3506</v>
      </c>
      <c r="F72" s="2994">
        <v>940000</v>
      </c>
      <c r="G72" s="2995"/>
      <c r="H72" s="2996"/>
      <c r="I72" s="2996"/>
      <c r="J72" s="2996"/>
      <c r="K72" s="2996"/>
      <c r="L72" s="2996"/>
      <c r="M72" s="2996"/>
      <c r="N72" s="2996"/>
      <c r="O72" s="2996"/>
      <c r="P72" s="2996"/>
      <c r="Q72" s="2996"/>
      <c r="R72" s="2996"/>
      <c r="S72" s="2996"/>
      <c r="T72" s="2996"/>
      <c r="U72" s="2996"/>
      <c r="V72" s="2996"/>
      <c r="W72" s="2996"/>
      <c r="X72" s="2996"/>
      <c r="Y72" s="2996"/>
      <c r="Z72" s="2996"/>
      <c r="AA72" s="2997"/>
      <c r="AB72" s="2973"/>
      <c r="AC72" s="2973"/>
      <c r="AD72" s="2998">
        <v>300000</v>
      </c>
      <c r="AE72" s="2966"/>
      <c r="AF72" s="2966"/>
      <c r="AG72" s="2966"/>
      <c r="AH72" s="2966"/>
      <c r="AI72" s="2966"/>
      <c r="AJ72" s="2966"/>
      <c r="AK72" s="2973">
        <f t="shared" si="5"/>
        <v>640000</v>
      </c>
      <c r="AL72" s="2966"/>
      <c r="AM72" s="2966"/>
    </row>
    <row r="73" spans="1:39" ht="24.95" customHeight="1">
      <c r="A73" s="2966">
        <v>41</v>
      </c>
      <c r="B73" s="2988"/>
      <c r="C73" s="2992"/>
      <c r="D73" s="2992"/>
      <c r="E73" s="2993" t="s">
        <v>3498</v>
      </c>
      <c r="F73" s="2994">
        <v>488090</v>
      </c>
      <c r="G73" s="2995"/>
      <c r="H73" s="2996"/>
      <c r="I73" s="2996"/>
      <c r="J73" s="2996"/>
      <c r="K73" s="2996"/>
      <c r="L73" s="2996"/>
      <c r="M73" s="2996"/>
      <c r="N73" s="2996"/>
      <c r="O73" s="2996"/>
      <c r="P73" s="2996"/>
      <c r="Q73" s="2996"/>
      <c r="R73" s="2996"/>
      <c r="S73" s="2996"/>
      <c r="T73" s="2996"/>
      <c r="U73" s="2996"/>
      <c r="V73" s="2996"/>
      <c r="W73" s="2996"/>
      <c r="X73" s="2996"/>
      <c r="Y73" s="2996"/>
      <c r="Z73" s="2996"/>
      <c r="AA73" s="2997"/>
      <c r="AB73" s="2973"/>
      <c r="AC73" s="2973"/>
      <c r="AD73" s="2999">
        <v>473447</v>
      </c>
      <c r="AE73" s="2966"/>
      <c r="AF73" s="2966"/>
      <c r="AG73" s="2966"/>
      <c r="AH73" s="2966"/>
      <c r="AI73" s="2966"/>
      <c r="AJ73" s="2966"/>
      <c r="AK73" s="2973">
        <f t="shared" si="5"/>
        <v>14643</v>
      </c>
      <c r="AL73" s="2966"/>
      <c r="AM73" s="2966"/>
    </row>
    <row r="74" spans="1:39" ht="24.95" customHeight="1">
      <c r="A74" s="2966">
        <v>42</v>
      </c>
      <c r="B74" s="2988"/>
      <c r="C74" s="2992"/>
      <c r="D74" s="2992"/>
      <c r="E74" s="2993" t="s">
        <v>3495</v>
      </c>
      <c r="F74" s="2994">
        <v>359000</v>
      </c>
      <c r="G74" s="2995"/>
      <c r="H74" s="2996"/>
      <c r="I74" s="2996"/>
      <c r="J74" s="2996"/>
      <c r="K74" s="2996"/>
      <c r="L74" s="2996"/>
      <c r="M74" s="2996"/>
      <c r="N74" s="2996"/>
      <c r="O74" s="2996"/>
      <c r="P74" s="2996"/>
      <c r="Q74" s="2996"/>
      <c r="R74" s="2996"/>
      <c r="S74" s="2996"/>
      <c r="T74" s="2996"/>
      <c r="U74" s="2996"/>
      <c r="V74" s="2996"/>
      <c r="W74" s="2996"/>
      <c r="X74" s="2996"/>
      <c r="Y74" s="2996"/>
      <c r="Z74" s="2996"/>
      <c r="AA74" s="2997"/>
      <c r="AB74" s="2973"/>
      <c r="AC74" s="2973"/>
      <c r="AD74" s="2998">
        <f>287000+72000</f>
        <v>359000</v>
      </c>
      <c r="AE74" s="2966"/>
      <c r="AF74" s="2966"/>
      <c r="AG74" s="2966"/>
      <c r="AH74" s="2966"/>
      <c r="AI74" s="2966"/>
      <c r="AJ74" s="2966"/>
      <c r="AK74" s="2973">
        <f t="shared" si="5"/>
        <v>0</v>
      </c>
      <c r="AL74" s="2966"/>
      <c r="AM74" s="2966"/>
    </row>
    <row r="75" spans="1:39" ht="24.95" customHeight="1">
      <c r="A75" s="2966">
        <v>43</v>
      </c>
      <c r="B75" s="2988"/>
      <c r="C75" s="2992"/>
      <c r="D75" s="2992"/>
      <c r="E75" s="2993" t="s">
        <v>3498</v>
      </c>
      <c r="F75" s="2994">
        <v>356000</v>
      </c>
      <c r="G75" s="2995"/>
      <c r="H75" s="2996"/>
      <c r="I75" s="2996"/>
      <c r="J75" s="2996"/>
      <c r="K75" s="2996"/>
      <c r="L75" s="2996"/>
      <c r="M75" s="2996"/>
      <c r="N75" s="2996"/>
      <c r="O75" s="2996"/>
      <c r="P75" s="2996"/>
      <c r="Q75" s="2996"/>
      <c r="R75" s="2996"/>
      <c r="S75" s="2996"/>
      <c r="T75" s="2996"/>
      <c r="U75" s="2996"/>
      <c r="V75" s="2996"/>
      <c r="W75" s="2996"/>
      <c r="X75" s="2996"/>
      <c r="Y75" s="2996"/>
      <c r="Z75" s="2996"/>
      <c r="AA75" s="2997"/>
      <c r="AB75" s="2973"/>
      <c r="AC75" s="2973"/>
      <c r="AD75" s="2998">
        <v>345320</v>
      </c>
      <c r="AE75" s="2966"/>
      <c r="AF75" s="2966"/>
      <c r="AG75" s="2966"/>
      <c r="AH75" s="2966"/>
      <c r="AI75" s="2966"/>
      <c r="AJ75" s="2966"/>
      <c r="AK75" s="2973">
        <f t="shared" si="5"/>
        <v>10680</v>
      </c>
      <c r="AL75" s="2966"/>
      <c r="AM75" s="2966"/>
    </row>
    <row r="76" spans="1:39" ht="24.95" customHeight="1">
      <c r="A76" s="2966">
        <v>44</v>
      </c>
      <c r="B76" s="2988"/>
      <c r="C76" s="2992"/>
      <c r="D76" s="2992"/>
      <c r="E76" s="2993" t="s">
        <v>3507</v>
      </c>
      <c r="F76" s="2994">
        <v>780000</v>
      </c>
      <c r="G76" s="2995"/>
      <c r="H76" s="2996"/>
      <c r="I76" s="2996"/>
      <c r="J76" s="2996"/>
      <c r="K76" s="2996"/>
      <c r="L76" s="2996"/>
      <c r="M76" s="2996"/>
      <c r="N76" s="2996"/>
      <c r="O76" s="2996"/>
      <c r="P76" s="2996"/>
      <c r="Q76" s="2996"/>
      <c r="R76" s="2996"/>
      <c r="S76" s="2996"/>
      <c r="T76" s="2996"/>
      <c r="U76" s="2996"/>
      <c r="V76" s="2996"/>
      <c r="W76" s="2996"/>
      <c r="X76" s="2996"/>
      <c r="Y76" s="2996"/>
      <c r="Z76" s="2996"/>
      <c r="AA76" s="2997"/>
      <c r="AB76" s="2973"/>
      <c r="AC76" s="2973"/>
      <c r="AD76" s="2998">
        <v>180000</v>
      </c>
      <c r="AE76" s="2966"/>
      <c r="AF76" s="2966"/>
      <c r="AG76" s="2966"/>
      <c r="AH76" s="2966"/>
      <c r="AI76" s="2966"/>
      <c r="AJ76" s="2966"/>
      <c r="AK76" s="2973">
        <f t="shared" si="5"/>
        <v>600000</v>
      </c>
      <c r="AL76" s="2966"/>
      <c r="AM76" s="2966"/>
    </row>
    <row r="77" spans="1:39" ht="24.95" customHeight="1">
      <c r="A77" s="2966">
        <v>45</v>
      </c>
      <c r="B77" s="2988"/>
      <c r="C77" s="2992"/>
      <c r="D77" s="2992"/>
      <c r="E77" s="2993" t="s">
        <v>3508</v>
      </c>
      <c r="F77" s="2994">
        <f>143000+130000</f>
        <v>273000</v>
      </c>
      <c r="G77" s="2995"/>
      <c r="H77" s="2996"/>
      <c r="I77" s="2996"/>
      <c r="J77" s="2996"/>
      <c r="K77" s="2996"/>
      <c r="L77" s="2996"/>
      <c r="M77" s="2996"/>
      <c r="N77" s="2996"/>
      <c r="O77" s="2996"/>
      <c r="P77" s="2996"/>
      <c r="Q77" s="2996"/>
      <c r="R77" s="2996"/>
      <c r="S77" s="2996"/>
      <c r="T77" s="2996"/>
      <c r="U77" s="2996"/>
      <c r="V77" s="2996"/>
      <c r="W77" s="2996"/>
      <c r="X77" s="2996"/>
      <c r="Y77" s="2996"/>
      <c r="Z77" s="2996"/>
      <c r="AA77" s="2997"/>
      <c r="AB77" s="2973"/>
      <c r="AC77" s="2973"/>
      <c r="AD77" s="2994">
        <f>143000+130000</f>
        <v>273000</v>
      </c>
      <c r="AE77" s="2966"/>
      <c r="AF77" s="2966"/>
      <c r="AG77" s="2966"/>
      <c r="AH77" s="2966"/>
      <c r="AI77" s="2966"/>
      <c r="AJ77" s="2966"/>
      <c r="AK77" s="2973">
        <f t="shared" si="5"/>
        <v>0</v>
      </c>
      <c r="AL77" s="2966"/>
      <c r="AM77" s="2966"/>
    </row>
    <row r="78" spans="1:39" ht="24.95" customHeight="1">
      <c r="A78" s="2966">
        <v>46</v>
      </c>
      <c r="B78" s="2988"/>
      <c r="C78" s="2992"/>
      <c r="D78" s="2992"/>
      <c r="E78" s="2993" t="s">
        <v>3509</v>
      </c>
      <c r="F78" s="2994">
        <v>1300000</v>
      </c>
      <c r="G78" s="2995"/>
      <c r="H78" s="2996"/>
      <c r="I78" s="2996"/>
      <c r="J78" s="2996"/>
      <c r="K78" s="2996"/>
      <c r="L78" s="2996"/>
      <c r="M78" s="2996"/>
      <c r="N78" s="2996"/>
      <c r="O78" s="2996"/>
      <c r="P78" s="2996"/>
      <c r="Q78" s="2996"/>
      <c r="R78" s="2996"/>
      <c r="S78" s="2996"/>
      <c r="T78" s="2996"/>
      <c r="U78" s="2996"/>
      <c r="V78" s="2996"/>
      <c r="W78" s="2996"/>
      <c r="X78" s="2996"/>
      <c r="Y78" s="2996"/>
      <c r="Z78" s="2996"/>
      <c r="AA78" s="2997"/>
      <c r="AB78" s="2973"/>
      <c r="AC78" s="2973"/>
      <c r="AD78" s="2998">
        <v>780000</v>
      </c>
      <c r="AE78" s="2966"/>
      <c r="AF78" s="2966"/>
      <c r="AG78" s="2966"/>
      <c r="AH78" s="2966"/>
      <c r="AI78" s="2966"/>
      <c r="AJ78" s="2966"/>
      <c r="AK78" s="2973">
        <f t="shared" si="5"/>
        <v>520000</v>
      </c>
      <c r="AL78" s="2966"/>
      <c r="AM78" s="2966"/>
    </row>
    <row r="79" spans="1:39" ht="24.95" customHeight="1">
      <c r="A79" s="2966">
        <v>47</v>
      </c>
      <c r="B79" s="2988"/>
      <c r="C79" s="2992"/>
      <c r="D79" s="2992"/>
      <c r="E79" s="2993" t="s">
        <v>3498</v>
      </c>
      <c r="F79" s="2994">
        <v>258000</v>
      </c>
      <c r="G79" s="2995"/>
      <c r="H79" s="2996"/>
      <c r="I79" s="2996"/>
      <c r="J79" s="2996"/>
      <c r="K79" s="2996"/>
      <c r="L79" s="2996"/>
      <c r="M79" s="2996"/>
      <c r="N79" s="2996"/>
      <c r="O79" s="2996"/>
      <c r="P79" s="2996"/>
      <c r="Q79" s="2996"/>
      <c r="R79" s="2996"/>
      <c r="S79" s="2996"/>
      <c r="T79" s="2996"/>
      <c r="U79" s="2996"/>
      <c r="V79" s="2996"/>
      <c r="W79" s="2996"/>
      <c r="X79" s="2996"/>
      <c r="Y79" s="2996"/>
      <c r="Z79" s="2996"/>
      <c r="AA79" s="2997"/>
      <c r="AB79" s="2973"/>
      <c r="AC79" s="2973"/>
      <c r="AD79" s="2998">
        <v>250260</v>
      </c>
      <c r="AE79" s="2966"/>
      <c r="AF79" s="2966"/>
      <c r="AG79" s="2966"/>
      <c r="AH79" s="2966"/>
      <c r="AI79" s="2966"/>
      <c r="AJ79" s="2966"/>
      <c r="AK79" s="2973">
        <f t="shared" si="5"/>
        <v>7740</v>
      </c>
      <c r="AL79" s="2966"/>
      <c r="AM79" s="2966"/>
    </row>
    <row r="80" spans="1:39" ht="24.95" customHeight="1">
      <c r="A80" s="2966">
        <v>48</v>
      </c>
      <c r="B80" s="2988"/>
      <c r="C80" s="2992"/>
      <c r="D80" s="2992"/>
      <c r="E80" s="3005" t="s">
        <v>3498</v>
      </c>
      <c r="F80" s="2994">
        <v>248000</v>
      </c>
      <c r="G80" s="2995"/>
      <c r="H80" s="2996"/>
      <c r="I80" s="2996"/>
      <c r="J80" s="2996"/>
      <c r="K80" s="2996"/>
      <c r="L80" s="2996"/>
      <c r="M80" s="2996"/>
      <c r="N80" s="2996"/>
      <c r="O80" s="2996"/>
      <c r="P80" s="2996"/>
      <c r="Q80" s="2996"/>
      <c r="R80" s="2996"/>
      <c r="S80" s="2996"/>
      <c r="T80" s="2996"/>
      <c r="U80" s="2996"/>
      <c r="V80" s="2996"/>
      <c r="W80" s="2996"/>
      <c r="X80" s="2996"/>
      <c r="Y80" s="2996"/>
      <c r="Z80" s="2996"/>
      <c r="AA80" s="2997"/>
      <c r="AB80" s="2973"/>
      <c r="AC80" s="2973"/>
      <c r="AD80" s="2999">
        <v>240560</v>
      </c>
      <c r="AE80" s="2966"/>
      <c r="AF80" s="2966"/>
      <c r="AG80" s="2966"/>
      <c r="AH80" s="2966"/>
      <c r="AI80" s="2966"/>
      <c r="AJ80" s="2966"/>
      <c r="AK80" s="2973">
        <f t="shared" si="5"/>
        <v>7440</v>
      </c>
      <c r="AL80" s="2966"/>
      <c r="AM80" s="2966"/>
    </row>
    <row r="81" spans="1:39" ht="24.95" customHeight="1">
      <c r="A81" s="2966">
        <v>49</v>
      </c>
      <c r="B81" s="2988"/>
      <c r="C81" s="2992"/>
      <c r="D81" s="2992"/>
      <c r="E81" s="2993" t="s">
        <v>3510</v>
      </c>
      <c r="F81" s="3006">
        <v>190000</v>
      </c>
      <c r="G81" s="2995"/>
      <c r="H81" s="2996"/>
      <c r="I81" s="2996"/>
      <c r="J81" s="2996"/>
      <c r="K81" s="2996"/>
      <c r="L81" s="2996"/>
      <c r="M81" s="2996"/>
      <c r="N81" s="2996"/>
      <c r="O81" s="2996"/>
      <c r="P81" s="2996"/>
      <c r="Q81" s="2996"/>
      <c r="R81" s="2996"/>
      <c r="S81" s="2996"/>
      <c r="T81" s="2996"/>
      <c r="U81" s="2996"/>
      <c r="V81" s="2996"/>
      <c r="W81" s="2996"/>
      <c r="X81" s="2996"/>
      <c r="Y81" s="2996"/>
      <c r="Z81" s="2996"/>
      <c r="AA81" s="2997"/>
      <c r="AB81" s="2973"/>
      <c r="AC81" s="2973"/>
      <c r="AD81" s="3006">
        <v>190000</v>
      </c>
      <c r="AE81" s="2966"/>
      <c r="AF81" s="2966"/>
      <c r="AG81" s="2966"/>
      <c r="AH81" s="2966"/>
      <c r="AI81" s="2966"/>
      <c r="AJ81" s="2966"/>
      <c r="AK81" s="2973">
        <f t="shared" si="5"/>
        <v>0</v>
      </c>
      <c r="AL81" s="2966"/>
      <c r="AM81" s="2966"/>
    </row>
    <row r="82" spans="1:39" ht="24.95" customHeight="1">
      <c r="A82" s="2966">
        <v>50</v>
      </c>
      <c r="B82" s="2988"/>
      <c r="C82" s="2992"/>
      <c r="D82" s="2992"/>
      <c r="E82" s="2993" t="s">
        <v>3511</v>
      </c>
      <c r="F82" s="2994">
        <v>400000</v>
      </c>
      <c r="G82" s="2995"/>
      <c r="H82" s="2996"/>
      <c r="I82" s="2996"/>
      <c r="J82" s="2996"/>
      <c r="K82" s="2996"/>
      <c r="L82" s="2996"/>
      <c r="M82" s="2996"/>
      <c r="N82" s="2996"/>
      <c r="O82" s="2996"/>
      <c r="P82" s="2996"/>
      <c r="Q82" s="2996"/>
      <c r="R82" s="2996"/>
      <c r="S82" s="2996"/>
      <c r="T82" s="2996"/>
      <c r="U82" s="2996"/>
      <c r="V82" s="2996"/>
      <c r="W82" s="2996"/>
      <c r="X82" s="2996"/>
      <c r="Y82" s="2996"/>
      <c r="Z82" s="2996"/>
      <c r="AA82" s="2997"/>
      <c r="AB82" s="2973"/>
      <c r="AC82" s="2973"/>
      <c r="AD82" s="2998">
        <v>400000</v>
      </c>
      <c r="AE82" s="2966"/>
      <c r="AF82" s="2966"/>
      <c r="AG82" s="2966"/>
      <c r="AH82" s="2966"/>
      <c r="AI82" s="2966"/>
      <c r="AJ82" s="2966"/>
      <c r="AK82" s="2973">
        <f t="shared" si="5"/>
        <v>0</v>
      </c>
      <c r="AL82" s="2966"/>
      <c r="AM82" s="2966"/>
    </row>
    <row r="83" spans="1:39" ht="24.95" customHeight="1">
      <c r="A83" s="2966">
        <v>51</v>
      </c>
      <c r="B83" s="2988"/>
      <c r="C83" s="2992"/>
      <c r="D83" s="2992"/>
      <c r="E83" s="2993" t="s">
        <v>3512</v>
      </c>
      <c r="F83" s="2994">
        <v>184800</v>
      </c>
      <c r="G83" s="2995"/>
      <c r="H83" s="2996"/>
      <c r="I83" s="2996"/>
      <c r="J83" s="2996"/>
      <c r="K83" s="2996"/>
      <c r="L83" s="2996"/>
      <c r="M83" s="2996"/>
      <c r="N83" s="2996"/>
      <c r="O83" s="2996"/>
      <c r="P83" s="2996"/>
      <c r="Q83" s="2996"/>
      <c r="R83" s="2996"/>
      <c r="S83" s="2996"/>
      <c r="T83" s="2996"/>
      <c r="U83" s="2996"/>
      <c r="V83" s="2996"/>
      <c r="W83" s="2996"/>
      <c r="X83" s="2996"/>
      <c r="Y83" s="2996"/>
      <c r="Z83" s="2996"/>
      <c r="AA83" s="2997"/>
      <c r="AB83" s="2973"/>
      <c r="AC83" s="2973"/>
      <c r="AD83" s="2994">
        <v>184800</v>
      </c>
      <c r="AE83" s="2966"/>
      <c r="AF83" s="2966"/>
      <c r="AG83" s="2966"/>
      <c r="AH83" s="2966"/>
      <c r="AI83" s="2966"/>
      <c r="AJ83" s="2966"/>
      <c r="AK83" s="2973">
        <f t="shared" si="5"/>
        <v>0</v>
      </c>
      <c r="AL83" s="2966"/>
      <c r="AM83" s="2966"/>
    </row>
    <row r="84" spans="1:39" ht="24.95" customHeight="1">
      <c r="A84" s="2966">
        <v>52</v>
      </c>
      <c r="B84" s="2988"/>
      <c r="C84" s="2992"/>
      <c r="D84" s="2992"/>
      <c r="E84" s="2993" t="s">
        <v>3513</v>
      </c>
      <c r="F84" s="2994">
        <v>1250000</v>
      </c>
      <c r="G84" s="2995"/>
      <c r="H84" s="2996"/>
      <c r="I84" s="2996"/>
      <c r="J84" s="2996"/>
      <c r="K84" s="2996"/>
      <c r="L84" s="2996"/>
      <c r="M84" s="2996"/>
      <c r="N84" s="2996"/>
      <c r="O84" s="2996"/>
      <c r="P84" s="2996"/>
      <c r="Q84" s="2996"/>
      <c r="R84" s="2996"/>
      <c r="S84" s="2996"/>
      <c r="T84" s="2996"/>
      <c r="U84" s="2996"/>
      <c r="V84" s="2996"/>
      <c r="W84" s="2996"/>
      <c r="X84" s="2996"/>
      <c r="Y84" s="2996"/>
      <c r="Z84" s="2996"/>
      <c r="AA84" s="2997"/>
      <c r="AB84" s="2973"/>
      <c r="AC84" s="2973"/>
      <c r="AD84" s="2998">
        <v>330000</v>
      </c>
      <c r="AE84" s="2966"/>
      <c r="AF84" s="2966"/>
      <c r="AG84" s="2966"/>
      <c r="AH84" s="2966"/>
      <c r="AI84" s="2966"/>
      <c r="AJ84" s="2966"/>
      <c r="AK84" s="2973">
        <f t="shared" si="5"/>
        <v>920000</v>
      </c>
      <c r="AL84" s="2966"/>
      <c r="AM84" s="2966"/>
    </row>
    <row r="85" spans="1:39" ht="24.95" customHeight="1">
      <c r="A85" s="2966">
        <v>53</v>
      </c>
      <c r="B85" s="2988"/>
      <c r="C85" s="2992"/>
      <c r="D85" s="2992"/>
      <c r="E85" s="3007" t="s">
        <v>3514</v>
      </c>
      <c r="F85" s="2994">
        <v>158400</v>
      </c>
      <c r="G85" s="2995"/>
      <c r="H85" s="2996"/>
      <c r="I85" s="2996"/>
      <c r="J85" s="2996"/>
      <c r="K85" s="2996"/>
      <c r="L85" s="2996"/>
      <c r="M85" s="2996"/>
      <c r="N85" s="2996"/>
      <c r="O85" s="2996"/>
      <c r="P85" s="2996"/>
      <c r="Q85" s="2996"/>
      <c r="R85" s="2996"/>
      <c r="S85" s="2996"/>
      <c r="T85" s="2996"/>
      <c r="U85" s="2996"/>
      <c r="V85" s="2996"/>
      <c r="W85" s="2996"/>
      <c r="X85" s="2996"/>
      <c r="Y85" s="2996"/>
      <c r="Z85" s="2996"/>
      <c r="AA85" s="2997"/>
      <c r="AB85" s="2973"/>
      <c r="AC85" s="2973"/>
      <c r="AD85" s="2998">
        <v>158400</v>
      </c>
      <c r="AE85" s="2966"/>
      <c r="AF85" s="2966"/>
      <c r="AG85" s="2966"/>
      <c r="AH85" s="2966"/>
      <c r="AI85" s="2966"/>
      <c r="AJ85" s="2966"/>
      <c r="AK85" s="2973">
        <f t="shared" si="5"/>
        <v>0</v>
      </c>
      <c r="AL85" s="2966"/>
      <c r="AM85" s="2966"/>
    </row>
    <row r="86" spans="1:39" ht="24.95" customHeight="1">
      <c r="A86" s="2966">
        <v>54</v>
      </c>
      <c r="B86" s="2988"/>
      <c r="C86" s="2992"/>
      <c r="D86" s="2992"/>
      <c r="E86" s="2993" t="s">
        <v>3515</v>
      </c>
      <c r="F86" s="2994">
        <v>149850</v>
      </c>
      <c r="G86" s="2995"/>
      <c r="H86" s="2996"/>
      <c r="I86" s="2996"/>
      <c r="J86" s="2996"/>
      <c r="K86" s="2996"/>
      <c r="L86" s="2996"/>
      <c r="M86" s="2996"/>
      <c r="N86" s="2996"/>
      <c r="O86" s="2996"/>
      <c r="P86" s="2996"/>
      <c r="Q86" s="2996"/>
      <c r="R86" s="2996"/>
      <c r="S86" s="2996"/>
      <c r="T86" s="2996"/>
      <c r="U86" s="2996"/>
      <c r="V86" s="2996"/>
      <c r="W86" s="2996"/>
      <c r="X86" s="2996"/>
      <c r="Y86" s="2996"/>
      <c r="Z86" s="2996"/>
      <c r="AA86" s="2997"/>
      <c r="AB86" s="2973"/>
      <c r="AC86" s="2973"/>
      <c r="AD86" s="2998">
        <v>149850</v>
      </c>
      <c r="AE86" s="2966"/>
      <c r="AF86" s="2966"/>
      <c r="AG86" s="2966"/>
      <c r="AH86" s="2966"/>
      <c r="AI86" s="2966"/>
      <c r="AJ86" s="2966"/>
      <c r="AK86" s="2973">
        <f t="shared" si="5"/>
        <v>0</v>
      </c>
      <c r="AL86" s="2966"/>
      <c r="AM86" s="2966"/>
    </row>
    <row r="87" spans="1:39" ht="24.95" customHeight="1">
      <c r="A87" s="2966">
        <v>55</v>
      </c>
      <c r="B87" s="2988"/>
      <c r="C87" s="2992"/>
      <c r="D87" s="2992"/>
      <c r="E87" s="2993" t="s">
        <v>3516</v>
      </c>
      <c r="F87" s="2994">
        <v>146200</v>
      </c>
      <c r="G87" s="2995"/>
      <c r="H87" s="2996"/>
      <c r="I87" s="2996"/>
      <c r="J87" s="2996"/>
      <c r="K87" s="2996"/>
      <c r="L87" s="2996"/>
      <c r="M87" s="2996"/>
      <c r="N87" s="2996"/>
      <c r="O87" s="2996"/>
      <c r="P87" s="2996"/>
      <c r="Q87" s="2996"/>
      <c r="R87" s="2996"/>
      <c r="S87" s="2996"/>
      <c r="T87" s="2996"/>
      <c r="U87" s="2996"/>
      <c r="V87" s="2996"/>
      <c r="W87" s="2996"/>
      <c r="X87" s="2996"/>
      <c r="Y87" s="2996"/>
      <c r="Z87" s="2996"/>
      <c r="AA87" s="2997"/>
      <c r="AB87" s="2973"/>
      <c r="AC87" s="2973"/>
      <c r="AD87" s="2994">
        <v>146200</v>
      </c>
      <c r="AE87" s="2966"/>
      <c r="AF87" s="2966"/>
      <c r="AG87" s="2966"/>
      <c r="AH87" s="2966"/>
      <c r="AI87" s="2966"/>
      <c r="AJ87" s="2966"/>
      <c r="AK87" s="2973">
        <f t="shared" si="5"/>
        <v>0</v>
      </c>
      <c r="AL87" s="2966"/>
      <c r="AM87" s="2966"/>
    </row>
    <row r="88" spans="1:39" ht="24.95" customHeight="1">
      <c r="A88" s="2966">
        <v>56</v>
      </c>
      <c r="B88" s="2988"/>
      <c r="C88" s="2992"/>
      <c r="D88" s="2992"/>
      <c r="E88" s="2993" t="s">
        <v>3498</v>
      </c>
      <c r="F88" s="2994">
        <v>142000</v>
      </c>
      <c r="G88" s="2995"/>
      <c r="H88" s="2996"/>
      <c r="I88" s="2996"/>
      <c r="J88" s="2996"/>
      <c r="K88" s="2996"/>
      <c r="L88" s="2996"/>
      <c r="M88" s="2996"/>
      <c r="N88" s="2996"/>
      <c r="O88" s="2996"/>
      <c r="P88" s="2996"/>
      <c r="Q88" s="2996"/>
      <c r="R88" s="2996"/>
      <c r="S88" s="2996"/>
      <c r="T88" s="2996"/>
      <c r="U88" s="2996"/>
      <c r="V88" s="2996"/>
      <c r="W88" s="2996"/>
      <c r="X88" s="2996"/>
      <c r="Y88" s="2996"/>
      <c r="Z88" s="2996"/>
      <c r="AA88" s="2997"/>
      <c r="AB88" s="2973"/>
      <c r="AC88" s="2973"/>
      <c r="AD88" s="2994">
        <v>142000</v>
      </c>
      <c r="AE88" s="2966"/>
      <c r="AF88" s="2966"/>
      <c r="AG88" s="2966"/>
      <c r="AH88" s="2966"/>
      <c r="AI88" s="2966"/>
      <c r="AJ88" s="2966"/>
      <c r="AK88" s="2973">
        <f t="shared" si="5"/>
        <v>0</v>
      </c>
      <c r="AL88" s="2966"/>
      <c r="AM88" s="2966"/>
    </row>
    <row r="89" spans="1:39" ht="24.95" customHeight="1">
      <c r="A89" s="2966">
        <v>57</v>
      </c>
      <c r="B89" s="2988"/>
      <c r="C89" s="2992"/>
      <c r="D89" s="2992"/>
      <c r="E89" s="2993" t="s">
        <v>3517</v>
      </c>
      <c r="F89" s="2994">
        <v>120000</v>
      </c>
      <c r="G89" s="2995"/>
      <c r="H89" s="2996"/>
      <c r="I89" s="2996"/>
      <c r="J89" s="2996"/>
      <c r="K89" s="2996"/>
      <c r="L89" s="2996"/>
      <c r="M89" s="2996"/>
      <c r="N89" s="2996"/>
      <c r="O89" s="2996"/>
      <c r="P89" s="2996"/>
      <c r="Q89" s="2996"/>
      <c r="R89" s="2996"/>
      <c r="S89" s="2996"/>
      <c r="T89" s="2996"/>
      <c r="U89" s="2996"/>
      <c r="V89" s="2996"/>
      <c r="W89" s="2996"/>
      <c r="X89" s="2996"/>
      <c r="Y89" s="2996"/>
      <c r="Z89" s="2996"/>
      <c r="AA89" s="2997"/>
      <c r="AB89" s="2973"/>
      <c r="AC89" s="2973"/>
      <c r="AD89" s="2998">
        <v>48000</v>
      </c>
      <c r="AE89" s="2966"/>
      <c r="AF89" s="2966"/>
      <c r="AG89" s="2966"/>
      <c r="AH89" s="2966"/>
      <c r="AI89" s="2966"/>
      <c r="AJ89" s="2966"/>
      <c r="AK89" s="2973">
        <f t="shared" si="5"/>
        <v>72000</v>
      </c>
      <c r="AL89" s="2966"/>
      <c r="AM89" s="2966"/>
    </row>
    <row r="90" spans="1:39" ht="24.95" customHeight="1">
      <c r="A90" s="2966">
        <v>58</v>
      </c>
      <c r="B90" s="2988"/>
      <c r="C90" s="2992"/>
      <c r="D90" s="2992"/>
      <c r="E90" s="2993" t="s">
        <v>3518</v>
      </c>
      <c r="F90" s="2994">
        <v>107200</v>
      </c>
      <c r="G90" s="2995"/>
      <c r="H90" s="2996"/>
      <c r="I90" s="2996"/>
      <c r="J90" s="2996"/>
      <c r="K90" s="2996"/>
      <c r="L90" s="2996"/>
      <c r="M90" s="2996"/>
      <c r="N90" s="2996"/>
      <c r="O90" s="2996"/>
      <c r="P90" s="2996"/>
      <c r="Q90" s="2996"/>
      <c r="R90" s="2996"/>
      <c r="S90" s="2996"/>
      <c r="T90" s="2996"/>
      <c r="U90" s="2996"/>
      <c r="V90" s="2996"/>
      <c r="W90" s="2996"/>
      <c r="X90" s="2996"/>
      <c r="Y90" s="2996"/>
      <c r="Z90" s="2996"/>
      <c r="AA90" s="2997"/>
      <c r="AB90" s="2973"/>
      <c r="AC90" s="2973"/>
      <c r="AD90" s="2994">
        <v>107200</v>
      </c>
      <c r="AE90" s="2966"/>
      <c r="AF90" s="2966"/>
      <c r="AG90" s="2966"/>
      <c r="AH90" s="2966"/>
      <c r="AI90" s="2966"/>
      <c r="AJ90" s="2966"/>
      <c r="AK90" s="2973">
        <f t="shared" si="5"/>
        <v>0</v>
      </c>
      <c r="AL90" s="2966"/>
      <c r="AM90" s="2966"/>
    </row>
    <row r="91" spans="1:39" ht="24.95" customHeight="1">
      <c r="A91" s="2966">
        <v>59</v>
      </c>
      <c r="B91" s="2988"/>
      <c r="C91" s="2992"/>
      <c r="D91" s="2992"/>
      <c r="E91" s="2993" t="s">
        <v>3519</v>
      </c>
      <c r="F91" s="2994">
        <v>70000</v>
      </c>
      <c r="G91" s="2995"/>
      <c r="H91" s="2996"/>
      <c r="I91" s="2996"/>
      <c r="J91" s="2996"/>
      <c r="K91" s="2996"/>
      <c r="L91" s="2996"/>
      <c r="M91" s="2996"/>
      <c r="N91" s="2996"/>
      <c r="O91" s="2996"/>
      <c r="P91" s="2996"/>
      <c r="Q91" s="2996"/>
      <c r="R91" s="2996"/>
      <c r="S91" s="2996"/>
      <c r="T91" s="2996"/>
      <c r="U91" s="2996"/>
      <c r="V91" s="2996"/>
      <c r="W91" s="2996"/>
      <c r="X91" s="2996"/>
      <c r="Y91" s="2996"/>
      <c r="Z91" s="2996"/>
      <c r="AA91" s="2997"/>
      <c r="AB91" s="2973"/>
      <c r="AC91" s="2973"/>
      <c r="AD91" s="2994">
        <v>70000</v>
      </c>
      <c r="AE91" s="2966"/>
      <c r="AF91" s="2966"/>
      <c r="AG91" s="2966"/>
      <c r="AH91" s="2966"/>
      <c r="AI91" s="2966"/>
      <c r="AJ91" s="2966"/>
      <c r="AK91" s="2973">
        <f t="shared" si="5"/>
        <v>0</v>
      </c>
      <c r="AL91" s="2966"/>
      <c r="AM91" s="2966"/>
    </row>
    <row r="92" spans="1:39" ht="24.95" customHeight="1">
      <c r="A92" s="2966">
        <v>60</v>
      </c>
      <c r="B92" s="2988"/>
      <c r="C92" s="2992"/>
      <c r="D92" s="2992"/>
      <c r="E92" s="2993" t="s">
        <v>3520</v>
      </c>
      <c r="F92" s="2994">
        <v>61315.53</v>
      </c>
      <c r="G92" s="2995"/>
      <c r="H92" s="2996"/>
      <c r="I92" s="2996"/>
      <c r="J92" s="2996"/>
      <c r="K92" s="2996"/>
      <c r="L92" s="2996"/>
      <c r="M92" s="2996"/>
      <c r="N92" s="2996"/>
      <c r="O92" s="2996"/>
      <c r="P92" s="2996"/>
      <c r="Q92" s="2996"/>
      <c r="R92" s="2996"/>
      <c r="S92" s="2996"/>
      <c r="T92" s="2996"/>
      <c r="U92" s="2996"/>
      <c r="V92" s="2996"/>
      <c r="W92" s="2996"/>
      <c r="X92" s="2996"/>
      <c r="Y92" s="2996"/>
      <c r="Z92" s="2996"/>
      <c r="AA92" s="2997"/>
      <c r="AB92" s="2973"/>
      <c r="AC92" s="2973"/>
      <c r="AD92" s="2994">
        <v>61315.53</v>
      </c>
      <c r="AE92" s="2966"/>
      <c r="AF92" s="2966"/>
      <c r="AG92" s="2966"/>
      <c r="AH92" s="2966"/>
      <c r="AI92" s="2966"/>
      <c r="AJ92" s="2966"/>
      <c r="AK92" s="2973">
        <f t="shared" si="5"/>
        <v>0</v>
      </c>
      <c r="AL92" s="2966"/>
      <c r="AM92" s="2966"/>
    </row>
    <row r="93" spans="1:39" ht="24.95" customHeight="1">
      <c r="A93" s="2966">
        <v>61</v>
      </c>
      <c r="B93" s="2988"/>
      <c r="C93" s="2992"/>
      <c r="D93" s="2992"/>
      <c r="E93" s="2993" t="s">
        <v>3521</v>
      </c>
      <c r="F93" s="2994">
        <v>200000</v>
      </c>
      <c r="G93" s="2995"/>
      <c r="H93" s="2996"/>
      <c r="I93" s="2996"/>
      <c r="J93" s="2996"/>
      <c r="K93" s="2996"/>
      <c r="L93" s="2996"/>
      <c r="M93" s="2996"/>
      <c r="N93" s="2996"/>
      <c r="O93" s="2996"/>
      <c r="P93" s="2996"/>
      <c r="Q93" s="2996"/>
      <c r="R93" s="2996"/>
      <c r="S93" s="2996"/>
      <c r="T93" s="2996"/>
      <c r="U93" s="2996"/>
      <c r="V93" s="2996"/>
      <c r="W93" s="2996"/>
      <c r="X93" s="2996"/>
      <c r="Y93" s="2996"/>
      <c r="Z93" s="2996"/>
      <c r="AA93" s="2997"/>
      <c r="AB93" s="2973"/>
      <c r="AC93" s="2973"/>
      <c r="AD93" s="2994">
        <v>60000</v>
      </c>
      <c r="AE93" s="2966"/>
      <c r="AF93" s="2966"/>
      <c r="AG93" s="2966"/>
      <c r="AH93" s="2966"/>
      <c r="AI93" s="2966"/>
      <c r="AJ93" s="2966"/>
      <c r="AK93" s="2973">
        <f t="shared" si="5"/>
        <v>140000</v>
      </c>
      <c r="AL93" s="2966"/>
      <c r="AM93" s="2966"/>
    </row>
    <row r="94" spans="1:39" ht="24.95" customHeight="1">
      <c r="A94" s="2966">
        <v>62</v>
      </c>
      <c r="B94" s="2988"/>
      <c r="C94" s="2992"/>
      <c r="D94" s="2992"/>
      <c r="E94" s="2993" t="s">
        <v>3522</v>
      </c>
      <c r="F94" s="2994">
        <v>50000</v>
      </c>
      <c r="G94" s="2995"/>
      <c r="H94" s="2996"/>
      <c r="I94" s="2996"/>
      <c r="J94" s="2996"/>
      <c r="K94" s="2996"/>
      <c r="L94" s="2996"/>
      <c r="M94" s="2996"/>
      <c r="N94" s="2996"/>
      <c r="O94" s="2996"/>
      <c r="P94" s="2996"/>
      <c r="Q94" s="2996"/>
      <c r="R94" s="2996"/>
      <c r="S94" s="2996"/>
      <c r="T94" s="2996"/>
      <c r="U94" s="2996"/>
      <c r="V94" s="2996"/>
      <c r="W94" s="2996"/>
      <c r="X94" s="2996"/>
      <c r="Y94" s="2996"/>
      <c r="Z94" s="2996"/>
      <c r="AA94" s="2997"/>
      <c r="AB94" s="2973"/>
      <c r="AC94" s="2973"/>
      <c r="AD94" s="2994">
        <v>50000</v>
      </c>
      <c r="AE94" s="2966"/>
      <c r="AF94" s="2966"/>
      <c r="AG94" s="2966"/>
      <c r="AH94" s="2966"/>
      <c r="AI94" s="2966"/>
      <c r="AJ94" s="2966"/>
      <c r="AK94" s="2973">
        <f t="shared" si="5"/>
        <v>0</v>
      </c>
      <c r="AL94" s="2966"/>
      <c r="AM94" s="2966"/>
    </row>
    <row r="95" spans="1:39" ht="24.95" customHeight="1">
      <c r="A95" s="2966">
        <v>63</v>
      </c>
      <c r="B95" s="2988"/>
      <c r="C95" s="2992"/>
      <c r="D95" s="2992"/>
      <c r="E95" s="2993" t="s">
        <v>3523</v>
      </c>
      <c r="F95" s="2994">
        <v>48000</v>
      </c>
      <c r="G95" s="2995"/>
      <c r="H95" s="2996"/>
      <c r="I95" s="2996"/>
      <c r="J95" s="2996"/>
      <c r="K95" s="2996"/>
      <c r="L95" s="2996"/>
      <c r="M95" s="2996"/>
      <c r="N95" s="2996"/>
      <c r="O95" s="2996"/>
      <c r="P95" s="2996"/>
      <c r="Q95" s="2996"/>
      <c r="R95" s="2996"/>
      <c r="S95" s="2996"/>
      <c r="T95" s="2996"/>
      <c r="U95" s="2996"/>
      <c r="V95" s="2996"/>
      <c r="W95" s="2996"/>
      <c r="X95" s="2996"/>
      <c r="Y95" s="2996"/>
      <c r="Z95" s="2996"/>
      <c r="AA95" s="2997"/>
      <c r="AB95" s="2973"/>
      <c r="AC95" s="2973"/>
      <c r="AD95" s="2994">
        <v>48000</v>
      </c>
      <c r="AE95" s="2966"/>
      <c r="AF95" s="2966"/>
      <c r="AG95" s="2966"/>
      <c r="AH95" s="2966"/>
      <c r="AI95" s="2966"/>
      <c r="AJ95" s="2966"/>
      <c r="AK95" s="2973">
        <f t="shared" si="5"/>
        <v>0</v>
      </c>
      <c r="AL95" s="2966"/>
      <c r="AM95" s="2966"/>
    </row>
    <row r="96" spans="1:39" ht="24.95" customHeight="1">
      <c r="A96" s="2966">
        <v>64</v>
      </c>
      <c r="B96" s="2988"/>
      <c r="C96" s="2992"/>
      <c r="D96" s="2992"/>
      <c r="E96" s="2993" t="s">
        <v>3524</v>
      </c>
      <c r="F96" s="2994">
        <v>37132</v>
      </c>
      <c r="G96" s="2995"/>
      <c r="H96" s="2996"/>
      <c r="I96" s="2996"/>
      <c r="J96" s="2996"/>
      <c r="K96" s="2996"/>
      <c r="L96" s="2996"/>
      <c r="M96" s="2996"/>
      <c r="N96" s="2996"/>
      <c r="O96" s="2996"/>
      <c r="P96" s="2996"/>
      <c r="Q96" s="2996"/>
      <c r="R96" s="2996"/>
      <c r="S96" s="2996"/>
      <c r="T96" s="2996"/>
      <c r="U96" s="2996"/>
      <c r="V96" s="2996"/>
      <c r="W96" s="2996"/>
      <c r="X96" s="2996"/>
      <c r="Y96" s="2996"/>
      <c r="Z96" s="2996"/>
      <c r="AA96" s="2997"/>
      <c r="AB96" s="2973"/>
      <c r="AC96" s="2973"/>
      <c r="AD96" s="2994">
        <v>37132</v>
      </c>
      <c r="AE96" s="2966"/>
      <c r="AF96" s="2966"/>
      <c r="AG96" s="2966"/>
      <c r="AH96" s="2966"/>
      <c r="AI96" s="2966"/>
      <c r="AJ96" s="2966"/>
      <c r="AK96" s="2973">
        <f t="shared" si="5"/>
        <v>0</v>
      </c>
      <c r="AL96" s="2966"/>
      <c r="AM96" s="2966"/>
    </row>
    <row r="97" spans="1:39" ht="24.95" customHeight="1">
      <c r="A97" s="2966">
        <v>65</v>
      </c>
      <c r="B97" s="2988"/>
      <c r="C97" s="2992"/>
      <c r="D97" s="2992"/>
      <c r="E97" s="2993" t="s">
        <v>3525</v>
      </c>
      <c r="F97" s="2994">
        <v>35787</v>
      </c>
      <c r="G97" s="2995"/>
      <c r="H97" s="2996"/>
      <c r="I97" s="2996"/>
      <c r="J97" s="2996"/>
      <c r="K97" s="2996"/>
      <c r="L97" s="2996"/>
      <c r="M97" s="2996"/>
      <c r="N97" s="2996"/>
      <c r="O97" s="2996"/>
      <c r="P97" s="2996"/>
      <c r="Q97" s="2996"/>
      <c r="R97" s="2996"/>
      <c r="S97" s="2996"/>
      <c r="T97" s="2996"/>
      <c r="U97" s="2996"/>
      <c r="V97" s="2996"/>
      <c r="W97" s="2996"/>
      <c r="X97" s="2996"/>
      <c r="Y97" s="2996"/>
      <c r="Z97" s="2996"/>
      <c r="AA97" s="2997"/>
      <c r="AB97" s="2973"/>
      <c r="AC97" s="2973"/>
      <c r="AD97" s="2994">
        <v>35787</v>
      </c>
      <c r="AE97" s="2966"/>
      <c r="AF97" s="2966"/>
      <c r="AG97" s="2966"/>
      <c r="AH97" s="2966"/>
      <c r="AI97" s="2966"/>
      <c r="AJ97" s="2966"/>
      <c r="AK97" s="2973">
        <f t="shared" si="5"/>
        <v>0</v>
      </c>
      <c r="AL97" s="2966"/>
      <c r="AM97" s="2966"/>
    </row>
    <row r="98" spans="1:39" ht="24.95" customHeight="1">
      <c r="A98" s="2966">
        <v>66</v>
      </c>
      <c r="B98" s="2988"/>
      <c r="C98" s="2992"/>
      <c r="D98" s="2992"/>
      <c r="E98" s="2993" t="s">
        <v>3526</v>
      </c>
      <c r="F98" s="2994">
        <v>31900</v>
      </c>
      <c r="G98" s="2995"/>
      <c r="H98" s="2996"/>
      <c r="I98" s="2996"/>
      <c r="J98" s="2996"/>
      <c r="K98" s="2996"/>
      <c r="L98" s="2996"/>
      <c r="M98" s="2996"/>
      <c r="N98" s="2996"/>
      <c r="O98" s="2996"/>
      <c r="P98" s="2996"/>
      <c r="Q98" s="2996"/>
      <c r="R98" s="2996"/>
      <c r="S98" s="2996"/>
      <c r="T98" s="2996"/>
      <c r="U98" s="2996"/>
      <c r="V98" s="2996"/>
      <c r="W98" s="2996"/>
      <c r="X98" s="2996"/>
      <c r="Y98" s="2996"/>
      <c r="Z98" s="2996"/>
      <c r="AA98" s="2997"/>
      <c r="AB98" s="2973"/>
      <c r="AC98" s="2973"/>
      <c r="AD98" s="2994">
        <v>31900</v>
      </c>
      <c r="AE98" s="2966"/>
      <c r="AF98" s="2966"/>
      <c r="AG98" s="2966"/>
      <c r="AH98" s="2966"/>
      <c r="AI98" s="2966"/>
      <c r="AJ98" s="2966"/>
      <c r="AK98" s="2973">
        <f t="shared" si="5"/>
        <v>0</v>
      </c>
      <c r="AL98" s="2966"/>
      <c r="AM98" s="2966"/>
    </row>
    <row r="99" spans="1:39" ht="24.95" customHeight="1">
      <c r="A99" s="2966">
        <v>67</v>
      </c>
      <c r="B99" s="2988"/>
      <c r="C99" s="2992"/>
      <c r="D99" s="2992"/>
      <c r="E99" s="2993" t="s">
        <v>3514</v>
      </c>
      <c r="F99" s="3008">
        <v>47520</v>
      </c>
      <c r="G99" s="2995"/>
      <c r="H99" s="2996"/>
      <c r="I99" s="2996"/>
      <c r="J99" s="2996"/>
      <c r="K99" s="2996"/>
      <c r="L99" s="2996"/>
      <c r="M99" s="2996"/>
      <c r="N99" s="2996"/>
      <c r="O99" s="2996"/>
      <c r="P99" s="2996"/>
      <c r="Q99" s="2996"/>
      <c r="R99" s="2996"/>
      <c r="S99" s="2996"/>
      <c r="T99" s="2996"/>
      <c r="U99" s="2996"/>
      <c r="V99" s="2996"/>
      <c r="W99" s="2996"/>
      <c r="X99" s="2996"/>
      <c r="Y99" s="2996"/>
      <c r="Z99" s="2996"/>
      <c r="AA99" s="2997"/>
      <c r="AB99" s="2973"/>
      <c r="AC99" s="2973"/>
      <c r="AD99" s="3008">
        <v>47520</v>
      </c>
      <c r="AE99" s="2966"/>
      <c r="AF99" s="2966"/>
      <c r="AG99" s="2966"/>
      <c r="AH99" s="2966"/>
      <c r="AI99" s="2966"/>
      <c r="AJ99" s="2966"/>
      <c r="AK99" s="2973">
        <f t="shared" si="5"/>
        <v>0</v>
      </c>
      <c r="AL99" s="2966"/>
      <c r="AM99" s="2966"/>
    </row>
    <row r="100" spans="1:39" ht="24.95" customHeight="1">
      <c r="A100" s="2966">
        <v>68</v>
      </c>
      <c r="B100" s="2988"/>
      <c r="C100" s="2992"/>
      <c r="D100" s="2992"/>
      <c r="E100" s="2993" t="s">
        <v>3527</v>
      </c>
      <c r="F100" s="2994">
        <v>12000</v>
      </c>
      <c r="G100" s="2995"/>
      <c r="H100" s="2996"/>
      <c r="I100" s="2996"/>
      <c r="J100" s="2996"/>
      <c r="K100" s="2996"/>
      <c r="L100" s="2996"/>
      <c r="M100" s="2996"/>
      <c r="N100" s="2996"/>
      <c r="O100" s="2996"/>
      <c r="P100" s="2996"/>
      <c r="Q100" s="2996"/>
      <c r="R100" s="2996"/>
      <c r="S100" s="2996"/>
      <c r="T100" s="2996"/>
      <c r="U100" s="2996"/>
      <c r="V100" s="2996"/>
      <c r="W100" s="2996"/>
      <c r="X100" s="2996"/>
      <c r="Y100" s="2996"/>
      <c r="Z100" s="2996"/>
      <c r="AA100" s="2997"/>
      <c r="AB100" s="2973"/>
      <c r="AC100" s="2973"/>
      <c r="AD100" s="3006">
        <v>12000</v>
      </c>
      <c r="AE100" s="2966"/>
      <c r="AF100" s="2966"/>
      <c r="AG100" s="2966"/>
      <c r="AH100" s="2966"/>
      <c r="AI100" s="2966"/>
      <c r="AJ100" s="2966"/>
      <c r="AK100" s="2973">
        <f t="shared" si="5"/>
        <v>0</v>
      </c>
      <c r="AL100" s="2966"/>
      <c r="AM100" s="2966"/>
    </row>
    <row r="101" spans="1:39" ht="24.95" customHeight="1">
      <c r="A101" s="2966">
        <v>69</v>
      </c>
      <c r="B101" s="2988"/>
      <c r="C101" s="2992"/>
      <c r="D101" s="2992"/>
      <c r="E101" s="2966" t="s">
        <v>3528</v>
      </c>
      <c r="F101" s="2966">
        <v>561790000</v>
      </c>
      <c r="G101" s="2995"/>
      <c r="H101" s="2996"/>
      <c r="I101" s="2996"/>
      <c r="J101" s="2996"/>
      <c r="K101" s="2996"/>
      <c r="L101" s="2996"/>
      <c r="M101" s="2996"/>
      <c r="N101" s="2996"/>
      <c r="O101" s="2996"/>
      <c r="P101" s="2996"/>
      <c r="Q101" s="2996"/>
      <c r="R101" s="2996"/>
      <c r="S101" s="2996"/>
      <c r="T101" s="2996"/>
      <c r="U101" s="2996"/>
      <c r="V101" s="2996"/>
      <c r="W101" s="2996"/>
      <c r="X101" s="2996"/>
      <c r="Y101" s="2996"/>
      <c r="Z101" s="2996"/>
      <c r="AA101" s="2997"/>
      <c r="AB101" s="2973"/>
      <c r="AC101" s="2973"/>
      <c r="AD101" s="2987">
        <v>165840000</v>
      </c>
      <c r="AE101" s="2966"/>
      <c r="AF101" s="2966"/>
      <c r="AG101" s="2966"/>
      <c r="AH101" s="2966"/>
      <c r="AI101" s="2966"/>
      <c r="AJ101" s="2966"/>
      <c r="AK101" s="2973">
        <f t="shared" si="5"/>
        <v>395950000</v>
      </c>
      <c r="AL101" s="2966"/>
      <c r="AM101" s="2966"/>
    </row>
    <row r="102" spans="1:39" ht="24.95" customHeight="1">
      <c r="A102" s="2966">
        <v>70</v>
      </c>
      <c r="B102" s="2988"/>
      <c r="C102" s="2992"/>
      <c r="D102" s="2992"/>
      <c r="E102" s="2966" t="s">
        <v>3529</v>
      </c>
      <c r="F102" s="2987">
        <v>65340000</v>
      </c>
      <c r="G102" s="2995"/>
      <c r="H102" s="2996"/>
      <c r="I102" s="2996"/>
      <c r="J102" s="2996"/>
      <c r="K102" s="2996"/>
      <c r="L102" s="2996"/>
      <c r="M102" s="2996"/>
      <c r="N102" s="2996"/>
      <c r="O102" s="2996"/>
      <c r="P102" s="2996"/>
      <c r="Q102" s="2996"/>
      <c r="R102" s="2996"/>
      <c r="S102" s="2996"/>
      <c r="T102" s="2996"/>
      <c r="U102" s="2996"/>
      <c r="V102" s="2996"/>
      <c r="W102" s="2996"/>
      <c r="X102" s="2996"/>
      <c r="Y102" s="2996"/>
      <c r="Z102" s="2996"/>
      <c r="AA102" s="2997"/>
      <c r="AB102" s="2973"/>
      <c r="AC102" s="2973"/>
      <c r="AD102" s="2987">
        <v>65340000</v>
      </c>
      <c r="AE102" s="2966"/>
      <c r="AF102" s="2966"/>
      <c r="AG102" s="2966"/>
      <c r="AH102" s="2966"/>
      <c r="AI102" s="2966"/>
      <c r="AJ102" s="2966"/>
      <c r="AK102" s="2973">
        <f t="shared" si="5"/>
        <v>0</v>
      </c>
      <c r="AL102" s="2966"/>
      <c r="AM102" s="2966"/>
    </row>
    <row r="103" spans="1:39" ht="24.95" customHeight="1">
      <c r="A103" s="2966">
        <v>71</v>
      </c>
      <c r="B103" s="2988"/>
      <c r="C103" s="2992"/>
      <c r="D103" s="2992"/>
      <c r="E103" s="2966" t="s">
        <v>3530</v>
      </c>
      <c r="F103" s="2987">
        <v>50000000</v>
      </c>
      <c r="G103" s="2995"/>
      <c r="H103" s="2996"/>
      <c r="I103" s="2996"/>
      <c r="J103" s="2996"/>
      <c r="K103" s="2996"/>
      <c r="L103" s="2996"/>
      <c r="M103" s="2996"/>
      <c r="N103" s="2996"/>
      <c r="O103" s="2996"/>
      <c r="P103" s="2996"/>
      <c r="Q103" s="2996"/>
      <c r="R103" s="2996"/>
      <c r="S103" s="2996"/>
      <c r="T103" s="2996"/>
      <c r="U103" s="2996"/>
      <c r="V103" s="2996"/>
      <c r="W103" s="2996"/>
      <c r="X103" s="2996"/>
      <c r="Y103" s="2996"/>
      <c r="Z103" s="2996"/>
      <c r="AA103" s="2997"/>
      <c r="AB103" s="2973"/>
      <c r="AC103" s="2973"/>
      <c r="AD103" s="2987">
        <v>50000000</v>
      </c>
      <c r="AE103" s="2966"/>
      <c r="AF103" s="2966"/>
      <c r="AG103" s="2966"/>
      <c r="AH103" s="2966"/>
      <c r="AI103" s="2966"/>
      <c r="AJ103" s="2966"/>
      <c r="AK103" s="2973">
        <f t="shared" si="5"/>
        <v>0</v>
      </c>
      <c r="AL103" s="2966"/>
      <c r="AM103" s="2966"/>
    </row>
    <row r="104" spans="1:39" ht="24.95" customHeight="1">
      <c r="A104" s="2966">
        <v>72</v>
      </c>
      <c r="B104" s="2988"/>
      <c r="C104" s="2992"/>
      <c r="D104" s="2992"/>
      <c r="E104" s="2966"/>
      <c r="F104" s="2966"/>
      <c r="G104" s="2995"/>
      <c r="H104" s="2996"/>
      <c r="I104" s="2996"/>
      <c r="J104" s="2996"/>
      <c r="K104" s="2996"/>
      <c r="L104" s="2996"/>
      <c r="M104" s="2996"/>
      <c r="N104" s="2996"/>
      <c r="O104" s="2996"/>
      <c r="P104" s="2996"/>
      <c r="Q104" s="2996"/>
      <c r="R104" s="2996"/>
      <c r="S104" s="2996"/>
      <c r="T104" s="2996"/>
      <c r="U104" s="2996"/>
      <c r="V104" s="2996"/>
      <c r="W104" s="2996"/>
      <c r="X104" s="2996"/>
      <c r="Y104" s="2996"/>
      <c r="Z104" s="2996"/>
      <c r="AA104" s="2997"/>
      <c r="AB104" s="2973"/>
      <c r="AC104" s="2973"/>
      <c r="AD104" s="2987"/>
      <c r="AE104" s="2966"/>
      <c r="AF104" s="2966"/>
      <c r="AG104" s="2966"/>
      <c r="AH104" s="2966"/>
      <c r="AI104" s="2966"/>
      <c r="AJ104" s="2966"/>
      <c r="AK104" s="2973"/>
      <c r="AL104" s="2966"/>
      <c r="AM104" s="2966"/>
    </row>
    <row r="105" spans="1:39" ht="24.95" customHeight="1">
      <c r="A105" s="2966">
        <v>73</v>
      </c>
      <c r="B105" s="2988" t="s">
        <v>37</v>
      </c>
      <c r="C105" s="2992"/>
      <c r="D105" s="2992"/>
      <c r="E105" s="2966"/>
      <c r="F105" s="2987">
        <f>SUM(F5:F104)</f>
        <v>2732971195.8500004</v>
      </c>
      <c r="G105" s="2987">
        <f>SUM(G5:G104)</f>
        <v>1691545450.4199998</v>
      </c>
      <c r="H105" s="2987"/>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f>SUM(AB5:AB104)</f>
        <v>1583214522.7054002</v>
      </c>
      <c r="AC105" s="2987">
        <f>SUM(AC5:AC104)</f>
        <v>0</v>
      </c>
      <c r="AD105" s="2987">
        <f>SUM(AD5:AD104)</f>
        <v>1713579764.2000003</v>
      </c>
      <c r="AE105" s="2987"/>
      <c r="AF105" s="2987"/>
      <c r="AG105" s="2987"/>
      <c r="AH105" s="2987"/>
      <c r="AI105" s="2987"/>
      <c r="AJ105" s="2987"/>
      <c r="AK105" s="2987">
        <f>SUM(AK5:AK104)</f>
        <v>665603830.27639997</v>
      </c>
      <c r="AL105" s="2966"/>
      <c r="AM105" s="2966"/>
    </row>
    <row r="106" spans="1:39" ht="78" customHeight="1">
      <c r="A106" s="3120" t="s">
        <v>3531</v>
      </c>
      <c r="B106" s="3121"/>
      <c r="C106" s="3121"/>
      <c r="D106" s="3121"/>
      <c r="E106" s="3121"/>
      <c r="F106" s="3121"/>
      <c r="G106" s="3121"/>
      <c r="H106" s="3121"/>
      <c r="I106" s="3121"/>
      <c r="J106" s="3121"/>
      <c r="K106" s="3121"/>
      <c r="L106" s="3121"/>
      <c r="M106" s="3121"/>
      <c r="N106" s="3121"/>
      <c r="O106" s="3121"/>
      <c r="P106" s="3121"/>
      <c r="Q106" s="3121"/>
      <c r="R106" s="3121"/>
      <c r="S106" s="3121"/>
      <c r="T106" s="3121"/>
      <c r="U106" s="3121"/>
      <c r="V106" s="3121"/>
      <c r="W106" s="3121"/>
      <c r="X106" s="3121"/>
      <c r="Y106" s="3121"/>
      <c r="Z106" s="3121"/>
      <c r="AA106" s="3121"/>
    </row>
    <row r="107" spans="1:39" ht="18" customHeight="1">
      <c r="A107" s="3122" t="s">
        <v>3532</v>
      </c>
      <c r="B107" s="3123"/>
      <c r="C107" s="3123"/>
      <c r="D107" s="3123"/>
      <c r="E107" s="3123"/>
      <c r="F107" s="3123"/>
      <c r="G107" s="3123"/>
    </row>
    <row r="108" spans="1:39" ht="18" customHeight="1">
      <c r="A108" s="3123"/>
      <c r="B108" s="3123"/>
      <c r="C108" s="3123"/>
      <c r="D108" s="3123"/>
      <c r="E108" s="3123"/>
      <c r="F108" s="3123"/>
      <c r="G108" s="3123"/>
    </row>
    <row r="109" spans="1:39" ht="18" customHeight="1">
      <c r="A109" s="3123"/>
      <c r="B109" s="3123"/>
      <c r="C109" s="3123"/>
      <c r="D109" s="3123"/>
      <c r="E109" s="3123"/>
      <c r="F109" s="3123"/>
      <c r="G109" s="3123"/>
    </row>
    <row r="110" spans="1:39" ht="51" customHeight="1">
      <c r="A110" s="3123"/>
      <c r="B110" s="3123"/>
      <c r="C110" s="3123"/>
      <c r="D110" s="3123"/>
      <c r="E110" s="3123"/>
      <c r="F110" s="3123"/>
      <c r="G110" s="3123"/>
    </row>
  </sheetData>
  <mergeCells count="54">
    <mergeCell ref="A2:AL2"/>
    <mergeCell ref="A3:A4"/>
    <mergeCell ref="B3:C3"/>
    <mergeCell ref="D3:D4"/>
    <mergeCell ref="E3:E4"/>
    <mergeCell ref="F3:F4"/>
    <mergeCell ref="G3:Z3"/>
    <mergeCell ref="AA3:AA4"/>
    <mergeCell ref="AB3:AB4"/>
    <mergeCell ref="AD3:AJ3"/>
    <mergeCell ref="AK3:AK4"/>
    <mergeCell ref="AL3:AL4"/>
    <mergeCell ref="AA50:AA52"/>
    <mergeCell ref="AM3:AM4"/>
    <mergeCell ref="B5:B46"/>
    <mergeCell ref="C5:C46"/>
    <mergeCell ref="AB7:AB8"/>
    <mergeCell ref="AD7:AD8"/>
    <mergeCell ref="AK7:AK8"/>
    <mergeCell ref="AB9:AB10"/>
    <mergeCell ref="AD9:AD10"/>
    <mergeCell ref="J50:J52"/>
    <mergeCell ref="K50:K52"/>
    <mergeCell ref="L50:L52"/>
    <mergeCell ref="M50:M52"/>
    <mergeCell ref="N50:N52"/>
    <mergeCell ref="AK9:AK10"/>
    <mergeCell ref="AB11:AB12"/>
    <mergeCell ref="AD11:AD12"/>
    <mergeCell ref="AK11:AK12"/>
    <mergeCell ref="AB13:AB14"/>
    <mergeCell ref="AD13:AD14"/>
    <mergeCell ref="AK13:AK14"/>
    <mergeCell ref="B47:B49"/>
    <mergeCell ref="C47:C49"/>
    <mergeCell ref="B50:B52"/>
    <mergeCell ref="C50:C52"/>
    <mergeCell ref="G50:G52"/>
    <mergeCell ref="A106:AA106"/>
    <mergeCell ref="A107:G110"/>
    <mergeCell ref="U50:U52"/>
    <mergeCell ref="V50:V52"/>
    <mergeCell ref="W50:W52"/>
    <mergeCell ref="X50:X52"/>
    <mergeCell ref="Y50:Y52"/>
    <mergeCell ref="Z50:Z52"/>
    <mergeCell ref="O50:O52"/>
    <mergeCell ref="P50:P52"/>
    <mergeCell ref="Q50:Q52"/>
    <mergeCell ref="R50:R52"/>
    <mergeCell ref="S50:S52"/>
    <mergeCell ref="T50:T52"/>
    <mergeCell ref="I50:I52"/>
    <mergeCell ref="H50:H52"/>
  </mergeCells>
  <phoneticPr fontId="143"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13" sqref="D13"/>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25" t="str">
        <f>项目基本情况!B1</f>
        <v>出让国有建设用地使用权及在建建筑物预评估</v>
      </c>
      <c r="C37" s="3025"/>
      <c r="D37" s="3025"/>
      <c r="E37" s="3025"/>
      <c r="F37" s="3025"/>
      <c r="G37" s="3025"/>
      <c r="H37" s="3025"/>
      <c r="I37" s="3025"/>
    </row>
    <row r="38" spans="1:9">
      <c r="A38" s="1013"/>
      <c r="B38" s="1013"/>
    </row>
    <row r="39" spans="1:9">
      <c r="A39" s="1011" t="s">
        <v>818</v>
      </c>
      <c r="B39" s="1011" t="s">
        <v>820</v>
      </c>
    </row>
    <row r="40" spans="1:9">
      <c r="A40" s="1011"/>
      <c r="B40" s="1937">
        <f>项目基本情况!B5</f>
        <v>0</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项目基本情况!K4</f>
        <v>（注册号：0)、（注册号：0)</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Normal="100" zoomScaleSheetLayoutView="100" zoomScalePageLayoutView="80" workbookViewId="0">
      <selection activeCell="G34" sqref="G34"/>
    </sheetView>
  </sheetViews>
  <sheetFormatPr defaultColWidth="12.625" defaultRowHeight="21.75" customHeight="1"/>
  <cols>
    <col min="1" max="2" width="12.625" style="2420"/>
    <col min="3" max="3" width="15" style="2420" customWidth="1"/>
    <col min="4"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1" t="s">
        <v>2117</v>
      </c>
      <c r="B1" s="2414"/>
      <c r="C1" s="2415"/>
      <c r="D1" s="2414"/>
      <c r="E1" s="2414"/>
      <c r="F1" s="2416" t="s">
        <v>2118</v>
      </c>
      <c r="G1" s="2066" t="s">
        <v>2119</v>
      </c>
      <c r="H1" s="2417" t="str">
        <f>IF(G1="现房","——","估价对象范围")</f>
        <v>估价对象范围</v>
      </c>
      <c r="I1" s="2418" t="s">
        <v>3085</v>
      </c>
    </row>
    <row r="2" spans="1:12" ht="21.75" customHeight="1" thickBot="1">
      <c r="A2" s="3216" t="str">
        <f>项目基本情况!S2</f>
        <v>出让国有建设用地使用权及在建建筑物房地产</v>
      </c>
      <c r="B2" s="3217"/>
      <c r="C2" s="3217"/>
      <c r="D2" s="3217"/>
      <c r="E2" s="3217"/>
      <c r="F2" s="3217"/>
      <c r="G2" s="3217"/>
      <c r="H2" s="3217"/>
      <c r="I2" s="3218"/>
    </row>
    <row r="3" spans="1:12" ht="12.75">
      <c r="A3" s="3219" t="s">
        <v>2120</v>
      </c>
      <c r="B3" s="3220"/>
      <c r="C3" s="3220"/>
      <c r="D3" s="3220"/>
      <c r="E3" s="3220"/>
      <c r="F3" s="3220"/>
      <c r="G3" s="3220"/>
      <c r="H3" s="3220"/>
      <c r="I3" s="3220"/>
    </row>
    <row r="4" spans="1:12" ht="14.25">
      <c r="A4" s="2421" t="s">
        <v>2121</v>
      </c>
      <c r="B4" s="2422" t="s">
        <v>2122</v>
      </c>
      <c r="C4" s="2423" t="s">
        <v>3081</v>
      </c>
      <c r="D4" s="2423" t="s">
        <v>3082</v>
      </c>
      <c r="E4" s="3200" t="s">
        <v>2123</v>
      </c>
      <c r="F4" s="3213"/>
      <c r="G4" s="3213"/>
      <c r="H4" s="3213"/>
      <c r="I4" s="320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91" t="s">
        <v>2124</v>
      </c>
      <c r="B5" s="3091">
        <v>25</v>
      </c>
      <c r="C5" s="3221"/>
      <c r="D5" s="3209"/>
      <c r="E5" s="140" t="s">
        <v>2125</v>
      </c>
      <c r="F5" s="2425"/>
      <c r="G5" s="2425"/>
      <c r="H5" s="2425"/>
      <c r="I5" s="1827"/>
    </row>
    <row r="6" spans="1:12" ht="12.75">
      <c r="A6" s="3191"/>
      <c r="B6" s="3091"/>
      <c r="C6" s="3223"/>
      <c r="D6" s="3209"/>
      <c r="E6" s="140" t="s">
        <v>2126</v>
      </c>
      <c r="F6" s="2425"/>
      <c r="G6" s="2425"/>
      <c r="H6" s="2425"/>
      <c r="I6" s="1827"/>
    </row>
    <row r="7" spans="1:12" ht="12.75">
      <c r="A7" s="3191"/>
      <c r="B7" s="3091"/>
      <c r="C7" s="3222"/>
      <c r="D7" s="3209"/>
      <c r="E7" s="140" t="s">
        <v>2127</v>
      </c>
      <c r="F7" s="2425"/>
      <c r="G7" s="2425"/>
      <c r="H7" s="2425"/>
      <c r="I7" s="1827"/>
    </row>
    <row r="8" spans="1:12" ht="12.75">
      <c r="A8" s="3191" t="s">
        <v>2128</v>
      </c>
      <c r="B8" s="3091">
        <v>15</v>
      </c>
      <c r="C8" s="3221"/>
      <c r="D8" s="3209"/>
      <c r="E8" s="140" t="s">
        <v>2129</v>
      </c>
      <c r="F8" s="2425"/>
      <c r="G8" s="2425"/>
      <c r="H8" s="2425"/>
      <c r="I8" s="1827"/>
    </row>
    <row r="9" spans="1:12" ht="12.75">
      <c r="A9" s="3191"/>
      <c r="B9" s="3091"/>
      <c r="C9" s="3222"/>
      <c r="D9" s="3209"/>
      <c r="E9" s="140" t="s">
        <v>2130</v>
      </c>
      <c r="F9" s="2425"/>
      <c r="G9" s="2425"/>
      <c r="H9" s="2425"/>
      <c r="I9" s="1827"/>
    </row>
    <row r="10" spans="1:12" ht="12.75">
      <c r="A10" s="3191" t="s">
        <v>2131</v>
      </c>
      <c r="B10" s="3091">
        <v>15</v>
      </c>
      <c r="C10" s="3221"/>
      <c r="D10" s="3209"/>
      <c r="E10" s="140" t="s">
        <v>2132</v>
      </c>
      <c r="F10" s="2425"/>
      <c r="G10" s="2425"/>
      <c r="H10" s="2425"/>
      <c r="I10" s="1827"/>
    </row>
    <row r="11" spans="1:12" ht="12.75">
      <c r="A11" s="3191"/>
      <c r="B11" s="3091"/>
      <c r="C11" s="3222"/>
      <c r="D11" s="3209"/>
      <c r="E11" s="140" t="s">
        <v>2133</v>
      </c>
      <c r="F11" s="2425"/>
      <c r="G11" s="2425"/>
      <c r="H11" s="2425"/>
      <c r="I11" s="1827"/>
    </row>
    <row r="12" spans="1:12" ht="12.75">
      <c r="A12" s="3191" t="s">
        <v>2134</v>
      </c>
      <c r="B12" s="3091">
        <v>15</v>
      </c>
      <c r="C12" s="3221"/>
      <c r="D12" s="3209"/>
      <c r="E12" s="140" t="s">
        <v>2135</v>
      </c>
      <c r="F12" s="2425"/>
      <c r="G12" s="2425"/>
      <c r="H12" s="2425"/>
      <c r="I12" s="1827"/>
    </row>
    <row r="13" spans="1:12" ht="12.75">
      <c r="A13" s="3191"/>
      <c r="B13" s="3091"/>
      <c r="C13" s="3222"/>
      <c r="D13" s="3209"/>
      <c r="E13" s="140" t="s">
        <v>2136</v>
      </c>
      <c r="F13" s="2425"/>
      <c r="G13" s="2425"/>
      <c r="H13" s="2425"/>
      <c r="I13" s="1827"/>
    </row>
    <row r="14" spans="1:12" ht="12.75">
      <c r="A14" s="3191" t="s">
        <v>2137</v>
      </c>
      <c r="B14" s="3091">
        <v>30</v>
      </c>
      <c r="C14" s="3221">
        <v>5</v>
      </c>
      <c r="D14" s="3209">
        <v>5</v>
      </c>
      <c r="E14" s="140" t="s">
        <v>2138</v>
      </c>
      <c r="F14" s="2425"/>
      <c r="G14" s="2425"/>
      <c r="H14" s="2425"/>
      <c r="I14" s="1827"/>
    </row>
    <row r="15" spans="1:12" ht="12.75">
      <c r="A15" s="3191"/>
      <c r="B15" s="3091"/>
      <c r="C15" s="3223"/>
      <c r="D15" s="3209"/>
      <c r="E15" s="140" t="s">
        <v>2139</v>
      </c>
      <c r="F15" s="2425"/>
      <c r="G15" s="2425"/>
      <c r="H15" s="2425"/>
      <c r="I15" s="1827"/>
    </row>
    <row r="16" spans="1:12" ht="12.75">
      <c r="A16" s="3191"/>
      <c r="B16" s="3091"/>
      <c r="C16" s="3222"/>
      <c r="D16" s="3209"/>
      <c r="E16" s="140" t="s">
        <v>2140</v>
      </c>
      <c r="F16" s="2425"/>
      <c r="G16" s="2425"/>
      <c r="H16" s="2425"/>
      <c r="I16" s="1827"/>
    </row>
    <row r="17" spans="1:35" ht="15">
      <c r="A17" s="2426" t="s">
        <v>2141</v>
      </c>
      <c r="B17" s="64"/>
      <c r="C17" s="141">
        <f>SUM(C5:C16)</f>
        <v>5</v>
      </c>
      <c r="D17" s="141">
        <f>SUM(D5:D16)</f>
        <v>5</v>
      </c>
      <c r="E17" s="138"/>
      <c r="F17" s="138"/>
      <c r="G17" s="138"/>
      <c r="H17" s="138"/>
      <c r="I17" s="138"/>
      <c r="K17" s="2424"/>
      <c r="L17" s="2427" t="s">
        <v>2142</v>
      </c>
      <c r="M17" s="2427" t="s">
        <v>2143</v>
      </c>
    </row>
    <row r="18" spans="1:35" ht="15.75" thickBot="1">
      <c r="A18" s="2428" t="s">
        <v>2144</v>
      </c>
      <c r="B18" s="2429"/>
      <c r="C18" s="142">
        <f>ROUND(C17/SUM(C17:D17),2)</f>
        <v>0.5</v>
      </c>
      <c r="D18" s="142">
        <f>1-C18</f>
        <v>0.5</v>
      </c>
      <c r="E18" s="138"/>
      <c r="F18" s="138"/>
      <c r="G18" s="138"/>
      <c r="H18" s="138"/>
      <c r="I18" s="138"/>
      <c r="K18" s="2424" t="s">
        <v>2145</v>
      </c>
      <c r="L18" s="2424">
        <f>IF(C1="",'数据-汇总表'!E3,SUMIF(项目类型,C1,'数据-汇总表'!E17:E26)+SUMIF(项目类型,C1,'数据-汇总表'!I17:I26))</f>
        <v>218862.73</v>
      </c>
      <c r="M18" s="2424">
        <f>IF(C1="",'数据-汇总表'!E3,SUMIF(项目类型,C1,'数据-汇总表'!E17:E26))</f>
        <v>218862.73</v>
      </c>
    </row>
    <row r="19" spans="1:35" ht="15">
      <c r="A19" s="2430" t="s">
        <v>2146</v>
      </c>
      <c r="B19" s="2431" t="s">
        <v>2147</v>
      </c>
      <c r="C19" s="143">
        <f ca="1">SUMIF(INDIRECT("'"&amp;C4&amp;"'"&amp;"!A:A"),结果表!B19,INDIRECT("'"&amp;C4&amp;"'"&amp;"!B:B"))</f>
        <v>270832</v>
      </c>
      <c r="D19" s="144">
        <f ca="1">SUMIF(INDIRECT("'"&amp;D4&amp;"'"&amp;"!A:A"),结果表!B19,INDIRECT("'"&amp;D4&amp;"'"&amp;"!B:B"))</f>
        <v>245977</v>
      </c>
      <c r="E19" s="2430" t="s">
        <v>2148</v>
      </c>
      <c r="F19" s="2431" t="s">
        <v>2147</v>
      </c>
      <c r="G19" s="145">
        <f ca="1">ROUND(C19*$C$18+D19*$D$18,0)</f>
        <v>258405</v>
      </c>
      <c r="H19" s="2432" t="s">
        <v>2149</v>
      </c>
      <c r="I19" s="138"/>
      <c r="K19" s="2424" t="s">
        <v>2150</v>
      </c>
      <c r="L19" s="2424">
        <f>IF(C1="",'数据-汇总表'!D3,SUMIF(项目类型,C1,'数据-汇总表'!D17:D26)+SUMIF(项目类型,C1,'数据-汇总表'!H17:H27))</f>
        <v>196085</v>
      </c>
      <c r="M19" s="2424">
        <f>IF(C1="",'数据-汇总表'!D3,SUMIF(项目类型,C1,'数据-汇总表'!D17:D26))</f>
        <v>196085</v>
      </c>
    </row>
    <row r="20" spans="1:35" ht="15">
      <c r="A20" s="2433"/>
      <c r="B20" s="1244" t="s">
        <v>2151</v>
      </c>
      <c r="C20" s="146">
        <f ca="1">SUMIF(INDIRECT("'"&amp;C4&amp;"'"&amp;"!A:A"),结果表!B20,INDIRECT("'"&amp;C4&amp;"'"&amp;"!B:B"))</f>
        <v>12375</v>
      </c>
      <c r="D20" s="147">
        <f ca="1">SUMIF(INDIRECT("'"&amp;D4&amp;"'"&amp;"!A:A"),结果表!B20,INDIRECT("'"&amp;D4&amp;"'"&amp;"!B:B"))</f>
        <v>11239</v>
      </c>
      <c r="E20" s="2433"/>
      <c r="F20" s="1244" t="s">
        <v>2151</v>
      </c>
      <c r="G20" s="148">
        <f ca="1">ROUND(C20*$C$18+D20*$D$18,0)</f>
        <v>11807</v>
      </c>
      <c r="H20" s="977" t="s">
        <v>2152</v>
      </c>
      <c r="I20" s="138"/>
    </row>
    <row r="21" spans="1:35" ht="15" customHeight="1" thickBot="1">
      <c r="A21" s="997"/>
      <c r="B21" s="2434" t="s">
        <v>2153</v>
      </c>
      <c r="C21" s="786">
        <f ca="1">ROUND(C19*10000/L19,0)</f>
        <v>13812</v>
      </c>
      <c r="D21" s="787">
        <f ca="1">ROUND(D19*10000/L19,0)</f>
        <v>12544</v>
      </c>
      <c r="E21" s="997"/>
      <c r="F21" s="2434" t="s">
        <v>2153</v>
      </c>
      <c r="G21" s="149">
        <f ca="1">ROUND(G19*10000/L19,0)</f>
        <v>13178</v>
      </c>
      <c r="H21" s="2435" t="s">
        <v>2152</v>
      </c>
      <c r="I21" s="138"/>
    </row>
    <row r="22" spans="1:35" ht="15" thickBot="1">
      <c r="A22" s="2277" t="s">
        <v>2154</v>
      </c>
      <c r="B22" s="2436"/>
      <c r="C22" s="2437"/>
      <c r="D22" s="788">
        <f ca="1">IF(C19&lt;D19,D19/C19-1,C19/D19-1)</f>
        <v>0.10104603275916046</v>
      </c>
      <c r="E22" s="138"/>
      <c r="F22" s="138"/>
      <c r="G22" s="138"/>
      <c r="H22" s="138"/>
      <c r="I22" s="138"/>
    </row>
    <row r="23" spans="1:35" ht="13.5" thickBot="1">
      <c r="A23" s="2414"/>
      <c r="B23" s="2414"/>
      <c r="C23" s="2414"/>
      <c r="D23" s="2414"/>
      <c r="E23" s="138"/>
      <c r="F23" s="138"/>
      <c r="G23" s="138"/>
      <c r="H23" s="138"/>
      <c r="I23" s="138"/>
    </row>
    <row r="24" spans="1:35" ht="14.25">
      <c r="A24" s="3230" t="s">
        <v>2155</v>
      </c>
      <c r="B24" s="2431" t="s">
        <v>2147</v>
      </c>
      <c r="C24" s="145">
        <f>IF(B30=0,0,D30)</f>
        <v>0</v>
      </c>
      <c r="D24" s="2438"/>
      <c r="E24" s="138"/>
      <c r="F24" s="138"/>
      <c r="G24" s="138"/>
      <c r="H24" s="138"/>
      <c r="I24" s="138"/>
    </row>
    <row r="25" spans="1:35" ht="14.25">
      <c r="A25" s="3231"/>
      <c r="B25" s="1244" t="s">
        <v>2151</v>
      </c>
      <c r="C25" s="150">
        <f>IF(B30=0,0,C30)</f>
        <v>0</v>
      </c>
      <c r="D25" s="2439"/>
      <c r="E25" s="138"/>
      <c r="F25" s="138"/>
      <c r="G25" s="138"/>
      <c r="H25" s="138"/>
      <c r="I25" s="138"/>
    </row>
    <row r="26" spans="1:35" ht="13.5" customHeight="1">
      <c r="A26" s="2440" t="s">
        <v>2156</v>
      </c>
      <c r="B26" s="151" t="s">
        <v>2157</v>
      </c>
      <c r="C26" s="151" t="s">
        <v>2158</v>
      </c>
      <c r="D26" s="152" t="s">
        <v>2159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2160</v>
      </c>
      <c r="B30" s="151"/>
      <c r="C30" s="151"/>
      <c r="D30" s="151"/>
      <c r="E30" s="2913" t="s">
        <v>3031</v>
      </c>
      <c r="F30" s="138"/>
      <c r="G30" s="138"/>
      <c r="H30" s="138"/>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2161</v>
      </c>
      <c r="B32" s="2444"/>
      <c r="C32" s="153">
        <f ca="1">IF(D32="总价",G19-C24,G20-C25)</f>
        <v>258405</v>
      </c>
      <c r="D32" s="2445" t="s">
        <v>2162</v>
      </c>
      <c r="E32" s="138"/>
      <c r="F32" s="138"/>
      <c r="G32" s="138"/>
      <c r="H32" s="138"/>
      <c r="I32" s="138"/>
    </row>
    <row r="33" spans="1:15" ht="15">
      <c r="A33" s="954" t="s">
        <v>2163</v>
      </c>
      <c r="B33" s="2446"/>
      <c r="C33" s="2447" t="s">
        <v>3083</v>
      </c>
      <c r="D33" s="2448" t="s">
        <v>3081</v>
      </c>
      <c r="E33" s="2449" t="s">
        <v>2164</v>
      </c>
      <c r="F33" s="2450" t="str">
        <f>IF(D32="楼面单价","取值（单价）","取值（总价）")</f>
        <v>取值（总价）</v>
      </c>
      <c r="G33" s="138"/>
      <c r="H33" s="138"/>
      <c r="I33" s="138"/>
    </row>
    <row r="34" spans="1:15" ht="15">
      <c r="A34" s="2451"/>
      <c r="B34" s="2452" t="s">
        <v>2165</v>
      </c>
      <c r="C34" s="155">
        <f ca="1">IF(C33="自定义",F34,C32-C35)</f>
        <v>57883</v>
      </c>
      <c r="D34" s="1052">
        <f ca="1">IF(C33="自定义",ROUND(C34/C32,3),IF(C33="收益比率",SUMIF(INDIRECT("'"&amp;D33&amp;"'"&amp;"!b:b"),"土地收益比率",INDIRECT("'"&amp;D33&amp;"'"&amp;"!c:c")),SUMIF(INDIRECT("'"&amp;D33&amp;"'"&amp;"!b:b"),"土地成本比率",INDIRECT("'"&amp;D33&amp;"'"&amp;"!c:c"))))</f>
        <v>0.22399999999999998</v>
      </c>
      <c r="E34" s="2453" t="s">
        <v>2166</v>
      </c>
      <c r="F34" s="1732"/>
      <c r="G34" s="138"/>
      <c r="H34" s="138"/>
      <c r="I34" s="138"/>
    </row>
    <row r="35" spans="1:15" ht="15.75" thickBot="1">
      <c r="A35" s="2454"/>
      <c r="B35" s="2455" t="s">
        <v>2167</v>
      </c>
      <c r="C35" s="1438">
        <f ca="1">IF(C33="自定义",F35,ROUND(C32*D35,0))</f>
        <v>200522</v>
      </c>
      <c r="D35" s="1439">
        <f ca="1">IF(C33="自定义",ROUND(C35/C32,3),IF(C33="收益比率",SUMIF(INDIRECT("'"&amp;D33&amp;"'"&amp;"!b:b"),"建筑物收益比率",INDIRECT("'"&amp;D33&amp;"'"&amp;"!c:c")),SUMIF(INDIRECT("'"&amp;D33&amp;"'"&amp;"!b:b"),"建筑物成本比率",INDIRECT("'"&amp;D33&amp;"'"&amp;"!c:c"))))</f>
        <v>0.77600000000000002</v>
      </c>
      <c r="E35" s="2456" t="s">
        <v>2168</v>
      </c>
      <c r="F35" s="161"/>
      <c r="G35" s="138"/>
      <c r="H35" s="138"/>
      <c r="I35" s="138"/>
    </row>
    <row r="36" spans="1:15" ht="15.75" thickBot="1">
      <c r="A36" s="3210" t="s">
        <v>2169</v>
      </c>
      <c r="B36" s="2457" t="s">
        <v>2170</v>
      </c>
      <c r="C36" s="3022"/>
      <c r="D36" s="2458"/>
      <c r="E36" s="2459"/>
      <c r="F36" s="2460"/>
      <c r="G36" s="138"/>
      <c r="H36" s="138"/>
      <c r="I36" s="138"/>
    </row>
    <row r="37" spans="1:15" ht="15.75" thickBot="1">
      <c r="A37" s="3211"/>
      <c r="B37" s="2263" t="s">
        <v>2171</v>
      </c>
      <c r="C37" s="3023">
        <f>ROUND((SUM(遵义大酒店建设项目内部计量台账!AB5:AB46)-SUM(遵义大酒店建设项目内部计量台账!AD5:AD46))/10000,0)</f>
        <v>24981</v>
      </c>
      <c r="D37" s="1389"/>
      <c r="E37" s="1389"/>
      <c r="F37" s="2460"/>
      <c r="G37" s="138"/>
      <c r="H37" s="138"/>
      <c r="I37" s="138"/>
    </row>
    <row r="38" spans="1:15" ht="15.75" thickBot="1">
      <c r="A38" s="3212"/>
      <c r="B38" s="2461" t="s">
        <v>2172</v>
      </c>
      <c r="C38" s="3024">
        <f>ROUND((遵义大酒店建设项目内部计量台账!F101-遵义大酒店建设项目内部计量台账!AD101)/10000,0)</f>
        <v>39595</v>
      </c>
      <c r="D38" s="2462" t="s">
        <v>2173</v>
      </c>
      <c r="E38" s="1389"/>
      <c r="F38" s="2460"/>
      <c r="G38" s="138"/>
      <c r="H38" s="138"/>
      <c r="I38" s="138"/>
    </row>
    <row r="39" spans="1:15" ht="15">
      <c r="A39" s="2433" t="s">
        <v>2174</v>
      </c>
      <c r="B39" s="2463" t="s">
        <v>2175</v>
      </c>
      <c r="C39" s="2464" t="s">
        <v>2176</v>
      </c>
      <c r="D39" s="2464" t="s">
        <v>2177</v>
      </c>
      <c r="E39" s="2465" t="s">
        <v>2178</v>
      </c>
      <c r="F39" s="2460"/>
      <c r="G39" s="138"/>
      <c r="H39" s="138"/>
      <c r="I39" s="138"/>
    </row>
    <row r="40" spans="1:15" ht="14.25">
      <c r="A40" s="2466" t="s">
        <v>2179</v>
      </c>
      <c r="B40" s="156"/>
      <c r="C40" s="157"/>
      <c r="D40" s="157"/>
      <c r="E40" s="158"/>
      <c r="F40" s="2460"/>
      <c r="G40" s="138"/>
      <c r="H40" s="138"/>
      <c r="I40" s="138"/>
    </row>
    <row r="41" spans="1:15" ht="14.25">
      <c r="A41" s="2466" t="s">
        <v>2180</v>
      </c>
      <c r="B41" s="156"/>
      <c r="C41" s="157"/>
      <c r="D41" s="157"/>
      <c r="E41" s="158"/>
      <c r="F41" s="2460"/>
      <c r="G41" s="138"/>
      <c r="H41" s="138"/>
      <c r="I41" s="138"/>
    </row>
    <row r="42" spans="1:15" ht="15" thickBot="1">
      <c r="A42" s="2467"/>
      <c r="B42" s="159"/>
      <c r="C42" s="160"/>
      <c r="D42" s="160"/>
      <c r="E42" s="161"/>
      <c r="F42" s="2460"/>
      <c r="G42" s="138"/>
      <c r="H42" s="138"/>
      <c r="I42" s="138"/>
    </row>
    <row r="43" spans="1:15" ht="12.75">
      <c r="A43" s="2161"/>
      <c r="B43" s="2161"/>
      <c r="C43" s="2161"/>
      <c r="D43" s="2161"/>
      <c r="E43" s="2161"/>
      <c r="F43" s="2468"/>
      <c r="G43" s="2468"/>
      <c r="H43" s="2468"/>
      <c r="I43" s="2469"/>
    </row>
    <row r="44" spans="1:15" ht="18.75" hidden="1">
      <c r="A44" s="2470" t="s">
        <v>2181</v>
      </c>
      <c r="B44" s="2471"/>
      <c r="C44" s="2471"/>
      <c r="D44" s="2472"/>
      <c r="E44" s="2472"/>
      <c r="F44" s="2473"/>
      <c r="G44" s="2473"/>
      <c r="H44" s="2473"/>
      <c r="I44" s="2473"/>
      <c r="J44" s="2474" t="s">
        <v>2182</v>
      </c>
      <c r="K44" s="2475"/>
      <c r="L44" s="2475"/>
      <c r="M44" s="2475"/>
      <c r="N44" s="2475"/>
      <c r="O44" s="2475"/>
    </row>
    <row r="45" spans="1:15" ht="14.25" hidden="1" customHeight="1" thickBot="1">
      <c r="A45" s="3227" t="s">
        <v>2183</v>
      </c>
      <c r="B45" s="3228"/>
      <c r="C45" s="3229"/>
      <c r="D45" s="162">
        <f ca="1">ROUND(H101*F45,0)</f>
        <v>258405</v>
      </c>
      <c r="E45" s="163" t="s">
        <v>2184</v>
      </c>
      <c r="F45" s="164">
        <v>1</v>
      </c>
      <c r="G45" s="165" t="s">
        <v>2185</v>
      </c>
      <c r="H45" s="138"/>
      <c r="I45" s="138"/>
      <c r="J45" s="3146" t="s">
        <v>2186</v>
      </c>
      <c r="K45" s="3146"/>
      <c r="L45" s="3146"/>
      <c r="M45" s="3146"/>
      <c r="N45" s="3146"/>
      <c r="O45" s="3146"/>
    </row>
    <row r="46" spans="1:15" ht="14.25" hidden="1" customHeight="1">
      <c r="A46" s="3224" t="s">
        <v>2187</v>
      </c>
      <c r="B46" s="3225"/>
      <c r="C46" s="3225"/>
      <c r="D46" s="3225"/>
      <c r="E46" s="3225"/>
      <c r="F46" s="3225"/>
      <c r="G46" s="3226"/>
      <c r="H46" s="2476"/>
      <c r="I46" s="166"/>
      <c r="J46" s="1805">
        <v>1</v>
      </c>
      <c r="K46" s="3146" t="s">
        <v>2188</v>
      </c>
      <c r="L46" s="3146"/>
      <c r="M46" s="3147"/>
      <c r="N46" s="3147"/>
      <c r="O46" s="3147"/>
    </row>
    <row r="47" spans="1:15" ht="12" hidden="1" customHeight="1">
      <c r="A47" s="167" t="s">
        <v>2189</v>
      </c>
      <c r="B47" s="168"/>
      <c r="C47" s="169"/>
      <c r="D47" s="170" t="s">
        <v>2190</v>
      </c>
      <c r="E47" s="24" t="s">
        <v>2191</v>
      </c>
      <c r="F47" s="171" t="s">
        <v>2192</v>
      </c>
      <c r="G47" s="172" t="s">
        <v>2193</v>
      </c>
      <c r="H47" s="2476"/>
      <c r="I47" s="166"/>
      <c r="J47" s="1805">
        <v>2</v>
      </c>
      <c r="K47" s="3146" t="s">
        <v>2194</v>
      </c>
      <c r="L47" s="3146"/>
      <c r="M47" s="3148">
        <f>'数据-取费表'!B2</f>
        <v>43905</v>
      </c>
      <c r="N47" s="3148"/>
      <c r="O47" s="3148"/>
    </row>
    <row r="48" spans="1:15" ht="25.5" hidden="1">
      <c r="A48" s="3214" t="s">
        <v>2195</v>
      </c>
      <c r="B48" s="3215"/>
      <c r="C48" s="3215"/>
      <c r="D48" s="140">
        <f>IF(H48="情况1",0,IF(H48="情况2",D52,IF(H48="情况3",D53,IF(H48="情况4",D54))))</f>
        <v>0</v>
      </c>
      <c r="E48" s="1794" t="str">
        <f>IF(H48="情况4","(销售额-原购置价)×税（费）率","销售额×税（费）率")</f>
        <v>销售额×税（费）率</v>
      </c>
      <c r="F48" s="173" t="str">
        <f>IF(H48="情况1","免征",'数据-取费表'!B41)</f>
        <v>免征</v>
      </c>
      <c r="G48" s="2477" t="s">
        <v>2196</v>
      </c>
      <c r="H48" s="2478" t="s">
        <v>2197</v>
      </c>
      <c r="I48" s="2476"/>
      <c r="J48" s="1805">
        <v>3</v>
      </c>
      <c r="K48" s="3146" t="s">
        <v>2198</v>
      </c>
      <c r="L48" s="3146"/>
      <c r="M48" s="3149">
        <f ca="1">H101</f>
        <v>258405</v>
      </c>
      <c r="N48" s="3149"/>
      <c r="O48" s="3149"/>
    </row>
    <row r="49" spans="1:35" ht="25.5" hidden="1" customHeight="1">
      <c r="A49" s="174" t="s">
        <v>2199</v>
      </c>
      <c r="B49" s="3194" t="s">
        <v>2200</v>
      </c>
      <c r="C49" s="3194"/>
      <c r="D49" s="175">
        <v>0</v>
      </c>
      <c r="E49" s="23" t="s">
        <v>2201</v>
      </c>
      <c r="F49" s="28" t="s">
        <v>34</v>
      </c>
      <c r="G49" s="3175"/>
      <c r="H49" s="138"/>
      <c r="I49" s="2479"/>
      <c r="J49" s="1805">
        <v>4</v>
      </c>
      <c r="K49" s="3146" t="str">
        <f>IF(项目基本情况!E8="房地产抵押价值","房地产抵押价值","抵押担保权已注销时的房地产抵押价值")</f>
        <v>抵押担保权已注销时的房地产抵押价值</v>
      </c>
      <c r="L49" s="3146"/>
      <c r="M49" s="3149" t="str">
        <f>IF(项目基本情况!E8="房地产抵押价值",H107,H109)</f>
        <v>——</v>
      </c>
      <c r="N49" s="3149"/>
      <c r="O49" s="3149"/>
    </row>
    <row r="50" spans="1:35" ht="25.5" hidden="1" customHeight="1">
      <c r="A50" s="176"/>
      <c r="B50" s="3194" t="s">
        <v>2202</v>
      </c>
      <c r="C50" s="3194"/>
      <c r="D50" s="177"/>
      <c r="E50" s="31"/>
      <c r="F50" s="178"/>
      <c r="G50" s="3176"/>
      <c r="H50" s="138"/>
      <c r="I50" s="2479"/>
      <c r="J50" s="3146" t="s">
        <v>2203</v>
      </c>
      <c r="K50" s="3146"/>
      <c r="L50" s="3146"/>
      <c r="M50" s="3146"/>
      <c r="N50" s="3146"/>
      <c r="O50" s="3146"/>
    </row>
    <row r="51" spans="1:35" ht="12" hidden="1" customHeight="1">
      <c r="A51" s="179"/>
      <c r="B51" s="3194" t="s">
        <v>2204</v>
      </c>
      <c r="C51" s="3194"/>
      <c r="D51" s="180"/>
      <c r="E51" s="30"/>
      <c r="F51" s="178"/>
      <c r="G51" s="3177"/>
      <c r="H51" s="138"/>
      <c r="I51" s="2479"/>
      <c r="J51" s="2480" t="s">
        <v>2205</v>
      </c>
      <c r="K51" s="3146" t="s">
        <v>2206</v>
      </c>
      <c r="L51" s="3146"/>
      <c r="M51" s="2480" t="s">
        <v>2207</v>
      </c>
      <c r="N51" s="2480" t="s">
        <v>2208</v>
      </c>
      <c r="O51" s="2480" t="s">
        <v>2209</v>
      </c>
    </row>
    <row r="52" spans="1:35" ht="24" hidden="1" customHeight="1">
      <c r="A52" s="181" t="s">
        <v>2210</v>
      </c>
      <c r="B52" s="3194" t="s">
        <v>2211</v>
      </c>
      <c r="C52" s="3194"/>
      <c r="D52" s="180">
        <f ca="1">ROUND(D45*'数据-取费表'!B41/(1+'数据-取费表'!C42),0)</f>
        <v>13782</v>
      </c>
      <c r="E52" s="11" t="s">
        <v>2212</v>
      </c>
      <c r="F52" s="182">
        <f>'数据-取费表'!B41</f>
        <v>5.6000000000000001E-2</v>
      </c>
      <c r="G52" s="2481"/>
      <c r="H52" s="138"/>
      <c r="I52" s="2479"/>
      <c r="J52" s="1805">
        <v>1</v>
      </c>
      <c r="K52" s="3169" t="s">
        <v>2213</v>
      </c>
      <c r="L52" s="3169"/>
      <c r="M52" s="1747">
        <f>D48</f>
        <v>0</v>
      </c>
      <c r="N52" s="1805" t="str">
        <f>E48</f>
        <v>销售额×税（费）率</v>
      </c>
      <c r="O52" s="1748" t="str">
        <f>F48</f>
        <v>免征</v>
      </c>
    </row>
    <row r="53" spans="1:35" ht="12" hidden="1" customHeight="1">
      <c r="A53" s="181" t="s">
        <v>2214</v>
      </c>
      <c r="B53" s="3195" t="s">
        <v>2215</v>
      </c>
      <c r="C53" s="3196"/>
      <c r="D53" s="180">
        <f ca="1">ROUND(D45*'数据-取费表'!B41/(1+'数据-取费表'!C42),0)</f>
        <v>13782</v>
      </c>
      <c r="E53" s="11" t="s">
        <v>2212</v>
      </c>
      <c r="F53" s="182">
        <f>'数据-取费表'!B41</f>
        <v>5.6000000000000001E-2</v>
      </c>
      <c r="G53" s="2481"/>
      <c r="H53" s="138"/>
      <c r="I53" s="2479"/>
      <c r="J53" s="1805">
        <v>2</v>
      </c>
      <c r="K53" s="3169" t="s">
        <v>2216</v>
      </c>
      <c r="L53" s="3169"/>
      <c r="M53" s="1747">
        <f t="shared" ref="M53:O54" ca="1" si="0">D55</f>
        <v>129</v>
      </c>
      <c r="N53" s="1805" t="str">
        <f t="shared" si="0"/>
        <v>销售额×税（费）率</v>
      </c>
      <c r="O53" s="1748">
        <f t="shared" si="0"/>
        <v>5.0000000000000001E-4</v>
      </c>
    </row>
    <row r="54" spans="1:35" ht="12" hidden="1" customHeight="1">
      <c r="A54" s="181" t="s">
        <v>2217</v>
      </c>
      <c r="B54" s="3195" t="s">
        <v>2218</v>
      </c>
      <c r="C54" s="3196"/>
      <c r="D54" s="180">
        <f ca="1">C68</f>
        <v>13782</v>
      </c>
      <c r="E54" s="30" t="s">
        <v>2219</v>
      </c>
      <c r="F54" s="182">
        <f>'数据-取费表'!B41</f>
        <v>5.6000000000000001E-2</v>
      </c>
      <c r="G54" s="2481"/>
      <c r="H54" s="2482"/>
      <c r="I54" s="2479"/>
      <c r="J54" s="1805">
        <v>3</v>
      </c>
      <c r="K54" s="3169" t="s">
        <v>2220</v>
      </c>
      <c r="L54" s="3169"/>
      <c r="M54" s="1747">
        <f t="shared" ca="1" si="0"/>
        <v>146257</v>
      </c>
      <c r="N54" s="1805" t="str">
        <f t="shared" si="0"/>
        <v>增值额×税（费）率</v>
      </c>
      <c r="O54" s="1749" t="str">
        <f t="shared" si="0"/>
        <v>——</v>
      </c>
    </row>
    <row r="55" spans="1:35" ht="24" hidden="1" customHeight="1">
      <c r="A55" s="3233" t="s">
        <v>2221</v>
      </c>
      <c r="B55" s="3215"/>
      <c r="C55" s="3215"/>
      <c r="D55" s="183">
        <f ca="1">IF(H55="个人住宅",0,ROUND(D45*I55,0))</f>
        <v>129</v>
      </c>
      <c r="E55" s="11" t="s">
        <v>2222</v>
      </c>
      <c r="F55" s="182">
        <f>IF(H55="正常",I55,"免征")</f>
        <v>5.0000000000000001E-4</v>
      </c>
      <c r="G55" s="2481"/>
      <c r="H55" s="2478" t="s">
        <v>2223</v>
      </c>
      <c r="I55" s="184">
        <f>'数据-取费表'!B49</f>
        <v>5.0000000000000001E-4</v>
      </c>
      <c r="J55" s="1805" t="str">
        <f>IF(H59="非个人房产","",4)</f>
        <v/>
      </c>
      <c r="K55" s="3169" t="str">
        <f>IF(H59="非个人房产","——","个人所得税")</f>
        <v>——</v>
      </c>
      <c r="L55" s="3169"/>
      <c r="M55" s="1750" t="str">
        <f>D59</f>
        <v>——</v>
      </c>
      <c r="N55" s="1803" t="str">
        <f>E59</f>
        <v>——</v>
      </c>
      <c r="O55" s="1751" t="str">
        <f>F59</f>
        <v>——</v>
      </c>
    </row>
    <row r="56" spans="1:35" ht="24.75" hidden="1">
      <c r="A56" s="3233" t="s">
        <v>2224</v>
      </c>
      <c r="B56" s="3215"/>
      <c r="C56" s="3215"/>
      <c r="D56" s="183">
        <f ca="1">IF(H56="个人住宅",D57,D58)</f>
        <v>146257</v>
      </c>
      <c r="E56" s="11" t="s">
        <v>2225</v>
      </c>
      <c r="F56" s="182" t="str">
        <f>IF(H56="正常",F58,"免征")</f>
        <v>——</v>
      </c>
      <c r="G56" s="2483" t="s">
        <v>2226</v>
      </c>
      <c r="H56" s="2484" t="s">
        <v>2223</v>
      </c>
      <c r="I56" s="2485"/>
      <c r="J56" s="1805" t="str">
        <f>IF(项目基本情况!K6="上海银行",IF(J55="",4,J55+1),"")</f>
        <v/>
      </c>
      <c r="K56" s="3152" t="str">
        <f>IF(项目基本情况!K6="上海银行","其他处置费用","")</f>
        <v/>
      </c>
      <c r="L56" s="3153"/>
      <c r="M56" s="1747" t="str">
        <f>IF(项目基本情况!K6="上海银行",M69,"")</f>
        <v/>
      </c>
      <c r="N56" s="3155" t="str">
        <f>IF(项目基本情况!K6="上海银行","包含处置中涉及的律师、诉讼、拍卖、评估等费用","")</f>
        <v/>
      </c>
      <c r="O56" s="3156"/>
    </row>
    <row r="57" spans="1:35" ht="12.75" hidden="1">
      <c r="A57" s="181" t="s">
        <v>2199</v>
      </c>
      <c r="B57" s="3200" t="s">
        <v>2227</v>
      </c>
      <c r="C57" s="3201"/>
      <c r="D57" s="185">
        <v>0</v>
      </c>
      <c r="E57" s="23" t="s">
        <v>2201</v>
      </c>
      <c r="F57" s="154"/>
      <c r="G57" s="2481"/>
      <c r="H57" s="2485"/>
      <c r="I57" s="2485"/>
      <c r="J57" s="3169">
        <f>IF(AND(J55="",J56=""),4,IF(项目基本情况!K6="上海银行",结果表!J56+1,结果表!J55+1))</f>
        <v>4</v>
      </c>
      <c r="K57" s="3169" t="s">
        <v>2228</v>
      </c>
      <c r="L57" s="2486" t="s">
        <v>2229</v>
      </c>
      <c r="M57" s="1752"/>
      <c r="N57" s="1753">
        <f ca="1">SUMIF(M52:M56,"&lt;9e307")</f>
        <v>146386</v>
      </c>
      <c r="O57" s="2487"/>
      <c r="P57" s="1746" t="e">
        <f ca="1">N57/M49</f>
        <v>#VALUE!</v>
      </c>
    </row>
    <row r="58" spans="1:35" ht="24.75" hidden="1">
      <c r="A58" s="181" t="s">
        <v>2210</v>
      </c>
      <c r="B58" s="3200" t="s">
        <v>2230</v>
      </c>
      <c r="C58" s="3213"/>
      <c r="D58" s="183">
        <f ca="1">IF(H58="转让取得",C81,C97)</f>
        <v>146257</v>
      </c>
      <c r="E58" s="11" t="s">
        <v>2225</v>
      </c>
      <c r="F58" s="24" t="s">
        <v>34</v>
      </c>
      <c r="G58" s="2481"/>
      <c r="H58" s="2484" t="s">
        <v>2231</v>
      </c>
      <c r="I58" s="2485"/>
      <c r="J58" s="3169"/>
      <c r="K58" s="3169"/>
      <c r="L58" s="2486" t="s">
        <v>2232</v>
      </c>
      <c r="M58" s="1754"/>
      <c r="N58" s="2488" t="str">
        <f ca="1">NUMBERSTRING(INT(N57*10000),2)&amp;"元整"</f>
        <v>壹拾肆亿陆仟叁佰捌拾陆万元整</v>
      </c>
      <c r="O58" s="2489"/>
    </row>
    <row r="59" spans="1:35" ht="24.75" hidden="1" thickBot="1">
      <c r="A59" s="3173" t="s">
        <v>2233</v>
      </c>
      <c r="B59" s="3174"/>
      <c r="C59" s="3174"/>
      <c r="D59" s="186" t="str">
        <f>IF(H59="非个人房产","——",IF(H59="个人住宅",0,ROUND(D45*I59,0)))</f>
        <v>——</v>
      </c>
      <c r="E59" s="187" t="str">
        <f>IF(H59="非个人房产","——","销售额×税（费）率")</f>
        <v>——</v>
      </c>
      <c r="F59" s="188" t="str">
        <f>IF(H59="非个人房产","——",IF(H59="个人住宅","免征",I59))</f>
        <v>——</v>
      </c>
      <c r="G59" s="2490" t="s">
        <v>2226</v>
      </c>
      <c r="H59" s="2484" t="s">
        <v>2234</v>
      </c>
      <c r="I59" s="189">
        <v>0.01</v>
      </c>
      <c r="J59" s="3171">
        <f>J57+1</f>
        <v>5</v>
      </c>
      <c r="K59" s="3169" t="s">
        <v>2235</v>
      </c>
      <c r="L59" s="1805" t="s">
        <v>2229</v>
      </c>
      <c r="M59" s="1755"/>
      <c r="N59" s="1756" t="e">
        <f ca="1">M49-N57</f>
        <v>#VALUE!</v>
      </c>
      <c r="O59" s="2491"/>
    </row>
    <row r="60" spans="1:35" ht="12" hidden="1" customHeight="1">
      <c r="A60" s="2492"/>
      <c r="B60" s="2414"/>
      <c r="C60" s="2414"/>
      <c r="D60" s="2414"/>
      <c r="E60" s="2162"/>
      <c r="F60" s="2485"/>
      <c r="G60" s="2485"/>
      <c r="H60" s="2493"/>
      <c r="I60" s="138"/>
      <c r="J60" s="3172"/>
      <c r="K60" s="3169"/>
      <c r="L60" s="2486" t="s">
        <v>2232</v>
      </c>
      <c r="M60" s="1754"/>
      <c r="N60" s="2488" t="e">
        <f ca="1">NUMBERSTRING(INT(N59*10000),2)&amp;"元整"</f>
        <v>#VALUE!</v>
      </c>
      <c r="O60" s="2489"/>
    </row>
    <row r="61" spans="1:35" ht="13.5" hidden="1" thickBot="1">
      <c r="A61" s="3232" t="s">
        <v>2236</v>
      </c>
      <c r="B61" s="3232"/>
      <c r="C61" s="3232"/>
      <c r="D61" s="3232"/>
      <c r="E61" s="3232"/>
      <c r="F61" s="2485"/>
      <c r="G61" s="2485"/>
      <c r="H61" s="2493"/>
      <c r="I61" s="138"/>
      <c r="J61" s="1805">
        <f>J59+1</f>
        <v>6</v>
      </c>
      <c r="K61" s="3169" t="s">
        <v>2237</v>
      </c>
      <c r="L61" s="3169"/>
      <c r="M61" s="1757"/>
      <c r="N61" s="1758" t="e">
        <f ca="1">ROUND(N59*10000/'数据-汇总表'!E3,0)</f>
        <v>#VALUE!</v>
      </c>
      <c r="O61" s="2494"/>
    </row>
    <row r="62" spans="1:35" ht="12.75" hidden="1">
      <c r="A62" s="3189" t="s">
        <v>2238</v>
      </c>
      <c r="B62" s="3190"/>
      <c r="C62" s="1797"/>
      <c r="D62" s="1797" t="s">
        <v>2239</v>
      </c>
      <c r="E62" s="190" t="s">
        <v>2240</v>
      </c>
      <c r="F62" s="2485"/>
      <c r="G62" s="2485"/>
      <c r="H62" s="2493"/>
      <c r="I62" s="138"/>
    </row>
    <row r="63" spans="1:35" ht="12.75" hidden="1">
      <c r="A63" s="201" t="s">
        <v>775</v>
      </c>
      <c r="B63" s="191" t="s">
        <v>2241</v>
      </c>
      <c r="C63" s="192">
        <f ca="1">ROUND((C64+C65)/(1+'数据-取费表'!C42),0)</f>
        <v>246100</v>
      </c>
      <c r="D63" s="193"/>
      <c r="E63" s="194"/>
      <c r="F63" s="2485"/>
      <c r="G63" s="2485"/>
      <c r="H63" s="2493"/>
      <c r="I63" s="138"/>
      <c r="J63" s="3154" t="s">
        <v>2242</v>
      </c>
      <c r="K63" s="2495" t="s">
        <v>2243</v>
      </c>
      <c r="L63" s="1745" t="e">
        <f>IF(M49&gt;10000,M49*0.5%,IF(AND(M49&gt;1000,M49&lt;=10000),M49*1%,IF(AND(M49&gt;100,M49&lt;=1000),M49*3%,IF(AND(M49&gt;10,M49&lt;=100),M49*5%,M49*8%))))</f>
        <v>#VALUE!</v>
      </c>
      <c r="M63" s="24" t="e">
        <f>ROUND(L63,1)</f>
        <v>#VALUE!</v>
      </c>
      <c r="Z63" s="2419"/>
      <c r="AI63" s="2420"/>
    </row>
    <row r="64" spans="1:35" ht="14.25" hidden="1" customHeight="1">
      <c r="A64" s="195" t="s">
        <v>770</v>
      </c>
      <c r="B64" s="196" t="s">
        <v>2244</v>
      </c>
      <c r="C64" s="197">
        <f ca="1">D45</f>
        <v>258405</v>
      </c>
      <c r="D64" s="198" t="s">
        <v>32</v>
      </c>
      <c r="E64" s="199"/>
      <c r="F64" s="2485"/>
      <c r="G64" s="2485"/>
      <c r="H64" s="2493"/>
      <c r="I64" s="138"/>
      <c r="J64" s="3154"/>
      <c r="K64" s="2495" t="s">
        <v>2245</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19"/>
      <c r="AI64" s="2420"/>
    </row>
    <row r="65" spans="1:35" ht="14.25" hidden="1" customHeight="1">
      <c r="A65" s="195" t="s">
        <v>771</v>
      </c>
      <c r="B65" s="196" t="s">
        <v>2247</v>
      </c>
      <c r="C65" s="200"/>
      <c r="D65" s="198"/>
      <c r="E65" s="199"/>
      <c r="F65" s="2485"/>
      <c r="G65" s="2485"/>
      <c r="H65" s="2493"/>
      <c r="I65" s="138"/>
      <c r="J65" s="3154"/>
      <c r="K65" s="2495" t="s">
        <v>2248</v>
      </c>
      <c r="L65" s="1745" t="e">
        <f>IF(M49&gt;1000,M49*0.1%,IF(AND(M49&gt;500,M49&lt;=1000),M49*0.5%,IF(AND(M49&gt;50,M49&lt;=500),M49*1%,IF(AND(M49&gt;1,M49&lt;=50),M49*1.5%))))</f>
        <v>#VALUE!</v>
      </c>
      <c r="M65" s="24" t="e">
        <f t="shared" si="1"/>
        <v>#VALUE!</v>
      </c>
      <c r="N65" s="138" t="s">
        <v>2246</v>
      </c>
      <c r="Z65" s="2419"/>
      <c r="AI65" s="2420"/>
    </row>
    <row r="66" spans="1:35" ht="14.25" hidden="1" customHeight="1">
      <c r="A66" s="201" t="s">
        <v>772</v>
      </c>
      <c r="B66" s="202" t="s">
        <v>2249</v>
      </c>
      <c r="C66" s="203"/>
      <c r="D66" s="204" t="s">
        <v>32</v>
      </c>
      <c r="E66" s="1769" t="s">
        <v>1366</v>
      </c>
      <c r="F66" s="2485"/>
      <c r="G66" s="2485"/>
      <c r="H66" s="2493"/>
      <c r="I66" s="138"/>
      <c r="J66" s="3154"/>
      <c r="K66" s="2495" t="s">
        <v>2250</v>
      </c>
      <c r="L66" s="1745" t="e">
        <f>M49*0.5%</f>
        <v>#VALUE!</v>
      </c>
      <c r="M66" s="24" t="e">
        <f>IF(L66&gt;0.5,0.5,ROUND(L66,0))</f>
        <v>#VALUE!</v>
      </c>
      <c r="N66" s="138" t="s">
        <v>2251</v>
      </c>
      <c r="Z66" s="2419"/>
      <c r="AI66" s="2420"/>
    </row>
    <row r="67" spans="1:35" ht="14.25" hidden="1" customHeight="1">
      <c r="A67" s="201" t="s">
        <v>773</v>
      </c>
      <c r="B67" s="202" t="s">
        <v>2252</v>
      </c>
      <c r="C67" s="205">
        <f ca="1">C63-C66</f>
        <v>246100</v>
      </c>
      <c r="D67" s="198" t="s">
        <v>32</v>
      </c>
      <c r="E67" s="199"/>
      <c r="F67" s="2485"/>
      <c r="G67" s="2485"/>
      <c r="H67" s="2493"/>
      <c r="I67" s="138"/>
      <c r="J67" s="3154"/>
      <c r="K67" s="2495" t="s">
        <v>2253</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hidden="1" customHeight="1" thickBot="1">
      <c r="A68" s="206" t="s">
        <v>774</v>
      </c>
      <c r="B68" s="207" t="s">
        <v>2254</v>
      </c>
      <c r="C68" s="208">
        <f ca="1">IF(C67&lt;=0,0,ROUND(C67*D68,0))</f>
        <v>13782</v>
      </c>
      <c r="D68" s="209">
        <f>'数据-取费表'!B41</f>
        <v>5.6000000000000001E-2</v>
      </c>
      <c r="E68" s="210"/>
      <c r="F68" s="2485"/>
      <c r="G68" s="2485"/>
      <c r="H68" s="2493"/>
      <c r="I68" s="138"/>
      <c r="J68" s="3154"/>
      <c r="K68" s="2495" t="s">
        <v>2255</v>
      </c>
      <c r="L68" s="1745" t="e">
        <f>IF(M49&gt;10000,M49*0.5%,IF(AND(M49&gt;5000,M49&lt;=10000),M49*1%,IF(AND(M49&gt;1000,M49&lt;=5000),M49*2%,IF(AND(M49&gt;200,M49&lt;=1000),M49*3%,M49*5%))))</f>
        <v>#VALUE!</v>
      </c>
      <c r="M68" s="24" t="e">
        <f>ROUND(L68,1)</f>
        <v>#VALUE!</v>
      </c>
      <c r="Z68" s="2419"/>
      <c r="AI68" s="2420"/>
    </row>
    <row r="69" spans="1:35" s="2442" customFormat="1" ht="16.5" hidden="1" customHeight="1">
      <c r="A69" s="2496"/>
      <c r="B69" s="2497"/>
      <c r="C69" s="2498"/>
      <c r="D69" s="2499"/>
      <c r="E69" s="2500"/>
      <c r="F69" s="2162"/>
      <c r="G69" s="2162"/>
      <c r="H69" s="2161"/>
      <c r="I69" s="2414"/>
      <c r="J69" s="3154"/>
      <c r="K69" s="2495" t="s">
        <v>2256</v>
      </c>
      <c r="L69" s="2501"/>
      <c r="M69" s="24" t="e">
        <f>ROUND(SUM(M63:M68),0)</f>
        <v>#VALUE!</v>
      </c>
      <c r="N69" s="1746" t="e">
        <f>M69/M49</f>
        <v>#VALUE!</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hidden="1" thickBot="1">
      <c r="A70" s="3198" t="s">
        <v>2257</v>
      </c>
      <c r="B70" s="3199"/>
      <c r="C70" s="3199"/>
      <c r="D70" s="3199"/>
      <c r="E70" s="3199"/>
      <c r="F70" s="3199"/>
      <c r="G70" s="3199"/>
      <c r="H70" s="319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89" t="s">
        <v>2238</v>
      </c>
      <c r="B71" s="3190"/>
      <c r="C71" s="1797"/>
      <c r="D71" s="1797" t="s">
        <v>2239</v>
      </c>
      <c r="E71" s="211" t="s">
        <v>2240</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1" t="s">
        <v>775</v>
      </c>
      <c r="B72" s="202" t="s">
        <v>2258</v>
      </c>
      <c r="C72" s="205">
        <f ca="1">ROUND(D45/(1+'数据-取费表'!C42),0)</f>
        <v>246100</v>
      </c>
      <c r="D72" s="198" t="s">
        <v>32</v>
      </c>
      <c r="E72" s="1796"/>
      <c r="F72" s="1790"/>
      <c r="G72" s="1790"/>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1" t="s">
        <v>772</v>
      </c>
      <c r="B73" s="171" t="s">
        <v>2259</v>
      </c>
      <c r="C73" s="205">
        <f ca="1">C74+C78</f>
        <v>1477</v>
      </c>
      <c r="D73" s="198" t="s">
        <v>32</v>
      </c>
      <c r="E73" s="1796"/>
      <c r="F73" s="1790"/>
      <c r="G73" s="1790"/>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5" t="s">
        <v>770</v>
      </c>
      <c r="B74" s="196" t="s">
        <v>2260</v>
      </c>
      <c r="C74" s="198">
        <f>ROUND(IF(G77="2016年5月1日后购买",C75/(1+'数据-取费表'!C42)+C76+C77,C75+C76+C77),0)</f>
        <v>0</v>
      </c>
      <c r="D74" s="198" t="s">
        <v>32</v>
      </c>
      <c r="E74" s="1796"/>
      <c r="F74" s="1790"/>
      <c r="G74" s="1790"/>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5" t="s">
        <v>776</v>
      </c>
      <c r="B75" s="196" t="s">
        <v>2261</v>
      </c>
      <c r="C75" s="216"/>
      <c r="D75" s="198" t="s">
        <v>32</v>
      </c>
      <c r="E75" s="217" t="s">
        <v>2262</v>
      </c>
      <c r="F75" s="2507" t="s">
        <v>2263</v>
      </c>
      <c r="G75" s="217" t="s">
        <v>2264</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5" t="s">
        <v>777</v>
      </c>
      <c r="B76" s="219" t="s">
        <v>2265</v>
      </c>
      <c r="C76" s="198">
        <f>IF(F75="购房发票",ROUND(C75*H75*D76,0),0)</f>
        <v>0</v>
      </c>
      <c r="D76" s="220">
        <v>0.05</v>
      </c>
      <c r="E76" s="3195" t="s">
        <v>2266</v>
      </c>
      <c r="F76" s="3194"/>
      <c r="G76" s="3194"/>
      <c r="H76" s="319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5" t="s">
        <v>778</v>
      </c>
      <c r="B77" s="196" t="s">
        <v>2267</v>
      </c>
      <c r="C77" s="198">
        <f>ROUND(IF(G77="个人住宅",0,IF(G77="2016年5月1日前购买",C75*D77,C75*D77/(1+'数据-取费表'!C42))),0)</f>
        <v>0</v>
      </c>
      <c r="D77" s="221">
        <f>'数据-取费表'!B48+'数据-取费表'!B49</f>
        <v>3.0499999999999999E-2</v>
      </c>
      <c r="E77" s="15" t="s">
        <v>2268</v>
      </c>
      <c r="F77" s="222"/>
      <c r="G77" s="2509" t="s">
        <v>2269</v>
      </c>
      <c r="H77" s="1801"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5" t="s">
        <v>771</v>
      </c>
      <c r="B78" s="196" t="s">
        <v>2270</v>
      </c>
      <c r="C78" s="223">
        <f ca="1">ROUND(D45*D78/(1+'数据-取费表'!C42),0)</f>
        <v>1477</v>
      </c>
      <c r="D78" s="224">
        <f>'数据-取费表'!B43</f>
        <v>6.000000000000001E-3</v>
      </c>
      <c r="E78" s="3186" t="s">
        <v>2271</v>
      </c>
      <c r="F78" s="3187"/>
      <c r="G78" s="3187"/>
      <c r="H78" s="318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2" t="s">
        <v>2272</v>
      </c>
      <c r="C79" s="205">
        <f ca="1">C72-C73</f>
        <v>244623</v>
      </c>
      <c r="D79" s="198" t="s">
        <v>32</v>
      </c>
      <c r="E79" s="1796"/>
      <c r="F79" s="1790"/>
      <c r="G79" s="1790"/>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2" t="s">
        <v>2273</v>
      </c>
      <c r="C80" s="225">
        <f ca="1">IF(C79&lt;=0,0,C79/C73)</f>
        <v>165.62153012863914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7" t="s">
        <v>2274</v>
      </c>
      <c r="C81" s="226">
        <f ca="1">ROUND(IF(C79&lt;=0,0,IF(C80&gt;=200%,C79*60%-C73*35%,IF(C80&gt;=100%,C79*50%-C73*15%,IF(C80&gt;=50%,C79*40%-C73*5%,IF(C80&lt;50%,C79*30%,0))))),0)</f>
        <v>146257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98" t="s">
        <v>2275</v>
      </c>
      <c r="B83" s="3199"/>
      <c r="C83" s="3199"/>
      <c r="D83" s="3199"/>
      <c r="E83" s="3199"/>
      <c r="F83" s="3199"/>
      <c r="G83" s="3199"/>
      <c r="H83" s="319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89" t="s">
        <v>2238</v>
      </c>
      <c r="B84" s="3190"/>
      <c r="C84" s="1797"/>
      <c r="D84" s="1797" t="s">
        <v>2239</v>
      </c>
      <c r="E84" s="211" t="s">
        <v>2240</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1" t="s">
        <v>775</v>
      </c>
      <c r="B85" s="202" t="s">
        <v>2258</v>
      </c>
      <c r="C85" s="205">
        <f ca="1">ROUND(D45/(1+'数据-取费表'!C42),0)</f>
        <v>246100</v>
      </c>
      <c r="D85" s="198" t="s">
        <v>32</v>
      </c>
      <c r="E85" s="1796"/>
      <c r="F85" s="1790"/>
      <c r="G85" s="1790"/>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1" t="s">
        <v>772</v>
      </c>
      <c r="B86" s="171" t="s">
        <v>2259</v>
      </c>
      <c r="C86" s="205">
        <f ca="1">IF(H88="仅含出让金",C87+C90+C91+C92+C93+C94,C87+C91+C92+C93+C94)</f>
        <v>1477</v>
      </c>
      <c r="D86" s="233"/>
      <c r="E86" s="1796"/>
      <c r="F86" s="1790"/>
      <c r="G86" s="1790"/>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5" t="s">
        <v>770</v>
      </c>
      <c r="B87" s="196" t="s">
        <v>2276</v>
      </c>
      <c r="C87" s="223">
        <f>C88+C89</f>
        <v>0</v>
      </c>
      <c r="D87" s="224"/>
      <c r="E87" s="1792"/>
      <c r="F87" s="1793"/>
      <c r="G87" s="1793"/>
      <c r="H87" s="179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5" t="s">
        <v>776</v>
      </c>
      <c r="B88" s="196" t="s">
        <v>2277</v>
      </c>
      <c r="C88" s="234"/>
      <c r="D88" s="224"/>
      <c r="E88" s="235" t="s">
        <v>2278</v>
      </c>
      <c r="F88" s="1793"/>
      <c r="G88" s="236"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5" t="s">
        <v>777</v>
      </c>
      <c r="B89" s="196" t="s">
        <v>2267</v>
      </c>
      <c r="C89" s="223">
        <f>ROUND(C88*D89,0)</f>
        <v>0</v>
      </c>
      <c r="D89" s="224">
        <f>'数据-取费表'!B48+'数据-取费表'!B49</f>
        <v>3.0499999999999999E-2</v>
      </c>
      <c r="E89" s="235" t="s">
        <v>2280</v>
      </c>
      <c r="F89" s="1793"/>
      <c r="G89" s="1793"/>
      <c r="H89" s="179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5" t="s">
        <v>771</v>
      </c>
      <c r="B90" s="196" t="s">
        <v>2281</v>
      </c>
      <c r="C90" s="234"/>
      <c r="D90" s="224"/>
      <c r="E90" s="235" t="str">
        <f>IF(H88="-","土地取得成本中已包含该笔费用"," ")</f>
        <v xml:space="preserve"> </v>
      </c>
      <c r="F90" s="1793"/>
      <c r="G90" s="1793"/>
      <c r="H90" s="179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5" t="s">
        <v>2282</v>
      </c>
      <c r="B91" s="196" t="s">
        <v>2283</v>
      </c>
      <c r="C91" s="223">
        <f>IF(H91="——",成本法!C33,I91)</f>
        <v>0</v>
      </c>
      <c r="D91" s="224"/>
      <c r="E91" s="3186" t="s">
        <v>2284</v>
      </c>
      <c r="F91" s="3187"/>
      <c r="G91" s="3187"/>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5" t="s">
        <v>2286</v>
      </c>
      <c r="B92" s="196" t="s">
        <v>2287</v>
      </c>
      <c r="C92" s="223">
        <f>ROUND((C87+C90+C91)*D92,0)</f>
        <v>0</v>
      </c>
      <c r="D92" s="224">
        <v>0.1</v>
      </c>
      <c r="E92" s="3186" t="s">
        <v>2288</v>
      </c>
      <c r="F92" s="3187"/>
      <c r="G92" s="3187"/>
      <c r="H92" s="318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5" t="s">
        <v>2289</v>
      </c>
      <c r="B93" s="196" t="s">
        <v>2270</v>
      </c>
      <c r="C93" s="223">
        <f ca="1">ROUND(D45*D93/(1+'数据-取费表'!C42),0)</f>
        <v>1477</v>
      </c>
      <c r="D93" s="224">
        <f>'数据-取费表'!B43</f>
        <v>6.000000000000001E-3</v>
      </c>
      <c r="E93" s="3186" t="s">
        <v>2271</v>
      </c>
      <c r="F93" s="3187"/>
      <c r="G93" s="3187"/>
      <c r="H93" s="318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5" t="s">
        <v>2290</v>
      </c>
      <c r="B94" s="196" t="s">
        <v>2291</v>
      </c>
      <c r="C94" s="234">
        <f>ROUND((C87+C90+C91)*D94,0)</f>
        <v>0</v>
      </c>
      <c r="D94" s="224">
        <v>0.2</v>
      </c>
      <c r="E94" s="3234" t="s">
        <v>2292</v>
      </c>
      <c r="F94" s="3235"/>
      <c r="G94" s="3235"/>
      <c r="H94" s="323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2" t="s">
        <v>2272</v>
      </c>
      <c r="C95" s="205">
        <f ca="1">ROUND(C85-C86,0)</f>
        <v>244623</v>
      </c>
      <c r="D95" s="198" t="s">
        <v>32</v>
      </c>
      <c r="E95" s="1796"/>
      <c r="F95" s="1790"/>
      <c r="G95" s="1790"/>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2" t="s">
        <v>2273</v>
      </c>
      <c r="C96" s="225">
        <f ca="1">IF(C95&lt;=0,0,C95/C86)</f>
        <v>165.62153012863914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7" t="s">
        <v>2274</v>
      </c>
      <c r="C97" s="226">
        <f ca="1">ROUND(IF(C95&lt;=0,0,IF(C96&gt;=200%,C95*60%-C86*35%,IF(C96&gt;=100%,C95*50%-C86*15%,IF(C96&gt;=50%,C95*40%-C86*5%,IF(C96&lt;50%,C95*30%,0))))),0)</f>
        <v>146257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2293</v>
      </c>
      <c r="B99" s="2414"/>
      <c r="C99" s="2414"/>
      <c r="D99" s="2414"/>
      <c r="E99" s="2162"/>
      <c r="F99" s="2162"/>
      <c r="G99" s="2162"/>
      <c r="H99" s="2161"/>
      <c r="I99" s="138"/>
    </row>
    <row r="100" spans="1:35" ht="18.75" customHeight="1">
      <c r="A100" s="3114" t="s">
        <v>2294</v>
      </c>
      <c r="B100" s="3115"/>
      <c r="C100" s="3115"/>
      <c r="D100" s="3170"/>
      <c r="E100" s="3115" t="s">
        <v>2295</v>
      </c>
      <c r="F100" s="3115"/>
      <c r="G100" s="3115"/>
      <c r="H100" s="3170"/>
      <c r="I100" s="138"/>
    </row>
    <row r="101" spans="1:35" ht="18.75" customHeight="1">
      <c r="A101" s="3178" t="s">
        <v>2296</v>
      </c>
      <c r="B101" s="3179"/>
      <c r="C101" s="733" t="str">
        <f>C4</f>
        <v>成本法</v>
      </c>
      <c r="D101" s="734" t="str">
        <f>D4</f>
        <v>假设开发法</v>
      </c>
      <c r="E101" s="3150" t="s">
        <v>2297</v>
      </c>
      <c r="F101" s="3151"/>
      <c r="G101" s="2516" t="s">
        <v>2298</v>
      </c>
      <c r="H101" s="1042">
        <f ca="1">H118</f>
        <v>258405</v>
      </c>
      <c r="I101" s="138"/>
    </row>
    <row r="102" spans="1:35" ht="18.75" customHeight="1">
      <c r="A102" s="3180" t="s">
        <v>2299</v>
      </c>
      <c r="B102" s="2516" t="s">
        <v>2298</v>
      </c>
      <c r="C102" s="733">
        <f ca="1">C19</f>
        <v>270832</v>
      </c>
      <c r="D102" s="734">
        <f ca="1">D19</f>
        <v>245977</v>
      </c>
      <c r="E102" s="3150"/>
      <c r="F102" s="3151"/>
      <c r="G102" s="2516" t="s">
        <v>2300</v>
      </c>
      <c r="H102" s="369">
        <f ca="1">I118</f>
        <v>11807</v>
      </c>
      <c r="I102" s="138"/>
    </row>
    <row r="103" spans="1:35" ht="42.75" customHeight="1">
      <c r="A103" s="3180"/>
      <c r="B103" s="2516" t="s">
        <v>2300</v>
      </c>
      <c r="C103" s="735">
        <f ca="1">C20</f>
        <v>12375</v>
      </c>
      <c r="D103" s="736">
        <f ca="1">D20</f>
        <v>11239</v>
      </c>
      <c r="E103" s="3144" t="s">
        <v>2301</v>
      </c>
      <c r="F103" s="3145"/>
      <c r="G103" s="2517" t="s">
        <v>2302</v>
      </c>
      <c r="H103" s="1042">
        <f>IF(D36="正常操作",H104+H105+H106,H105+H106)</f>
        <v>64576</v>
      </c>
      <c r="I103" s="138"/>
    </row>
    <row r="104" spans="1:35" ht="18.75" customHeight="1">
      <c r="A104" s="3180" t="s">
        <v>2303</v>
      </c>
      <c r="B104" s="2518" t="s">
        <v>2298</v>
      </c>
      <c r="C104" s="737">
        <f ca="1">H118</f>
        <v>258405</v>
      </c>
      <c r="D104" s="738"/>
      <c r="E104" s="2263" t="s">
        <v>2304</v>
      </c>
      <c r="F104" s="2254"/>
      <c r="G104" s="2517" t="s">
        <v>2302</v>
      </c>
      <c r="H104" s="1043">
        <f>IF(D36="同一抵押权人同一抵押物续贷",C36&amp;"（未扣减，详见特别提示）",C36)</f>
        <v>0</v>
      </c>
      <c r="I104" s="138"/>
    </row>
    <row r="105" spans="1:35" ht="18.75" customHeight="1" thickBot="1">
      <c r="A105" s="3192"/>
      <c r="B105" s="2519" t="s">
        <v>2300</v>
      </c>
      <c r="C105" s="739">
        <f ca="1">I118</f>
        <v>11807</v>
      </c>
      <c r="D105" s="740"/>
      <c r="E105" s="2263" t="s">
        <v>2305</v>
      </c>
      <c r="F105" s="2254"/>
      <c r="G105" s="2517" t="s">
        <v>2302</v>
      </c>
      <c r="H105" s="1043">
        <f>C37</f>
        <v>24981</v>
      </c>
      <c r="I105" s="138"/>
    </row>
    <row r="106" spans="1:35" ht="18.75" customHeight="1">
      <c r="A106" s="2414" t="s">
        <v>2306</v>
      </c>
      <c r="B106" s="2414"/>
      <c r="C106" s="2414"/>
      <c r="D106" s="2414"/>
      <c r="E106" s="2520" t="s">
        <v>2307</v>
      </c>
      <c r="F106" s="2254"/>
      <c r="G106" s="2517" t="s">
        <v>2302</v>
      </c>
      <c r="H106" s="1043">
        <f>C38</f>
        <v>39595</v>
      </c>
      <c r="I106" s="138"/>
    </row>
    <row r="107" spans="1:35" ht="18.75" customHeight="1">
      <c r="A107" s="138"/>
      <c r="B107" s="138"/>
      <c r="C107" s="138"/>
      <c r="D107" s="138"/>
      <c r="E107" s="3181" t="str">
        <f>IF(项目基本情况!E8="已注销","——","3.房地产抵押价值")</f>
        <v>3.房地产抵押价值</v>
      </c>
      <c r="F107" s="3151"/>
      <c r="G107" s="2516" t="s">
        <v>2298</v>
      </c>
      <c r="H107" s="1042">
        <f ca="1">IF(E107="——","——",H101-H103)</f>
        <v>193829</v>
      </c>
      <c r="I107" s="138"/>
    </row>
    <row r="108" spans="1:35" ht="18.75" customHeight="1">
      <c r="A108" s="138"/>
      <c r="B108" s="138"/>
      <c r="C108" s="138"/>
      <c r="D108" s="138"/>
      <c r="E108" s="3181"/>
      <c r="F108" s="3151"/>
      <c r="G108" s="2516" t="s">
        <v>2300</v>
      </c>
      <c r="H108" s="369">
        <f ca="1">ROUND(H107*10000/'数据-汇总表'!E3,0)</f>
        <v>8856</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51"/>
      <c r="G109" s="2516" t="s">
        <v>2298</v>
      </c>
      <c r="H109" s="346" t="str">
        <f>IF(E109="——","——",H101-H105-H106)</f>
        <v>——</v>
      </c>
      <c r="I109" s="138"/>
    </row>
    <row r="110" spans="1:35" ht="18.75" customHeight="1">
      <c r="A110" s="138"/>
      <c r="B110" s="138"/>
      <c r="C110" s="138"/>
      <c r="D110" s="138"/>
      <c r="E110" s="3181"/>
      <c r="F110" s="3151"/>
      <c r="G110" s="2516" t="s">
        <v>2300</v>
      </c>
      <c r="H110" s="369"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16" t="s">
        <v>2298</v>
      </c>
      <c r="H111" s="1042" t="str">
        <f>IF(E111="——","——",N59)</f>
        <v>——</v>
      </c>
      <c r="I111" s="138"/>
    </row>
    <row r="112" spans="1:35" ht="18.75" customHeight="1" thickBot="1">
      <c r="A112" s="138"/>
      <c r="B112" s="138"/>
      <c r="C112" s="138"/>
      <c r="D112" s="138"/>
      <c r="E112" s="3184"/>
      <c r="F112" s="3185"/>
      <c r="G112" s="2521" t="s">
        <v>2300</v>
      </c>
      <c r="H112" s="787" t="str">
        <f>IF(E111="——","——",N61)</f>
        <v>——</v>
      </c>
      <c r="I112" s="138"/>
    </row>
    <row r="113" spans="1:11" ht="18.75" customHeight="1">
      <c r="A113" s="138"/>
      <c r="B113" s="138"/>
      <c r="C113" s="138"/>
      <c r="D113" s="138"/>
      <c r="E113" s="3193" t="s">
        <v>2306</v>
      </c>
      <c r="F113" s="3193"/>
      <c r="G113" s="3193"/>
      <c r="H113" s="3193"/>
      <c r="I113" s="138"/>
    </row>
    <row r="114" spans="1:11" ht="3.75" customHeight="1">
      <c r="A114" s="2414"/>
      <c r="B114" s="2414"/>
      <c r="C114" s="2414"/>
      <c r="D114" s="2414"/>
      <c r="E114" s="2492"/>
      <c r="F114" s="2492"/>
      <c r="G114" s="2492"/>
      <c r="H114" s="2492"/>
      <c r="I114" s="2414"/>
    </row>
    <row r="115" spans="1:11" ht="18.75" customHeight="1">
      <c r="A115" s="3206" t="s">
        <v>2308</v>
      </c>
      <c r="B115" s="3207"/>
      <c r="C115" s="3207"/>
      <c r="D115" s="3207"/>
      <c r="E115" s="3207"/>
      <c r="F115" s="3207"/>
      <c r="G115" s="3207"/>
      <c r="H115" s="3207"/>
      <c r="I115" s="3208"/>
    </row>
    <row r="116" spans="1:11" ht="27" customHeight="1">
      <c r="A116" s="3091" t="s">
        <v>2309</v>
      </c>
      <c r="B116" s="3160" t="s">
        <v>3065</v>
      </c>
      <c r="C116" s="3160" t="s">
        <v>3084</v>
      </c>
      <c r="D116" s="3166" t="s">
        <v>2310</v>
      </c>
      <c r="E116" s="3167"/>
      <c r="F116" s="3202" t="s">
        <v>2311</v>
      </c>
      <c r="G116" s="3202"/>
      <c r="H116" s="3091" t="s">
        <v>2312</v>
      </c>
      <c r="I116" s="3091"/>
    </row>
    <row r="117" spans="1:11" ht="18.75" customHeight="1">
      <c r="A117" s="3091"/>
      <c r="B117" s="3161"/>
      <c r="C117" s="3161"/>
      <c r="D117" s="1791" t="s">
        <v>2313</v>
      </c>
      <c r="E117" s="1791" t="s">
        <v>2314</v>
      </c>
      <c r="F117" s="1791" t="s">
        <v>2313</v>
      </c>
      <c r="G117" s="1791" t="s">
        <v>2315</v>
      </c>
      <c r="H117" s="1791" t="s">
        <v>2313</v>
      </c>
      <c r="I117" s="1791" t="s">
        <v>2315</v>
      </c>
    </row>
    <row r="118" spans="1:11" ht="24.75" customHeight="1">
      <c r="A118" s="2522" t="str">
        <f>项目基本情况!S2</f>
        <v>出让国有建设用地使用权及在建建筑物房地产</v>
      </c>
      <c r="B118" s="1791">
        <f>M18</f>
        <v>218862.73</v>
      </c>
      <c r="C118" s="1791">
        <f>M19</f>
        <v>196085</v>
      </c>
      <c r="D118" s="1791">
        <f ca="1">ROUND(IF(D32="总价",C34,E118*B118/10000),0)</f>
        <v>57883</v>
      </c>
      <c r="E118" s="1791">
        <f ca="1">ROUND(IF(C33="自定义",IF(D32="楼面单价",C34,D118*10000/B118),I118-G118),0)</f>
        <v>2645</v>
      </c>
      <c r="F118" s="1791">
        <f ca="1">ROUND(IF(D32="总价",C35,G118*B118/10000),0)</f>
        <v>200522</v>
      </c>
      <c r="G118" s="1791">
        <f ca="1">ROUND(IF(D32="楼面单价",C35,F118*10000/B118),0)</f>
        <v>9162</v>
      </c>
      <c r="H118" s="1791">
        <f ca="1">ROUND(IF(D32="总价",C32,I118*B118/10000),0)</f>
        <v>258405</v>
      </c>
      <c r="I118" s="1791">
        <f ca="1">ROUND(IF(D32="楼面单价",C32,H118*10000/B118),0)</f>
        <v>11807</v>
      </c>
    </row>
    <row r="119" spans="1:11" ht="18.75" customHeight="1">
      <c r="A119" s="3091" t="s">
        <v>2316</v>
      </c>
      <c r="B119" s="3091"/>
      <c r="C119" s="3091"/>
      <c r="D119" s="3162" t="str">
        <f ca="1">NUMBERSTRING(INT(D118*10000),2)&amp;"元整"</f>
        <v>伍亿柒仟捌佰捌拾叁万元整</v>
      </c>
      <c r="E119" s="3163"/>
      <c r="F119" s="3162" t="str">
        <f ca="1">NUMBERSTRING(INT(F118*10000),2)&amp;"元整"</f>
        <v>贰拾亿零伍佰贰拾贰万元整</v>
      </c>
      <c r="G119" s="3163"/>
      <c r="H119" s="3162" t="str">
        <f ca="1">NUMBERSTRING(INT(H118*10000),2)&amp;"元整"</f>
        <v>贰拾伍亿捌仟肆佰零伍万元整</v>
      </c>
      <c r="I119" s="3163"/>
    </row>
    <row r="120" spans="1:11" ht="18.75" customHeight="1">
      <c r="A120" s="3157" t="str">
        <f>IF(项目基本情况!B9="房地产市场价值","",MID(E103,3,LEN(E103)-2))</f>
        <v>估价师知悉的法定优先受偿款</v>
      </c>
      <c r="B120" s="3158"/>
      <c r="C120" s="3159"/>
      <c r="D120" s="3157">
        <f>H103</f>
        <v>64576</v>
      </c>
      <c r="E120" s="3158"/>
      <c r="F120" s="3158"/>
      <c r="G120" s="3158"/>
      <c r="H120" s="3158"/>
      <c r="I120" s="3159"/>
      <c r="K120" s="2419" t="str">
        <f>IF(D120=0,"故，本次评估不存在"&amp;A120,"故，本次评估"&amp;A120&amp;"为人民币"&amp;D120&amp;"万元整。")</f>
        <v>故，本次评估估价师知悉的法定优先受偿款为人民币64576万元整。</v>
      </c>
    </row>
    <row r="121" spans="1:11" ht="18.75" customHeight="1">
      <c r="A121" s="3203" t="s">
        <v>2316</v>
      </c>
      <c r="B121" s="3204"/>
      <c r="C121" s="3205"/>
      <c r="D121" s="3162" t="str">
        <f>IF(D120=0,"零元整",NUMBERSTRING(INT(D120*10000),2)&amp;"元整")</f>
        <v>陆亿肆仟伍佰柒拾陆万元整</v>
      </c>
      <c r="E121" s="3164"/>
      <c r="F121" s="3164"/>
      <c r="G121" s="3164"/>
      <c r="H121" s="3164"/>
      <c r="I121" s="3163"/>
    </row>
    <row r="122" spans="1:11" ht="18.75" customHeight="1">
      <c r="A122" s="3168" t="str">
        <f>IF(项目基本情况!B9="房地产市场价值","",MID(E107,3,LEN(E107)-2))</f>
        <v>房地产抵押价值</v>
      </c>
      <c r="B122" s="3168"/>
      <c r="C122" s="3168"/>
      <c r="D122" s="3157">
        <f ca="1">H107</f>
        <v>193829</v>
      </c>
      <c r="E122" s="3158"/>
      <c r="F122" s="3158"/>
      <c r="G122" s="3158"/>
      <c r="H122" s="3158"/>
      <c r="I122" s="3159"/>
    </row>
    <row r="123" spans="1:11" ht="18.75" customHeight="1">
      <c r="A123" s="3091" t="s">
        <v>2316</v>
      </c>
      <c r="B123" s="3091"/>
      <c r="C123" s="3091"/>
      <c r="D123" s="3162" t="str">
        <f ca="1">NUMBERSTRING(INT(D122*10000),2)&amp;"元整"</f>
        <v>壹拾玖亿叁仟捌佰贰拾玖万元整</v>
      </c>
      <c r="E123" s="3164"/>
      <c r="F123" s="3164"/>
      <c r="G123" s="3164"/>
      <c r="H123" s="3164"/>
      <c r="I123" s="3163"/>
    </row>
    <row r="124" spans="1:11" ht="18.75" customHeight="1">
      <c r="A124" s="3168" t="str">
        <f>IF(项目基本情况!B9="房地产市场价值","",MID(E109,3,LEN(E109)-2))</f>
        <v/>
      </c>
      <c r="B124" s="3168"/>
      <c r="C124" s="3168"/>
      <c r="D124" s="3157" t="str">
        <f>H109</f>
        <v>——</v>
      </c>
      <c r="E124" s="3158"/>
      <c r="F124" s="3158"/>
      <c r="G124" s="3158"/>
      <c r="H124" s="3158"/>
      <c r="I124" s="3159"/>
    </row>
    <row r="125" spans="1:11" ht="18.75" customHeight="1">
      <c r="A125" s="3091" t="s">
        <v>2316</v>
      </c>
      <c r="B125" s="3091"/>
      <c r="C125" s="3091"/>
      <c r="D125" s="3162" t="e">
        <f>NUMBERSTRING(INT(D124*10000),2)&amp;"元整"</f>
        <v>#VALUE!</v>
      </c>
      <c r="E125" s="3164"/>
      <c r="F125" s="3164"/>
      <c r="G125" s="3164"/>
      <c r="H125" s="3164"/>
      <c r="I125" s="3163"/>
    </row>
    <row r="126" spans="1:11" ht="18.75" customHeight="1">
      <c r="A126" s="3168" t="str">
        <f>IF(项目基本情况!B9="房地产市场价值","",MID(E111,3,LEN(E111)-2))</f>
        <v/>
      </c>
      <c r="B126" s="3168"/>
      <c r="C126" s="3168"/>
      <c r="D126" s="3157" t="str">
        <f>H111</f>
        <v>——</v>
      </c>
      <c r="E126" s="3158"/>
      <c r="F126" s="3158"/>
      <c r="G126" s="3158"/>
      <c r="H126" s="3158"/>
      <c r="I126" s="3159"/>
    </row>
    <row r="127" spans="1:11" ht="18.75" customHeight="1">
      <c r="A127" s="3091" t="s">
        <v>2316</v>
      </c>
      <c r="B127" s="3091"/>
      <c r="C127" s="3091"/>
      <c r="D127" s="3162" t="e">
        <f>NUMBERSTRING(INT(D126*10000),2)&amp;"元整"</f>
        <v>#VALUE!</v>
      </c>
      <c r="E127" s="3164"/>
      <c r="F127" s="3164"/>
      <c r="G127" s="3164"/>
      <c r="H127" s="3164"/>
      <c r="I127" s="3163"/>
    </row>
    <row r="128" spans="1:11" ht="21.75" customHeight="1">
      <c r="A128" s="3165" t="s">
        <v>2317</v>
      </c>
      <c r="B128" s="3165"/>
      <c r="C128" s="3165"/>
      <c r="D128" s="3165"/>
      <c r="E128" s="3165"/>
      <c r="F128" s="3165"/>
      <c r="G128" s="3165"/>
      <c r="H128" s="3165"/>
      <c r="I128" s="3165"/>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2320</v>
      </c>
      <c r="G135" s="2540"/>
      <c r="H135" s="2540"/>
      <c r="I135" s="2541" t="s">
        <v>2321</v>
      </c>
    </row>
    <row r="136" spans="1:35" ht="21.75" customHeight="1">
      <c r="A136" s="792"/>
      <c r="B136" s="2542"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2323</v>
      </c>
    </row>
    <row r="139" spans="1:35" ht="21.75" customHeight="1">
      <c r="A139" s="792"/>
      <c r="B139" s="2542" t="s">
        <v>2324</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2323</v>
      </c>
    </row>
    <row r="142" spans="1:35" ht="21.75" customHeight="1">
      <c r="A142" s="792"/>
      <c r="B142" s="2542"/>
      <c r="C142" s="2543"/>
      <c r="D142" s="2544"/>
      <c r="E142" s="2544"/>
      <c r="F142" s="2337"/>
      <c r="G142" s="792"/>
      <c r="H142" s="792"/>
      <c r="I142" s="792"/>
    </row>
    <row r="143" spans="1:35" s="139" customFormat="1" ht="21.75" customHeight="1">
      <c r="A143" s="792"/>
      <c r="B143" s="2542"/>
      <c r="C143" s="2543"/>
      <c r="D143" s="2544"/>
      <c r="E143" s="2544"/>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1" sqref="G41"/>
    </sheetView>
  </sheetViews>
  <sheetFormatPr defaultColWidth="8.375" defaultRowHeight="12.75"/>
  <cols>
    <col min="1" max="1" width="10.375" style="311" customWidth="1"/>
    <col min="2" max="2" width="29.125" style="293" customWidth="1"/>
    <col min="3" max="3" width="12.125" style="293" customWidth="1"/>
    <col min="4" max="5" width="11.125" style="314" customWidth="1"/>
    <col min="6" max="6" width="9.5" style="293" customWidth="1"/>
    <col min="7" max="7" width="31.875" style="293" customWidth="1"/>
    <col min="8" max="254" width="9" style="293" customWidth="1"/>
    <col min="255" max="16384" width="8.375" style="293"/>
  </cols>
  <sheetData>
    <row r="1" spans="1:9" s="242" customFormat="1" ht="20.25">
      <c r="A1" s="238" t="s">
        <v>2325</v>
      </c>
      <c r="B1" s="1932"/>
      <c r="C1" s="240"/>
      <c r="D1" s="240"/>
      <c r="E1" s="240"/>
      <c r="F1" s="240"/>
      <c r="G1" s="1376">
        <f>MATCH(B1,'数据-取费表'!A6:A16,0)+5</f>
        <v>8</v>
      </c>
    </row>
    <row r="2" spans="1:9" s="242" customFormat="1" ht="18" customHeight="1">
      <c r="A2" s="243" t="s">
        <v>2326</v>
      </c>
      <c r="B2" s="244">
        <f ca="1">IF(D2="——",C52,C52-E2)</f>
        <v>270832</v>
      </c>
      <c r="C2" s="241" t="s">
        <v>2327</v>
      </c>
      <c r="D2" s="2545" t="s">
        <v>70</v>
      </c>
      <c r="E2" s="1437" t="e">
        <f ca="1">SUMIF(INDIRECT("'"&amp;G2&amp;"'"&amp;"!A:A"),"承租人权益价值",INDIRECT("'"&amp;G2&amp;"'"&amp;"!c:c"))</f>
        <v>#REF!</v>
      </c>
      <c r="F2" s="2546" t="s">
        <v>2327</v>
      </c>
      <c r="G2" s="2547"/>
    </row>
    <row r="3" spans="1:9" s="242" customFormat="1" ht="18" customHeight="1" thickBot="1">
      <c r="A3" s="245" t="s">
        <v>2328</v>
      </c>
      <c r="B3" s="246">
        <f ca="1">ROUND(B2*10000/(IF(B1="",'数据-汇总表'!E3,INDIRECT("'数据-取费表'!k"&amp;$G$1))),0)</f>
        <v>12375</v>
      </c>
      <c r="C3" s="241" t="s">
        <v>2329</v>
      </c>
      <c r="D3" s="241"/>
      <c r="E3" s="241"/>
      <c r="F3" s="241"/>
      <c r="G3" s="241"/>
    </row>
    <row r="4" spans="1:9" s="250" customFormat="1" ht="15.75">
      <c r="A4" s="247" t="s">
        <v>2330</v>
      </c>
      <c r="B4" s="248"/>
      <c r="C4" s="248"/>
      <c r="D4" s="248"/>
      <c r="E4" s="248"/>
      <c r="F4" s="248"/>
      <c r="G4" s="249"/>
    </row>
    <row r="5" spans="1:9" s="256" customFormat="1" ht="13.5" customHeight="1">
      <c r="A5" s="297" t="s">
        <v>2331</v>
      </c>
      <c r="B5" s="252" t="s">
        <v>2332</v>
      </c>
      <c r="C5" s="253">
        <f>C6+C7+C8</f>
        <v>44816</v>
      </c>
      <c r="D5" s="253" t="s">
        <v>2333</v>
      </c>
      <c r="E5" s="254" t="s">
        <v>2334</v>
      </c>
      <c r="F5" s="254" t="s">
        <v>2335</v>
      </c>
      <c r="G5" s="255"/>
    </row>
    <row r="6" spans="1:9" s="256" customFormat="1" ht="13.5" customHeight="1">
      <c r="A6" s="946" t="s">
        <v>2336</v>
      </c>
      <c r="B6" s="257" t="s">
        <v>2337</v>
      </c>
      <c r="C6" s="258">
        <f>'土地比较法-住宅、综合'!B2</f>
        <v>43490</v>
      </c>
      <c r="D6" s="259"/>
      <c r="E6" s="260"/>
      <c r="F6" s="260"/>
      <c r="G6" s="261"/>
    </row>
    <row r="7" spans="1:9" s="256" customFormat="1" ht="13.5" customHeight="1">
      <c r="A7" s="946" t="s">
        <v>2338</v>
      </c>
      <c r="B7" s="257" t="s">
        <v>2339</v>
      </c>
      <c r="C7" s="262">
        <f>ROUND(C6*F7,0)</f>
        <v>1326</v>
      </c>
      <c r="D7" s="262"/>
      <c r="E7" s="260"/>
      <c r="F7" s="263">
        <f>IF(项目基本情况!B8="出让",0,'数据-取费表'!B48+'数据-取费表'!B49)</f>
        <v>3.0499999999999999E-2</v>
      </c>
      <c r="G7" s="261"/>
    </row>
    <row r="8" spans="1:9" s="265" customFormat="1">
      <c r="A8" s="946" t="s">
        <v>2340</v>
      </c>
      <c r="B8" s="257" t="s">
        <v>2341</v>
      </c>
      <c r="C8" s="262">
        <f>IF(G8="已包含在土地购买价格中","0",IF(B1="",'数据-取费表'!B29,IF(G9="全部缴纳",C9+C10,H9)))</f>
        <v>0</v>
      </c>
      <c r="D8" s="264"/>
      <c r="E8" s="262"/>
      <c r="F8" s="263"/>
      <c r="G8" s="2548" t="s">
        <v>3079</v>
      </c>
    </row>
    <row r="9" spans="1:9" s="256" customFormat="1" ht="13.5" customHeight="1">
      <c r="A9" s="947" t="s">
        <v>800</v>
      </c>
      <c r="B9" s="266" t="s">
        <v>2342</v>
      </c>
      <c r="C9" s="267">
        <f ca="1">ROUND(D9*E9/10000,0)</f>
        <v>0</v>
      </c>
      <c r="D9" s="1029">
        <f ca="1">IF(B1="",'数据-汇总表'!E5,IF(INDIRECT("'数据-取费表'!c"&amp;$G$1)="住宅",INDIRECT("'数据-取费表'!k"&amp;$G$1),0))</f>
        <v>0</v>
      </c>
      <c r="E9" s="267">
        <f>'数据-取费表'!B27</f>
        <v>50</v>
      </c>
      <c r="F9" s="263"/>
      <c r="G9" s="2549"/>
      <c r="H9" s="1387"/>
      <c r="I9" s="2550" t="s">
        <v>2343</v>
      </c>
    </row>
    <row r="10" spans="1:9" s="256" customFormat="1" ht="13.5" customHeight="1">
      <c r="A10" s="947" t="s">
        <v>801</v>
      </c>
      <c r="B10" s="266" t="s">
        <v>2344</v>
      </c>
      <c r="C10" s="267">
        <f ca="1">ROUND(D10*E10/10000,0)</f>
        <v>1094</v>
      </c>
      <c r="D10" s="1029">
        <f ca="1">IF(B1="",'数据-汇总表'!E6,IF(INDIRECT("'数据-取费表'!c"&amp;$G$1)="住宅",INDIRECT("'数据-取费表'!s"&amp;$G$1),INDIRECT("'数据-取费表'!k"&amp;$G$1)+INDIRECT("'数据-取费表'!s"&amp;$G$1)))</f>
        <v>218862.73</v>
      </c>
      <c r="E10" s="267">
        <f>'数据-取费表'!B28</f>
        <v>50</v>
      </c>
      <c r="F10" s="263"/>
      <c r="G10" s="268"/>
    </row>
    <row r="11" spans="1:9" s="256" customFormat="1" ht="13.5" hidden="1" customHeight="1">
      <c r="A11" s="269" t="s">
        <v>7</v>
      </c>
      <c r="B11" s="257" t="s">
        <v>2345</v>
      </c>
      <c r="C11" s="253"/>
      <c r="D11" s="1031"/>
      <c r="E11" s="260"/>
      <c r="F11" s="260"/>
      <c r="G11" s="261"/>
    </row>
    <row r="12" spans="1:9" s="256" customFormat="1" ht="13.5" hidden="1" customHeight="1">
      <c r="A12" s="269" t="s">
        <v>8</v>
      </c>
      <c r="B12" s="257" t="s">
        <v>2346</v>
      </c>
      <c r="C12" s="253">
        <v>0</v>
      </c>
      <c r="D12" s="1031"/>
      <c r="E12" s="270"/>
      <c r="F12" s="263">
        <v>3.0499999999999999E-2</v>
      </c>
      <c r="G12" s="261"/>
    </row>
    <row r="13" spans="1:9" s="256" customFormat="1" ht="13.5" hidden="1" customHeight="1">
      <c r="A13" s="269" t="s">
        <v>9</v>
      </c>
      <c r="B13" s="257" t="s">
        <v>2347</v>
      </c>
      <c r="C13" s="253"/>
      <c r="D13" s="1031"/>
      <c r="E13" s="260"/>
      <c r="F13" s="260"/>
      <c r="G13" s="261"/>
    </row>
    <row r="14" spans="1:9" s="256" customFormat="1" ht="13.5" hidden="1" customHeight="1">
      <c r="A14" s="269" t="s">
        <v>10</v>
      </c>
      <c r="B14" s="257" t="s">
        <v>2348</v>
      </c>
      <c r="C14" s="253"/>
      <c r="D14" s="1031"/>
      <c r="E14" s="260"/>
      <c r="F14" s="260"/>
      <c r="G14" s="261" t="s">
        <v>2349</v>
      </c>
    </row>
    <row r="15" spans="1:9" s="256" customFormat="1" ht="13.5" hidden="1" customHeight="1">
      <c r="A15" s="269" t="s">
        <v>11</v>
      </c>
      <c r="B15" s="257" t="s">
        <v>2350</v>
      </c>
      <c r="C15" s="262"/>
      <c r="D15" s="1031"/>
      <c r="E15" s="260"/>
      <c r="F15" s="260"/>
      <c r="G15" s="261" t="s">
        <v>2351</v>
      </c>
    </row>
    <row r="16" spans="1:9" s="256" customFormat="1" ht="13.5" hidden="1" customHeight="1">
      <c r="A16" s="269" t="s">
        <v>12</v>
      </c>
      <c r="B16" s="257" t="s">
        <v>2348</v>
      </c>
      <c r="C16" s="262"/>
      <c r="D16" s="1031"/>
      <c r="E16" s="260"/>
      <c r="F16" s="260"/>
      <c r="G16" s="261"/>
    </row>
    <row r="17" spans="1:7" s="256" customFormat="1" ht="13.5" hidden="1" customHeight="1">
      <c r="A17" s="269" t="s">
        <v>13</v>
      </c>
      <c r="B17" s="257" t="s">
        <v>2352</v>
      </c>
      <c r="C17" s="271"/>
      <c r="D17" s="1032"/>
      <c r="E17" s="271"/>
      <c r="F17" s="271"/>
      <c r="G17" s="261" t="s">
        <v>2351</v>
      </c>
    </row>
    <row r="18" spans="1:7" s="256" customFormat="1" ht="13.5" hidden="1" customHeight="1">
      <c r="A18" s="269" t="s">
        <v>14</v>
      </c>
      <c r="B18" s="257" t="s">
        <v>2353</v>
      </c>
      <c r="C18" s="262">
        <v>0</v>
      </c>
      <c r="D18" s="1031"/>
      <c r="E18" s="260"/>
      <c r="F18" s="263">
        <v>3.0499999999999999E-2</v>
      </c>
      <c r="G18" s="261" t="s">
        <v>2354</v>
      </c>
    </row>
    <row r="19" spans="1:7" s="265" customFormat="1" ht="13.5" customHeight="1">
      <c r="A19" s="297" t="s">
        <v>2355</v>
      </c>
      <c r="B19" s="252" t="s">
        <v>2356</v>
      </c>
      <c r="C19" s="253" t="str">
        <f>IF(G19="已包含在土地取得成本中","0",ROUND(D19*E19/10000,0))</f>
        <v>0</v>
      </c>
      <c r="D19" s="1033">
        <f ca="1">D9+D10</f>
        <v>218862.73</v>
      </c>
      <c r="E19" s="253">
        <f>'数据-取费表'!B31</f>
        <v>200</v>
      </c>
      <c r="F19" s="273"/>
      <c r="G19" s="2548" t="s">
        <v>3080</v>
      </c>
    </row>
    <row r="20" spans="1:7" s="256" customFormat="1" ht="13.5" customHeight="1">
      <c r="A20" s="297" t="s">
        <v>2357</v>
      </c>
      <c r="B20" s="252" t="s">
        <v>2358</v>
      </c>
      <c r="C20" s="274">
        <f>ROUND((C5+C19)*F20,0)</f>
        <v>672</v>
      </c>
      <c r="D20" s="274"/>
      <c r="E20" s="274"/>
      <c r="F20" s="275">
        <f>'数据-取费表'!B37</f>
        <v>1.4999999999999999E-2</v>
      </c>
      <c r="G20" s="276" t="s">
        <v>2359</v>
      </c>
    </row>
    <row r="21" spans="1:7" s="256" customFormat="1" ht="13.5" customHeight="1">
      <c r="A21" s="297" t="s">
        <v>2360</v>
      </c>
      <c r="B21" s="252" t="s">
        <v>2361</v>
      </c>
      <c r="C21" s="277">
        <f>F21</f>
        <v>0.02</v>
      </c>
      <c r="D21" s="278" t="s">
        <v>2362</v>
      </c>
      <c r="E21" s="274"/>
      <c r="F21" s="275">
        <f>'数据-取费表'!B38</f>
        <v>0.02</v>
      </c>
      <c r="G21" s="276" t="s">
        <v>2363</v>
      </c>
    </row>
    <row r="22" spans="1:7" s="256" customFormat="1" ht="13.5" customHeight="1">
      <c r="A22" s="297" t="s">
        <v>2364</v>
      </c>
      <c r="B22" s="252" t="s">
        <v>2365</v>
      </c>
      <c r="C22" s="1351">
        <f ca="1">ROUND(SUM(C23:C25),0)</f>
        <v>5318</v>
      </c>
      <c r="D22" s="277">
        <f ca="1">C26</f>
        <v>1.1000000000000001E-3</v>
      </c>
      <c r="E22" s="278" t="s">
        <v>2362</v>
      </c>
      <c r="F22" s="279">
        <f ca="1">'数据-取费表'!B40</f>
        <v>4.7500000000000001E-2</v>
      </c>
      <c r="G22" s="276" t="str">
        <f>IF('数据-取费表'!B22&lt;=1,"单利计息","复利计息")</f>
        <v>复利计息</v>
      </c>
    </row>
    <row r="23" spans="1:7" s="256" customFormat="1" ht="13.5" customHeight="1">
      <c r="A23" s="948" t="s">
        <v>2366</v>
      </c>
      <c r="B23" s="257" t="s">
        <v>2367</v>
      </c>
      <c r="C23" s="1352">
        <f ca="1">ROUND(IF('数据-取费表'!B22&lt;=1,C5*F22*'数据-取费表'!B23,C5*(POWER((1+F22),'数据-取费表'!B23)-1)),0)</f>
        <v>5280</v>
      </c>
      <c r="D23" s="280"/>
      <c r="E23" s="280"/>
      <c r="F23" s="281"/>
      <c r="G23" s="282" t="s">
        <v>2368</v>
      </c>
    </row>
    <row r="24" spans="1:7" s="256" customFormat="1" ht="13.5" customHeight="1">
      <c r="A24" s="948" t="s">
        <v>2369</v>
      </c>
      <c r="B24" s="257" t="s">
        <v>2370</v>
      </c>
      <c r="C24" s="1352">
        <f ca="1">ROUND(IF('数据-取费表'!B22&lt;=1,C19*F22*('数据-取费表'!B19/2+'数据-取费表'!B21),C19*(POWER((1+F22),('数据-取费表'!B19/2+'数据-取费表'!B21))-1)),0)</f>
        <v>0</v>
      </c>
      <c r="D24" s="280"/>
      <c r="E24" s="280"/>
      <c r="F24" s="281"/>
      <c r="G24" s="282" t="s">
        <v>2371</v>
      </c>
    </row>
    <row r="25" spans="1:7" s="256" customFormat="1" ht="24">
      <c r="A25" s="948" t="s">
        <v>2372</v>
      </c>
      <c r="B25" s="257" t="s">
        <v>2373</v>
      </c>
      <c r="C25" s="1352">
        <f ca="1">ROUND(IF('数据-取费表'!B22&lt;=1,C20*F22*'数据-取费表'!B23/2,C20*(POWER((1+F22),'数据-取费表'!B23/2)-1)),0)</f>
        <v>38</v>
      </c>
      <c r="D25" s="280"/>
      <c r="E25" s="283"/>
      <c r="F25" s="281"/>
      <c r="G25" s="284" t="s">
        <v>2374</v>
      </c>
    </row>
    <row r="26" spans="1:7" s="256" customFormat="1">
      <c r="A26" s="948" t="s">
        <v>795</v>
      </c>
      <c r="B26" s="257" t="s">
        <v>2375</v>
      </c>
      <c r="C26" s="280">
        <f ca="1">ROUND(IF('数据-取费表'!B22&lt;=1,F21*F22*'数据-取费表'!B23/2,F21*(POWER((1+F22),'数据-取费表'!B23/2)-1)),4)</f>
        <v>1.1000000000000001E-3</v>
      </c>
      <c r="D26" s="280"/>
      <c r="E26" s="283"/>
      <c r="F26" s="281"/>
      <c r="G26" s="285"/>
    </row>
    <row r="27" spans="1:7" s="256" customFormat="1" ht="24.75">
      <c r="A27" s="297" t="s">
        <v>2376</v>
      </c>
      <c r="B27" s="286" t="s">
        <v>2377</v>
      </c>
      <c r="C27" s="287">
        <f ca="1">C28</f>
        <v>5240</v>
      </c>
      <c r="D27" s="277">
        <f ca="1">C29</f>
        <v>2.3E-3</v>
      </c>
      <c r="E27" s="278" t="s">
        <v>2378</v>
      </c>
      <c r="F27" s="288">
        <f ca="1">IF(B1="",'数据-取费表'!Q16,INDIRECT("'数据-取费表'!q"&amp;$G$1))</f>
        <v>0.12</v>
      </c>
      <c r="G27" s="289" t="s">
        <v>2379</v>
      </c>
    </row>
    <row r="28" spans="1:7" s="256" customFormat="1" ht="13.5" customHeight="1">
      <c r="A28" s="948" t="s">
        <v>791</v>
      </c>
      <c r="B28" s="290" t="s">
        <v>2380</v>
      </c>
      <c r="C28" s="291">
        <f ca="1">ROUND((C5+C19+C20)*F27*'数据-取费表'!B21/'数据-取费表'!B20,0)</f>
        <v>5240</v>
      </c>
      <c r="D28" s="277"/>
      <c r="E28" s="278"/>
      <c r="F28" s="288"/>
      <c r="G28" s="289"/>
    </row>
    <row r="29" spans="1:7" s="256" customFormat="1" ht="13.5" customHeight="1">
      <c r="A29" s="948" t="s">
        <v>792</v>
      </c>
      <c r="B29" s="290" t="s">
        <v>2381</v>
      </c>
      <c r="C29" s="280">
        <f ca="1">ROUND(C21*F27*'数据-取费表'!B21/'数据-取费表'!B20,4)</f>
        <v>2.3E-3</v>
      </c>
      <c r="D29" s="277"/>
      <c r="E29" s="278"/>
      <c r="F29" s="288"/>
      <c r="G29" s="289"/>
    </row>
    <row r="30" spans="1:7" s="256" customFormat="1" ht="13.5" customHeight="1">
      <c r="A30" s="297" t="s">
        <v>2382</v>
      </c>
      <c r="B30" s="252" t="s">
        <v>2383</v>
      </c>
      <c r="C30" s="277">
        <f>ROUND(F30/(1+'数据-取费表'!C42),4)</f>
        <v>5.33E-2</v>
      </c>
      <c r="D30" s="278" t="s">
        <v>2378</v>
      </c>
      <c r="E30" s="283"/>
      <c r="F30" s="279">
        <f>'数据-取费表'!B41</f>
        <v>5.6000000000000001E-2</v>
      </c>
      <c r="G30" s="276" t="s">
        <v>2384</v>
      </c>
    </row>
    <row r="31" spans="1:7" ht="16.5" customHeight="1">
      <c r="A31" s="251">
        <v>1</v>
      </c>
      <c r="B31" s="252" t="s">
        <v>2385</v>
      </c>
      <c r="C31" s="253">
        <f ca="1">ROUND((C5+C19+C20+C22+C27)/(1-C21-D22-D27-C30),0)</f>
        <v>60702</v>
      </c>
      <c r="D31" s="272"/>
      <c r="E31" s="253"/>
      <c r="F31" s="292"/>
      <c r="G31" s="276" t="s">
        <v>2386</v>
      </c>
    </row>
    <row r="32" spans="1:7" s="250" customFormat="1" ht="15.75">
      <c r="A32" s="294" t="s">
        <v>2387</v>
      </c>
      <c r="B32" s="295"/>
      <c r="C32" s="295"/>
      <c r="D32" s="295"/>
      <c r="E32" s="295"/>
      <c r="F32" s="295"/>
      <c r="G32" s="296"/>
    </row>
    <row r="33" spans="1:7" s="256" customFormat="1" ht="13.5" customHeight="1">
      <c r="A33" s="297" t="s">
        <v>782</v>
      </c>
      <c r="B33" s="252" t="s">
        <v>2388</v>
      </c>
      <c r="C33" s="298">
        <f ca="1">SUM(C34:C38)</f>
        <v>162347</v>
      </c>
      <c r="D33" s="274"/>
      <c r="E33" s="254"/>
      <c r="F33" s="283"/>
      <c r="G33" s="276"/>
    </row>
    <row r="34" spans="1:7" s="300" customFormat="1" ht="13.5" customHeight="1">
      <c r="A34" s="948" t="s">
        <v>791</v>
      </c>
      <c r="B34" s="257" t="s">
        <v>2389</v>
      </c>
      <c r="C34" s="262">
        <f ca="1">IF(B1="",IF(F34=100%,'数据-取费表'!M16,'数据-取费表'!O16),IF(F34=100%,INDIRECT("'数据-取费表'!m"&amp;$G$1)+INDIRECT("'数据-取费表'!t"&amp;$G$1),INDIRECT("'数据-取费表'!o"&amp;$G$1)+INDIRECT("'数据-取费表'!aq"&amp;$G$1)))</f>
        <v>151377</v>
      </c>
      <c r="D34" s="259"/>
      <c r="E34" s="262"/>
      <c r="F34" s="299">
        <f ca="1">IF('数据-取费表'!B24=0,1,IF(B1="",'数据-取费表'!N16,INDIRECT("'数据-取费表'!n"&amp;$G$1)))</f>
        <v>0.95</v>
      </c>
      <c r="G34" s="261" t="s">
        <v>2390</v>
      </c>
    </row>
    <row r="35" spans="1:7" ht="13.5" customHeight="1">
      <c r="A35" s="948" t="s">
        <v>796</v>
      </c>
      <c r="B35" s="257" t="s">
        <v>2391</v>
      </c>
      <c r="C35" s="262">
        <f ca="1">ROUND(C34*F35,0)</f>
        <v>4541</v>
      </c>
      <c r="D35" s="262"/>
      <c r="E35" s="262"/>
      <c r="F35" s="301">
        <f>'数据-取费表'!B33</f>
        <v>0.03</v>
      </c>
      <c r="G35" s="261" t="s">
        <v>2392</v>
      </c>
    </row>
    <row r="36" spans="1:7" ht="24">
      <c r="A36" s="948"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8" t="s">
        <v>798</v>
      </c>
      <c r="B37" s="257" t="s">
        <v>2395</v>
      </c>
      <c r="C37" s="291">
        <f ca="1">ROUND(E37*D37*F34/10000,0)</f>
        <v>4158</v>
      </c>
      <c r="D37" s="259">
        <f ca="1">D19</f>
        <v>218862.73</v>
      </c>
      <c r="E37" s="291">
        <f>'数据-取费表'!B35</f>
        <v>200</v>
      </c>
      <c r="F37" s="301"/>
      <c r="G37" s="303" t="s">
        <v>2396</v>
      </c>
    </row>
    <row r="38" spans="1:7" ht="13.5" customHeight="1">
      <c r="A38" s="948" t="s">
        <v>799</v>
      </c>
      <c r="B38" s="257" t="s">
        <v>2397</v>
      </c>
      <c r="C38" s="262">
        <f ca="1">ROUND(C34*F38,0)</f>
        <v>2271</v>
      </c>
      <c r="D38" s="262"/>
      <c r="E38" s="262"/>
      <c r="F38" s="301">
        <f>'数据-取费表'!B36</f>
        <v>1.4999999999999999E-2</v>
      </c>
      <c r="G38" s="261" t="s">
        <v>2392</v>
      </c>
    </row>
    <row r="39" spans="1:7" s="256" customFormat="1" ht="13.5" customHeight="1">
      <c r="A39" s="297" t="s">
        <v>2398</v>
      </c>
      <c r="B39" s="252" t="s">
        <v>2399</v>
      </c>
      <c r="C39" s="274">
        <f ca="1">ROUND(C33*F20,0)</f>
        <v>2435</v>
      </c>
      <c r="D39" s="274"/>
      <c r="E39" s="274"/>
      <c r="F39" s="275"/>
      <c r="G39" s="276" t="s">
        <v>2400</v>
      </c>
    </row>
    <row r="40" spans="1:7" s="256" customFormat="1" ht="13.5" customHeight="1">
      <c r="A40" s="297" t="s">
        <v>2401</v>
      </c>
      <c r="B40" s="252" t="s">
        <v>2402</v>
      </c>
      <c r="C40" s="1724">
        <f>F21</f>
        <v>0.02</v>
      </c>
      <c r="D40" s="278" t="s">
        <v>2403</v>
      </c>
      <c r="E40" s="274"/>
      <c r="F40" s="275"/>
      <c r="G40" s="276" t="s">
        <v>2404</v>
      </c>
    </row>
    <row r="41" spans="1:7" s="256" customFormat="1" ht="13.5" customHeight="1">
      <c r="A41" s="297" t="s">
        <v>2405</v>
      </c>
      <c r="B41" s="252" t="s">
        <v>2406</v>
      </c>
      <c r="C41" s="274">
        <f ca="1">ROUND(SUM(C42:C43),0)</f>
        <v>9436</v>
      </c>
      <c r="D41" s="277">
        <f ca="1">C44</f>
        <v>1.1000000000000001E-3</v>
      </c>
      <c r="E41" s="278" t="s">
        <v>2403</v>
      </c>
      <c r="F41" s="279"/>
      <c r="G41" s="276" t="str">
        <f>IF('数据-取费表'!B22&lt;=1,"单利计息","复利计息")</f>
        <v>复利计息</v>
      </c>
    </row>
    <row r="42" spans="1:7" ht="13.5" customHeight="1">
      <c r="A42" s="948" t="s">
        <v>791</v>
      </c>
      <c r="B42" s="257" t="s">
        <v>2407</v>
      </c>
      <c r="C42" s="280">
        <f ca="1">ROUND(IF('数据-取费表'!B22&lt;=1,C33*F22*'数据-取费表'!B21/2,C33*(POWER((1+F22),'数据-取费表'!B21/2)-1)),0)</f>
        <v>9297</v>
      </c>
      <c r="D42" s="280"/>
      <c r="E42" s="280"/>
      <c r="F42" s="281"/>
      <c r="G42" s="3237" t="s">
        <v>2408</v>
      </c>
    </row>
    <row r="43" spans="1:7" ht="13.5" customHeight="1">
      <c r="A43" s="948" t="s">
        <v>792</v>
      </c>
      <c r="B43" s="257" t="s">
        <v>2409</v>
      </c>
      <c r="C43" s="280">
        <f ca="1">ROUND(IF('数据-取费表'!B22&lt;=1,C39*F22*'数据-取费表'!B21/2,C39*(POWER((1+F22),'数据-取费表'!B21/2)-1)),0)</f>
        <v>139</v>
      </c>
      <c r="D43" s="280"/>
      <c r="E43" s="280"/>
      <c r="F43" s="281"/>
      <c r="G43" s="3238"/>
    </row>
    <row r="44" spans="1:7" ht="13.5" customHeight="1">
      <c r="A44" s="948" t="s">
        <v>793</v>
      </c>
      <c r="B44" s="257" t="s">
        <v>2410</v>
      </c>
      <c r="C44" s="280">
        <f ca="1">ROUND(IF('数据-取费表'!B22&lt;=1,C40*F22*'数据-取费表'!B21/2,C40*(POWER((1+F22),'数据-取费表'!B21/2)-1)),4)</f>
        <v>1.1000000000000001E-3</v>
      </c>
      <c r="D44" s="280"/>
      <c r="E44" s="280"/>
      <c r="F44" s="281"/>
      <c r="G44" s="3239"/>
    </row>
    <row r="45" spans="1:7" s="256" customFormat="1" ht="13.5" customHeight="1">
      <c r="A45" s="297" t="s">
        <v>2411</v>
      </c>
      <c r="B45" s="286" t="s">
        <v>2377</v>
      </c>
      <c r="C45" s="287">
        <f ca="1">C46</f>
        <v>19774</v>
      </c>
      <c r="D45" s="277">
        <f ca="1">C47</f>
        <v>2.3999999999999998E-3</v>
      </c>
      <c r="E45" s="278" t="s">
        <v>2403</v>
      </c>
      <c r="F45" s="288"/>
      <c r="G45" s="289" t="s">
        <v>2412</v>
      </c>
    </row>
    <row r="46" spans="1:7" s="256" customFormat="1" ht="13.5" customHeight="1">
      <c r="A46" s="948" t="s">
        <v>791</v>
      </c>
      <c r="B46" s="290" t="s">
        <v>2413</v>
      </c>
      <c r="C46" s="291">
        <f ca="1">ROUND((C33+C39)*F27,0)</f>
        <v>19774</v>
      </c>
      <c r="D46" s="305"/>
      <c r="E46" s="278"/>
      <c r="F46" s="288"/>
      <c r="G46" s="289"/>
    </row>
    <row r="47" spans="1:7" s="256" customFormat="1" ht="13.5" customHeight="1">
      <c r="A47" s="948" t="s">
        <v>792</v>
      </c>
      <c r="B47" s="290" t="s">
        <v>2414</v>
      </c>
      <c r="C47" s="280">
        <f ca="1">ROUND(C40*F27,4)</f>
        <v>2.3999999999999998E-3</v>
      </c>
      <c r="D47" s="305"/>
      <c r="E47" s="278"/>
      <c r="F47" s="288"/>
      <c r="G47" s="289"/>
    </row>
    <row r="48" spans="1:7" s="256" customFormat="1" ht="13.5" customHeight="1">
      <c r="A48" s="297" t="s">
        <v>2376</v>
      </c>
      <c r="B48" s="252" t="s">
        <v>2415</v>
      </c>
      <c r="C48" s="1724">
        <f>ROUND(F30/(1+'数据-取费表'!C42),4)</f>
        <v>5.33E-2</v>
      </c>
      <c r="D48" s="278" t="s">
        <v>2403</v>
      </c>
      <c r="E48" s="274"/>
      <c r="F48" s="279"/>
      <c r="G48" s="276" t="s">
        <v>2416</v>
      </c>
    </row>
    <row r="49" spans="1:7" ht="16.5" customHeight="1">
      <c r="A49" s="297" t="s">
        <v>2382</v>
      </c>
      <c r="B49" s="252" t="s">
        <v>2417</v>
      </c>
      <c r="C49" s="274">
        <f ca="1">ROUND((C33+C39+C41+C45)/(1-C40-D41-D45-C48),0)</f>
        <v>210130</v>
      </c>
      <c r="D49" s="274"/>
      <c r="E49" s="274"/>
      <c r="F49" s="306"/>
      <c r="G49" s="276" t="s">
        <v>2418</v>
      </c>
    </row>
    <row r="50" spans="1:7" s="300" customFormat="1" ht="24">
      <c r="A50" s="297" t="s">
        <v>2419</v>
      </c>
      <c r="B50" s="252" t="s">
        <v>2420</v>
      </c>
      <c r="C50" s="274"/>
      <c r="D50" s="274"/>
      <c r="E50" s="274"/>
      <c r="F50" s="306">
        <f>IF('数据-取费表'!B24=0,'数据-取费表'!N16,1)</f>
        <v>1</v>
      </c>
      <c r="G50" s="289" t="s">
        <v>2421</v>
      </c>
    </row>
    <row r="51" spans="1:7" ht="16.5" customHeight="1">
      <c r="A51" s="297" t="s">
        <v>2422</v>
      </c>
      <c r="B51" s="252" t="s">
        <v>2423</v>
      </c>
      <c r="C51" s="274">
        <f ca="1">ROUND(C49*F50,0)</f>
        <v>210130</v>
      </c>
      <c r="D51" s="274"/>
      <c r="E51" s="274"/>
      <c r="F51" s="306"/>
      <c r="G51" s="276" t="s">
        <v>2424</v>
      </c>
    </row>
    <row r="52" spans="1:7" s="250" customFormat="1" ht="16.5" thickBot="1">
      <c r="A52" s="307" t="s">
        <v>2425</v>
      </c>
      <c r="B52" s="308"/>
      <c r="C52" s="309">
        <f ca="1">C31+C51</f>
        <v>270832</v>
      </c>
      <c r="D52" s="308"/>
      <c r="E52" s="308"/>
      <c r="F52" s="308"/>
      <c r="G52" s="310"/>
    </row>
    <row r="55" spans="1:7" ht="15">
      <c r="B55" s="312" t="s">
        <v>2426</v>
      </c>
      <c r="C55" s="313"/>
    </row>
    <row r="56" spans="1:7">
      <c r="B56" s="315" t="s">
        <v>1507</v>
      </c>
      <c r="C56" s="317">
        <f ca="1">1-C57</f>
        <v>0.22399999999999998</v>
      </c>
    </row>
    <row r="57" spans="1:7">
      <c r="B57" s="315" t="s">
        <v>1508</v>
      </c>
      <c r="C57" s="316">
        <f ca="1">ROUND(C51/C52,3)</f>
        <v>0.77600000000000002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75" defaultRowHeight="12.75"/>
  <cols>
    <col min="1" max="1" width="9.375" style="311" customWidth="1"/>
    <col min="2" max="2" width="29.125" style="293" customWidth="1"/>
    <col min="3" max="3" width="12.125" style="293" customWidth="1"/>
    <col min="4" max="5" width="11.125" style="314" customWidth="1"/>
    <col min="6" max="6" width="9.5" style="293" customWidth="1"/>
    <col min="7" max="7" width="31.875" style="293" customWidth="1"/>
    <col min="8" max="8" width="10.875" style="293" customWidth="1"/>
    <col min="9" max="254" width="9" style="293" customWidth="1"/>
    <col min="255" max="16384" width="8.375" style="293"/>
  </cols>
  <sheetData>
    <row r="1" spans="1:8" s="242" customFormat="1" ht="20.25">
      <c r="A1" s="238" t="s">
        <v>2325</v>
      </c>
      <c r="B1" s="1932"/>
      <c r="C1" s="2551" t="s">
        <v>2427</v>
      </c>
      <c r="D1" s="240"/>
      <c r="E1" s="240"/>
      <c r="F1" s="240"/>
      <c r="G1" s="1376">
        <f>MATCH(B1,'数据-取费表'!A6:A16,0)+5</f>
        <v>8</v>
      </c>
      <c r="H1" s="1279" t="str">
        <f>IF(ISERROR(FIND("住宅",B1)),"非住宅","住宅")</f>
        <v>非住宅</v>
      </c>
    </row>
    <row r="2" spans="1:8" s="242" customFormat="1" ht="18" customHeight="1">
      <c r="A2" s="243" t="s">
        <v>2326</v>
      </c>
      <c r="B2" s="244">
        <f ca="1">ROUND(IF(D2="——",C52/10000,C52/10000-E2),0)</f>
        <v>229148</v>
      </c>
      <c r="C2" s="241" t="s">
        <v>2327</v>
      </c>
      <c r="D2" s="2545" t="s">
        <v>70</v>
      </c>
      <c r="E2" s="1437" t="e">
        <f ca="1">SUMIF(INDIRECT("'"&amp;G2&amp;"'"&amp;"!A:A"),"承租人权益价值",INDIRECT("'"&amp;G2&amp;"'"&amp;"!c:c"))</f>
        <v>#REF!</v>
      </c>
      <c r="F2" s="2546" t="s">
        <v>2327</v>
      </c>
      <c r="G2" s="2547"/>
    </row>
    <row r="3" spans="1:8" s="242" customFormat="1" ht="18" customHeight="1" thickBot="1">
      <c r="A3" s="245" t="s">
        <v>2328</v>
      </c>
      <c r="B3" s="246">
        <f ca="1">ROUND(B2*10000/(IF(B1="",'数据-汇总表'!E3,INDIRECT("'数据-取费表'!k"&amp;$G$1))),0)</f>
        <v>10470</v>
      </c>
      <c r="C3" s="241" t="s">
        <v>2329</v>
      </c>
      <c r="D3" s="241"/>
      <c r="E3" s="241"/>
      <c r="F3" s="241"/>
      <c r="G3" s="241"/>
    </row>
    <row r="4" spans="1:8" s="250" customFormat="1" ht="15.75">
      <c r="A4" s="247" t="s">
        <v>2330</v>
      </c>
      <c r="B4" s="248"/>
      <c r="C4" s="248"/>
      <c r="D4" s="248"/>
      <c r="E4" s="248"/>
      <c r="F4" s="248"/>
      <c r="G4" s="249"/>
    </row>
    <row r="5" spans="1:8" s="256" customFormat="1" ht="13.5" customHeight="1">
      <c r="A5" s="297" t="s">
        <v>2331</v>
      </c>
      <c r="B5" s="252" t="s">
        <v>2332</v>
      </c>
      <c r="C5" s="253">
        <f ca="1">C6+C7+C8</f>
        <v>10943137</v>
      </c>
      <c r="D5" s="253" t="s">
        <v>2333</v>
      </c>
      <c r="E5" s="254" t="s">
        <v>2334</v>
      </c>
      <c r="F5" s="254" t="s">
        <v>2335</v>
      </c>
      <c r="G5" s="255"/>
    </row>
    <row r="6" spans="1:8" s="256" customFormat="1" ht="13.5" customHeight="1">
      <c r="A6" s="946" t="s">
        <v>2336</v>
      </c>
      <c r="B6" s="257" t="s">
        <v>2337</v>
      </c>
      <c r="C6" s="258"/>
      <c r="D6" s="259"/>
      <c r="E6" s="260"/>
      <c r="F6" s="260"/>
      <c r="G6" s="261"/>
    </row>
    <row r="7" spans="1:8" s="256" customFormat="1" ht="13.5" customHeight="1">
      <c r="A7" s="946" t="s">
        <v>2338</v>
      </c>
      <c r="B7" s="257" t="s">
        <v>2339</v>
      </c>
      <c r="C7" s="262">
        <f>ROUND(C6*F7,0)</f>
        <v>0</v>
      </c>
      <c r="D7" s="262"/>
      <c r="E7" s="260"/>
      <c r="F7" s="263">
        <f>IF(项目基本情况!B8="出让",0,'数据-取费表'!B48+'数据-取费表'!B49)</f>
        <v>3.0499999999999999E-2</v>
      </c>
      <c r="G7" s="261"/>
    </row>
    <row r="8" spans="1:8" s="265" customFormat="1">
      <c r="A8" s="946" t="s">
        <v>2340</v>
      </c>
      <c r="B8" s="257" t="s">
        <v>2341</v>
      </c>
      <c r="C8" s="262">
        <f ca="1">IF(G8="已包含在土地购买价格中",0,C9+C10)</f>
        <v>10943137</v>
      </c>
      <c r="D8" s="264"/>
      <c r="E8" s="262"/>
      <c r="F8" s="263"/>
      <c r="G8" s="2548"/>
    </row>
    <row r="9" spans="1:8" s="256" customFormat="1" ht="13.5" customHeight="1">
      <c r="A9" s="947" t="s">
        <v>800</v>
      </c>
      <c r="B9" s="266" t="s">
        <v>2342</v>
      </c>
      <c r="C9" s="267">
        <f ca="1">ROUND(D9*E9,0)</f>
        <v>0</v>
      </c>
      <c r="D9" s="1029">
        <f ca="1">IF(B1="",'数据-汇总表'!E5,IF(INDIRECT("'数据-取费表'!c"&amp;$G$1)="住宅",INDIRECT("'数据-取费表'!k"&amp;$G$1),0))</f>
        <v>0</v>
      </c>
      <c r="E9" s="267">
        <f>'数据-取费表'!B27</f>
        <v>50</v>
      </c>
      <c r="F9" s="263"/>
      <c r="G9" s="268"/>
    </row>
    <row r="10" spans="1:8" s="256" customFormat="1" ht="13.5" customHeight="1">
      <c r="A10" s="947" t="s">
        <v>801</v>
      </c>
      <c r="B10" s="266" t="s">
        <v>2344</v>
      </c>
      <c r="C10" s="267">
        <f ca="1">ROUND(D10*E10,0)</f>
        <v>10943137</v>
      </c>
      <c r="D10" s="1029">
        <f ca="1">IF(B1="",'数据-汇总表'!E6,IF(INDIRECT("'数据-取费表'!c"&amp;$G$1)="住宅",INDIRECT("'数据-取费表'!s"&amp;$G$1),INDIRECT("'数据-取费表'!k"&amp;$G$1)+INDIRECT("'数据-取费表'!s"&amp;$G$1)))</f>
        <v>218862.73</v>
      </c>
      <c r="E10" s="267">
        <f>'数据-取费表'!B28</f>
        <v>50</v>
      </c>
      <c r="F10" s="263"/>
      <c r="G10" s="268"/>
    </row>
    <row r="11" spans="1:8" s="256" customFormat="1" ht="13.5" hidden="1" customHeight="1">
      <c r="A11" s="269" t="s">
        <v>7</v>
      </c>
      <c r="B11" s="257" t="s">
        <v>2345</v>
      </c>
      <c r="C11" s="253"/>
      <c r="D11" s="1031"/>
      <c r="E11" s="260"/>
      <c r="F11" s="260"/>
      <c r="G11" s="261"/>
    </row>
    <row r="12" spans="1:8" s="256" customFormat="1" ht="13.5" hidden="1" customHeight="1">
      <c r="A12" s="269" t="s">
        <v>8</v>
      </c>
      <c r="B12" s="257" t="s">
        <v>2428</v>
      </c>
      <c r="C12" s="253">
        <v>0</v>
      </c>
      <c r="D12" s="1031"/>
      <c r="E12" s="270"/>
      <c r="F12" s="263">
        <v>3.0499999999999999E-2</v>
      </c>
      <c r="G12" s="261"/>
    </row>
    <row r="13" spans="1:8" s="256" customFormat="1" ht="13.5" hidden="1" customHeight="1">
      <c r="A13" s="269" t="s">
        <v>9</v>
      </c>
      <c r="B13" s="257" t="s">
        <v>2429</v>
      </c>
      <c r="C13" s="253"/>
      <c r="D13" s="1031"/>
      <c r="E13" s="260"/>
      <c r="F13" s="260"/>
      <c r="G13" s="261"/>
    </row>
    <row r="14" spans="1:8" s="256" customFormat="1" ht="13.5" hidden="1" customHeight="1">
      <c r="A14" s="269" t="s">
        <v>10</v>
      </c>
      <c r="B14" s="257" t="s">
        <v>2341</v>
      </c>
      <c r="C14" s="253"/>
      <c r="D14" s="1031"/>
      <c r="E14" s="260"/>
      <c r="F14" s="260"/>
      <c r="G14" s="261" t="s">
        <v>2430</v>
      </c>
    </row>
    <row r="15" spans="1:8" s="256" customFormat="1" ht="13.5" hidden="1" customHeight="1">
      <c r="A15" s="269" t="s">
        <v>11</v>
      </c>
      <c r="B15" s="257" t="s">
        <v>2431</v>
      </c>
      <c r="C15" s="262"/>
      <c r="D15" s="1031"/>
      <c r="E15" s="260"/>
      <c r="F15" s="260"/>
      <c r="G15" s="261" t="s">
        <v>2432</v>
      </c>
    </row>
    <row r="16" spans="1:8" s="256" customFormat="1" ht="13.5" hidden="1" customHeight="1">
      <c r="A16" s="269" t="s">
        <v>12</v>
      </c>
      <c r="B16" s="257" t="s">
        <v>2341</v>
      </c>
      <c r="C16" s="262"/>
      <c r="D16" s="1031"/>
      <c r="E16" s="260"/>
      <c r="F16" s="260"/>
      <c r="G16" s="261"/>
    </row>
    <row r="17" spans="1:7" s="256" customFormat="1" ht="13.5" hidden="1" customHeight="1">
      <c r="A17" s="269" t="s">
        <v>13</v>
      </c>
      <c r="B17" s="257" t="s">
        <v>2433</v>
      </c>
      <c r="C17" s="271"/>
      <c r="D17" s="1032"/>
      <c r="E17" s="271"/>
      <c r="F17" s="271"/>
      <c r="G17" s="261" t="s">
        <v>2432</v>
      </c>
    </row>
    <row r="18" spans="1:7" s="256" customFormat="1" ht="13.5" hidden="1" customHeight="1">
      <c r="A18" s="269" t="s">
        <v>14</v>
      </c>
      <c r="B18" s="257" t="s">
        <v>2434</v>
      </c>
      <c r="C18" s="262">
        <v>0</v>
      </c>
      <c r="D18" s="1031"/>
      <c r="E18" s="260"/>
      <c r="F18" s="263">
        <v>3.0499999999999999E-2</v>
      </c>
      <c r="G18" s="261" t="s">
        <v>2435</v>
      </c>
    </row>
    <row r="19" spans="1:7" s="265" customFormat="1" ht="13.5" customHeight="1">
      <c r="A19" s="297" t="s">
        <v>2436</v>
      </c>
      <c r="B19" s="252" t="s">
        <v>2437</v>
      </c>
      <c r="C19" s="253">
        <f ca="1">IF(G19="已包含在土地取得成本中","0",ROUND(D19*E19,0))</f>
        <v>43772546</v>
      </c>
      <c r="D19" s="1033">
        <f ca="1">D9+D10</f>
        <v>218862.73</v>
      </c>
      <c r="E19" s="253">
        <f>'数据-取费表'!B31</f>
        <v>200</v>
      </c>
      <c r="F19" s="273"/>
      <c r="G19" s="2548"/>
    </row>
    <row r="20" spans="1:7" s="256" customFormat="1" ht="13.5" customHeight="1">
      <c r="A20" s="297" t="s">
        <v>2438</v>
      </c>
      <c r="B20" s="252" t="s">
        <v>2439</v>
      </c>
      <c r="C20" s="274">
        <f ca="1">ROUND((C5+C19)*F20,0)</f>
        <v>820735</v>
      </c>
      <c r="D20" s="274"/>
      <c r="E20" s="274"/>
      <c r="F20" s="275">
        <f>'数据-取费表'!B37</f>
        <v>1.4999999999999999E-2</v>
      </c>
      <c r="G20" s="276" t="s">
        <v>2440</v>
      </c>
    </row>
    <row r="21" spans="1:7" s="256" customFormat="1" ht="13.5" customHeight="1">
      <c r="A21" s="297" t="s">
        <v>2441</v>
      </c>
      <c r="B21" s="252" t="s">
        <v>2442</v>
      </c>
      <c r="C21" s="277">
        <f>F21</f>
        <v>0.02</v>
      </c>
      <c r="D21" s="278" t="s">
        <v>2443</v>
      </c>
      <c r="E21" s="274"/>
      <c r="F21" s="275">
        <f>'数据-取费表'!B38</f>
        <v>0.02</v>
      </c>
      <c r="G21" s="276" t="s">
        <v>2444</v>
      </c>
    </row>
    <row r="22" spans="1:7" s="256" customFormat="1" ht="13.5" customHeight="1">
      <c r="A22" s="297" t="s">
        <v>2445</v>
      </c>
      <c r="B22" s="252" t="s">
        <v>2446</v>
      </c>
      <c r="C22" s="1377">
        <f ca="1">ROUND(SUM(C23:C25),0)</f>
        <v>6779799</v>
      </c>
      <c r="D22" s="277">
        <f ca="1">C26</f>
        <v>1.1999999999999999E-3</v>
      </c>
      <c r="E22" s="278" t="s">
        <v>2443</v>
      </c>
      <c r="F22" s="279">
        <f ca="1">'数据-取费表'!B40</f>
        <v>4.7500000000000001E-2</v>
      </c>
      <c r="G22" s="276" t="str">
        <f>IF('数据-取费表'!B22&lt;=1,"单利计息","复利计息")</f>
        <v>复利计息</v>
      </c>
    </row>
    <row r="23" spans="1:7" s="256" customFormat="1" ht="13.5" customHeight="1">
      <c r="A23" s="948" t="s">
        <v>2336</v>
      </c>
      <c r="B23" s="257" t="s">
        <v>2447</v>
      </c>
      <c r="C23" s="1378">
        <f ca="1">ROUND(IF('数据-取费表'!B22&lt;=1,C5*F22*'数据-取费表'!B22,C5*(POWER((1+F22),'数据-取费表'!B22)-1)),0)</f>
        <v>1346156</v>
      </c>
      <c r="D23" s="280"/>
      <c r="E23" s="280"/>
      <c r="F23" s="281"/>
      <c r="G23" s="282" t="s">
        <v>2448</v>
      </c>
    </row>
    <row r="24" spans="1:7" s="256" customFormat="1" ht="13.5" customHeight="1">
      <c r="A24" s="948" t="s">
        <v>2338</v>
      </c>
      <c r="B24" s="257" t="s">
        <v>2449</v>
      </c>
      <c r="C24" s="1378">
        <f ca="1">ROUND(IF('数据-取费表'!B22&lt;=1,C19*F22*('数据-取费表'!B19/2+'数据-取费表'!B20),C19*(POWER((1+F22),('数据-取费表'!B19/2+'数据-取费表'!B20))-1)),0)</f>
        <v>5384626</v>
      </c>
      <c r="D24" s="280"/>
      <c r="E24" s="280"/>
      <c r="F24" s="281"/>
      <c r="G24" s="282" t="s">
        <v>2450</v>
      </c>
    </row>
    <row r="25" spans="1:7" s="256" customFormat="1" ht="24">
      <c r="A25" s="948" t="s">
        <v>2340</v>
      </c>
      <c r="B25" s="257" t="s">
        <v>2451</v>
      </c>
      <c r="C25" s="1378">
        <f ca="1">ROUND(IF('数据-取费表'!B22&lt;=1,C20*F22*'数据-取费表'!B22/2,C20*(POWER((1+F22),'数据-取费表'!B22/2)-1)),0)</f>
        <v>49017</v>
      </c>
      <c r="D25" s="280"/>
      <c r="E25" s="283"/>
      <c r="F25" s="281"/>
      <c r="G25" s="284" t="s">
        <v>2452</v>
      </c>
    </row>
    <row r="26" spans="1:7" s="256" customFormat="1">
      <c r="A26" s="948" t="s">
        <v>795</v>
      </c>
      <c r="B26" s="257" t="s">
        <v>2375</v>
      </c>
      <c r="C26" s="280">
        <f ca="1">ROUND(IF('数据-取费表'!B22&lt;=1,F21*F22*'数据-取费表'!B22/2,F21*(POWER((1+F22),'数据-取费表'!B22/2)-1)),4)</f>
        <v>1.1999999999999999E-3</v>
      </c>
      <c r="D26" s="280"/>
      <c r="E26" s="283"/>
      <c r="F26" s="281"/>
      <c r="G26" s="285"/>
    </row>
    <row r="27" spans="1:7" s="256" customFormat="1" ht="24.75">
      <c r="A27" s="297" t="s">
        <v>2376</v>
      </c>
      <c r="B27" s="286" t="s">
        <v>2377</v>
      </c>
      <c r="C27" s="287">
        <f ca="1">C28</f>
        <v>6664370</v>
      </c>
      <c r="D27" s="277">
        <f ca="1">C29</f>
        <v>2.3999999999999998E-3</v>
      </c>
      <c r="E27" s="278" t="s">
        <v>2378</v>
      </c>
      <c r="F27" s="288">
        <f ca="1">IF(B1="",'数据-取费表'!Q16,INDIRECT("'数据-取费表'!q"&amp;$G$1))</f>
        <v>0.12</v>
      </c>
      <c r="G27" s="289" t="s">
        <v>2379</v>
      </c>
    </row>
    <row r="28" spans="1:7" s="256" customFormat="1" ht="13.5" customHeight="1">
      <c r="A28" s="948" t="s">
        <v>791</v>
      </c>
      <c r="B28" s="290" t="s">
        <v>2380</v>
      </c>
      <c r="C28" s="291">
        <f ca="1">ROUND((C5+C19+C20)*F27,0)</f>
        <v>6664370</v>
      </c>
      <c r="D28" s="277"/>
      <c r="E28" s="278"/>
      <c r="F28" s="288"/>
      <c r="G28" s="289"/>
    </row>
    <row r="29" spans="1:7" s="256" customFormat="1" ht="13.5" customHeight="1">
      <c r="A29" s="948" t="s">
        <v>792</v>
      </c>
      <c r="B29" s="290" t="s">
        <v>2381</v>
      </c>
      <c r="C29" s="280">
        <f ca="1">ROUND(C21*F27,4)</f>
        <v>2.3999999999999998E-3</v>
      </c>
      <c r="D29" s="277"/>
      <c r="E29" s="278"/>
      <c r="F29" s="288"/>
      <c r="G29" s="289"/>
    </row>
    <row r="30" spans="1:7" s="256" customFormat="1" ht="13.5" customHeight="1">
      <c r="A30" s="297" t="s">
        <v>2382</v>
      </c>
      <c r="B30" s="252" t="s">
        <v>2383</v>
      </c>
      <c r="C30" s="277">
        <f>ROUND(F30/(1+'数据-取费表'!C42),4)</f>
        <v>5.33E-2</v>
      </c>
      <c r="D30" s="278" t="s">
        <v>2378</v>
      </c>
      <c r="E30" s="283"/>
      <c r="F30" s="279">
        <f>'数据-取费表'!B41</f>
        <v>5.6000000000000001E-2</v>
      </c>
      <c r="G30" s="276" t="s">
        <v>2384</v>
      </c>
    </row>
    <row r="31" spans="1:7" ht="16.5" customHeight="1">
      <c r="A31" s="251">
        <v>1</v>
      </c>
      <c r="B31" s="252" t="s">
        <v>2385</v>
      </c>
      <c r="C31" s="253">
        <f ca="1">ROUND((C5+C19+C20+C22+C27)/(1-C21-D22-D27-C30),0)</f>
        <v>74727101</v>
      </c>
      <c r="D31" s="272"/>
      <c r="E31" s="253"/>
      <c r="F31" s="292"/>
      <c r="G31" s="276" t="s">
        <v>2386</v>
      </c>
    </row>
    <row r="32" spans="1:7" s="250" customFormat="1" ht="15.75">
      <c r="A32" s="294" t="s">
        <v>2453</v>
      </c>
      <c r="B32" s="295"/>
      <c r="C32" s="295"/>
      <c r="D32" s="295"/>
      <c r="E32" s="295"/>
      <c r="F32" s="295"/>
      <c r="G32" s="296"/>
    </row>
    <row r="33" spans="1:7" s="256" customFormat="1" ht="13.5" customHeight="1">
      <c r="A33" s="297" t="s">
        <v>782</v>
      </c>
      <c r="B33" s="252" t="s">
        <v>2454</v>
      </c>
      <c r="C33" s="298">
        <f ca="1">SUM(C34:C38)</f>
        <v>1708915653</v>
      </c>
      <c r="D33" s="274"/>
      <c r="E33" s="254"/>
      <c r="F33" s="283"/>
      <c r="G33" s="276"/>
    </row>
    <row r="34" spans="1:7" s="300" customFormat="1" ht="13.5" customHeight="1">
      <c r="A34" s="948" t="s">
        <v>791</v>
      </c>
      <c r="B34" s="257" t="s">
        <v>2389</v>
      </c>
      <c r="C34" s="262">
        <f ca="1">ROUND(IF(B1="",SUMPRODUCT('数据-取费表'!K6:K14,'数据-取费表'!L6:L14),INDIRECT("'数据-取费表'!l"&amp;$G$1)*INDIRECT("'数据-取费表'!k"&amp;$G$1)+'数据-取费表'!L14*INDIRECT("'数据-取费表'!S"&amp;$G$1)),0)</f>
        <v>1593438380</v>
      </c>
      <c r="D34" s="259"/>
      <c r="E34" s="262"/>
      <c r="F34" s="299"/>
      <c r="G34" s="261"/>
    </row>
    <row r="35" spans="1:7" ht="13.5" customHeight="1">
      <c r="A35" s="948" t="s">
        <v>796</v>
      </c>
      <c r="B35" s="257" t="s">
        <v>2391</v>
      </c>
      <c r="C35" s="262">
        <f ca="1">ROUND(C34*F35,0)</f>
        <v>47803151</v>
      </c>
      <c r="D35" s="262"/>
      <c r="E35" s="262"/>
      <c r="F35" s="301">
        <f>'数据-取费表'!B33</f>
        <v>0.03</v>
      </c>
      <c r="G35" s="261" t="s">
        <v>2392</v>
      </c>
    </row>
    <row r="36" spans="1:7" ht="24">
      <c r="A36" s="948"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8" t="s">
        <v>798</v>
      </c>
      <c r="B37" s="257" t="s">
        <v>2395</v>
      </c>
      <c r="C37" s="291">
        <f ca="1">ROUND(E37*D37,0)</f>
        <v>43772546</v>
      </c>
      <c r="D37" s="259">
        <f ca="1">D19</f>
        <v>218862.73</v>
      </c>
      <c r="E37" s="291">
        <f>'数据-取费表'!B35</f>
        <v>200</v>
      </c>
      <c r="F37" s="301"/>
      <c r="G37" s="303"/>
    </row>
    <row r="38" spans="1:7" ht="13.5" customHeight="1">
      <c r="A38" s="948" t="s">
        <v>799</v>
      </c>
      <c r="B38" s="257" t="s">
        <v>2397</v>
      </c>
      <c r="C38" s="262">
        <f ca="1">ROUND(C34*F38,0)</f>
        <v>23901576</v>
      </c>
      <c r="D38" s="262"/>
      <c r="E38" s="262"/>
      <c r="F38" s="301">
        <f>'数据-取费表'!B36</f>
        <v>1.4999999999999999E-2</v>
      </c>
      <c r="G38" s="261" t="s">
        <v>2392</v>
      </c>
    </row>
    <row r="39" spans="1:7" s="256" customFormat="1" ht="13.5" customHeight="1">
      <c r="A39" s="297" t="s">
        <v>2398</v>
      </c>
      <c r="B39" s="252" t="s">
        <v>2399</v>
      </c>
      <c r="C39" s="274">
        <f ca="1">ROUND(C33*F20,0)</f>
        <v>25633735</v>
      </c>
      <c r="D39" s="274"/>
      <c r="E39" s="274"/>
      <c r="F39" s="275"/>
      <c r="G39" s="276" t="s">
        <v>2400</v>
      </c>
    </row>
    <row r="40" spans="1:7" s="256" customFormat="1" ht="13.5" customHeight="1">
      <c r="A40" s="297" t="s">
        <v>2401</v>
      </c>
      <c r="B40" s="252" t="s">
        <v>2402</v>
      </c>
      <c r="C40" s="1724">
        <f>F21</f>
        <v>0.02</v>
      </c>
      <c r="D40" s="278" t="s">
        <v>2403</v>
      </c>
      <c r="E40" s="274"/>
      <c r="F40" s="275"/>
      <c r="G40" s="276" t="s">
        <v>2404</v>
      </c>
    </row>
    <row r="41" spans="1:7" s="256" customFormat="1" ht="13.5" customHeight="1">
      <c r="A41" s="297" t="s">
        <v>2405</v>
      </c>
      <c r="B41" s="252" t="s">
        <v>2406</v>
      </c>
      <c r="C41" s="274">
        <f ca="1">ROUND(SUM(C42:C43),0)</f>
        <v>103593252</v>
      </c>
      <c r="D41" s="277">
        <f ca="1">C44</f>
        <v>1.1999999999999999E-3</v>
      </c>
      <c r="E41" s="278" t="s">
        <v>2403</v>
      </c>
      <c r="F41" s="279"/>
      <c r="G41" s="276" t="str">
        <f>IF('数据-取费表'!B22&lt;=1,"单利计息","复利计息")</f>
        <v>复利计息</v>
      </c>
    </row>
    <row r="42" spans="1:7" ht="13.5" customHeight="1">
      <c r="A42" s="948" t="s">
        <v>791</v>
      </c>
      <c r="B42" s="257" t="s">
        <v>2407</v>
      </c>
      <c r="C42" s="280">
        <f ca="1">ROUND(IF('数据-取费表'!B22&lt;=1,C33*F22*'数据-取费表'!B20/2,C33*(POWER((1+F22),'数据-取费表'!B20/2)-1)),0)</f>
        <v>102062317</v>
      </c>
      <c r="D42" s="280"/>
      <c r="E42" s="280"/>
      <c r="F42" s="281"/>
      <c r="G42" s="3237" t="s">
        <v>2455</v>
      </c>
    </row>
    <row r="43" spans="1:7" ht="13.5" customHeight="1">
      <c r="A43" s="948" t="s">
        <v>792</v>
      </c>
      <c r="B43" s="257" t="s">
        <v>2409</v>
      </c>
      <c r="C43" s="280">
        <f ca="1">ROUND(IF('数据-取费表'!B22&lt;=1,C39*F22*'数据-取费表'!B20/2,C39*(POWER((1+F22),'数据-取费表'!B20/2)-1)),0)</f>
        <v>1530935</v>
      </c>
      <c r="D43" s="280"/>
      <c r="E43" s="280"/>
      <c r="F43" s="281"/>
      <c r="G43" s="3238"/>
    </row>
    <row r="44" spans="1:7" ht="13.5" customHeight="1">
      <c r="A44" s="948" t="s">
        <v>793</v>
      </c>
      <c r="B44" s="257" t="s">
        <v>2410</v>
      </c>
      <c r="C44" s="280">
        <f ca="1">ROUND(IF('数据-取费表'!B22&lt;=1,C40*F22*'数据-取费表'!B20/2,C40*(POWER((1+F22),'数据-取费表'!B20/2)-1)),4)</f>
        <v>1.1999999999999999E-3</v>
      </c>
      <c r="D44" s="280"/>
      <c r="E44" s="280"/>
      <c r="F44" s="281"/>
      <c r="G44" s="3239"/>
    </row>
    <row r="45" spans="1:7" s="256" customFormat="1" ht="13.5" customHeight="1">
      <c r="A45" s="297" t="s">
        <v>2411</v>
      </c>
      <c r="B45" s="286" t="s">
        <v>2377</v>
      </c>
      <c r="C45" s="287">
        <f ca="1">C46</f>
        <v>208145927</v>
      </c>
      <c r="D45" s="277">
        <f ca="1">C47</f>
        <v>2.3999999999999998E-3</v>
      </c>
      <c r="E45" s="278" t="s">
        <v>2403</v>
      </c>
      <c r="F45" s="288"/>
      <c r="G45" s="289" t="s">
        <v>2412</v>
      </c>
    </row>
    <row r="46" spans="1:7" s="256" customFormat="1" ht="13.5" customHeight="1">
      <c r="A46" s="948" t="s">
        <v>791</v>
      </c>
      <c r="B46" s="290" t="s">
        <v>2413</v>
      </c>
      <c r="C46" s="291">
        <f ca="1">ROUND((C33+C39)*F27,0)</f>
        <v>208145927</v>
      </c>
      <c r="D46" s="305"/>
      <c r="E46" s="278"/>
      <c r="F46" s="288"/>
      <c r="G46" s="289"/>
    </row>
    <row r="47" spans="1:7" s="256" customFormat="1" ht="13.5" customHeight="1">
      <c r="A47" s="948" t="s">
        <v>792</v>
      </c>
      <c r="B47" s="290" t="s">
        <v>2414</v>
      </c>
      <c r="C47" s="280">
        <f ca="1">ROUND(C40*F27,4)</f>
        <v>2.3999999999999998E-3</v>
      </c>
      <c r="D47" s="305"/>
      <c r="E47" s="278"/>
      <c r="F47" s="288"/>
      <c r="G47" s="289"/>
    </row>
    <row r="48" spans="1:7" s="256" customFormat="1" ht="13.5" customHeight="1">
      <c r="A48" s="297" t="s">
        <v>2376</v>
      </c>
      <c r="B48" s="252" t="s">
        <v>2415</v>
      </c>
      <c r="C48" s="304">
        <f>ROUND(F30/(1+'数据-取费表'!C42),4)</f>
        <v>5.33E-2</v>
      </c>
      <c r="D48" s="278" t="s">
        <v>2403</v>
      </c>
      <c r="E48" s="274"/>
      <c r="F48" s="279"/>
      <c r="G48" s="276" t="s">
        <v>2416</v>
      </c>
    </row>
    <row r="49" spans="1:7" ht="16.5" customHeight="1">
      <c r="A49" s="297" t="s">
        <v>2382</v>
      </c>
      <c r="B49" s="252" t="s">
        <v>2456</v>
      </c>
      <c r="C49" s="274">
        <f ca="1">ROUND((C33+C39+C41+C45)/(1-C40-D41-D45-C48),0)</f>
        <v>2216757195</v>
      </c>
      <c r="D49" s="274"/>
      <c r="E49" s="274"/>
      <c r="F49" s="306"/>
      <c r="G49" s="276" t="s">
        <v>2418</v>
      </c>
    </row>
    <row r="50" spans="1:7" s="300" customFormat="1">
      <c r="A50" s="297" t="s">
        <v>2419</v>
      </c>
      <c r="B50" s="252" t="s">
        <v>2420</v>
      </c>
      <c r="C50" s="274"/>
      <c r="D50" s="274"/>
      <c r="E50" s="274"/>
      <c r="F50" s="306">
        <f>IF('数据-取费表'!B24=0,'数据-取费表'!N16,1)</f>
        <v>1</v>
      </c>
      <c r="G50" s="289"/>
    </row>
    <row r="51" spans="1:7" ht="16.5" customHeight="1">
      <c r="A51" s="297" t="s">
        <v>2422</v>
      </c>
      <c r="B51" s="252" t="s">
        <v>2457</v>
      </c>
      <c r="C51" s="274">
        <f ca="1">ROUND(C49*F50,0)</f>
        <v>2216757195</v>
      </c>
      <c r="D51" s="274"/>
      <c r="E51" s="274"/>
      <c r="F51" s="306"/>
      <c r="G51" s="276" t="s">
        <v>2424</v>
      </c>
    </row>
    <row r="52" spans="1:7" s="250" customFormat="1" ht="16.5" thickBot="1">
      <c r="A52" s="307" t="s">
        <v>2425</v>
      </c>
      <c r="B52" s="308"/>
      <c r="C52" s="309">
        <f ca="1">C31+C51</f>
        <v>2291484296</v>
      </c>
      <c r="D52" s="308"/>
      <c r="E52" s="308"/>
      <c r="F52" s="308"/>
      <c r="G52" s="310"/>
    </row>
    <row r="55" spans="1:7" ht="15">
      <c r="B55" s="312" t="s">
        <v>2426</v>
      </c>
      <c r="C55" s="313"/>
    </row>
    <row r="56" spans="1:7">
      <c r="B56" s="315" t="s">
        <v>1507</v>
      </c>
      <c r="C56" s="317">
        <f ca="1">1-C57</f>
        <v>3.3000000000000029E-2</v>
      </c>
    </row>
    <row r="57" spans="1:7">
      <c r="B57" s="315" t="s">
        <v>1508</v>
      </c>
      <c r="C57" s="316">
        <f ca="1">ROUND(C51/C52,3)</f>
        <v>0.96699999999999997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5" zoomScaleNormal="85" workbookViewId="0">
      <selection activeCell="G50" sqref="G50"/>
    </sheetView>
  </sheetViews>
  <sheetFormatPr defaultColWidth="9" defaultRowHeight="14.25"/>
  <cols>
    <col min="1" max="1" width="14.375" style="401" customWidth="1"/>
    <col min="2" max="2" width="15.875" style="401" customWidth="1"/>
    <col min="3" max="3" width="14.375" style="401" customWidth="1"/>
    <col min="4" max="4" width="14.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875" style="401"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30" s="396" customFormat="1" ht="28.5" customHeight="1">
      <c r="A1" s="392" t="s">
        <v>2740</v>
      </c>
      <c r="B1" s="393"/>
      <c r="C1" s="394"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2326</v>
      </c>
      <c r="B2" s="669">
        <f>F66</f>
        <v>43490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2328</v>
      </c>
      <c r="B3" s="607">
        <f>ROUND(IF(D3="",B2*10000/'数据-汇总表'!E3,B2*10000/D3),0)</f>
        <v>1987</v>
      </c>
      <c r="C3" s="245" t="s">
        <v>2742</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2641</v>
      </c>
      <c r="B4" s="400"/>
      <c r="C4" s="3258" t="s">
        <v>2642</v>
      </c>
      <c r="D4" s="3259"/>
      <c r="E4" s="3260" t="s">
        <v>2643</v>
      </c>
      <c r="F4" s="3261"/>
      <c r="G4" s="3258" t="s">
        <v>2644</v>
      </c>
      <c r="H4" s="3259"/>
      <c r="I4" s="3258" t="s">
        <v>2645</v>
      </c>
      <c r="J4" s="3259"/>
      <c r="K4" s="608" t="s">
        <v>2646</v>
      </c>
      <c r="L4" s="1127"/>
      <c r="M4" s="1128"/>
      <c r="N4" s="1128"/>
      <c r="O4" s="1128"/>
      <c r="P4" s="3262" t="s">
        <v>2647</v>
      </c>
      <c r="Q4" s="3263"/>
      <c r="R4" s="3245" t="s">
        <v>2643</v>
      </c>
      <c r="S4" s="3246"/>
      <c r="T4" s="3245" t="s">
        <v>2644</v>
      </c>
      <c r="U4" s="3246"/>
      <c r="V4" s="3270" t="s">
        <v>2645</v>
      </c>
      <c r="W4" s="3270"/>
      <c r="X4" s="1809"/>
      <c r="Y4" s="3245" t="s">
        <v>2647</v>
      </c>
      <c r="Z4" s="3246"/>
      <c r="AA4" s="3240" t="s">
        <v>2643</v>
      </c>
      <c r="AB4" s="3241" t="s">
        <v>2644</v>
      </c>
      <c r="AC4" s="3240" t="s">
        <v>2645</v>
      </c>
    </row>
    <row r="5" spans="1:30" ht="15">
      <c r="A5" s="402"/>
      <c r="B5" s="403"/>
      <c r="C5" s="3251" t="s">
        <v>2538</v>
      </c>
      <c r="D5" s="3252"/>
      <c r="E5" s="3249" t="str">
        <f>'土地案例（汇川区&amp;红花岗区）'!A17</f>
        <v>红花岗区忠庄镇银河路</v>
      </c>
      <c r="F5" s="3250"/>
      <c r="G5" s="3251" t="str">
        <f>'土地案例（汇川区&amp;红花岗区）'!A25</f>
        <v>新蒲新区新龙大道东南侧</v>
      </c>
      <c r="H5" s="3252"/>
      <c r="I5" s="3251" t="str">
        <f>'土地案例（汇川区&amp;红花岗区）'!A33</f>
        <v>南部新区深溪镇龙江村</v>
      </c>
      <c r="J5" s="3252"/>
      <c r="K5" s="608"/>
      <c r="L5" s="1127"/>
      <c r="M5" s="1128"/>
      <c r="N5" s="1128"/>
      <c r="O5" s="1128"/>
      <c r="P5" s="3264"/>
      <c r="Q5" s="3265"/>
      <c r="R5" s="3247"/>
      <c r="S5" s="3248"/>
      <c r="T5" s="3247"/>
      <c r="U5" s="3248"/>
      <c r="V5" s="3270"/>
      <c r="W5" s="3270"/>
      <c r="X5" s="1809"/>
      <c r="Y5" s="3247"/>
      <c r="Z5" s="3248"/>
      <c r="AA5" s="3241"/>
      <c r="AB5" s="3241"/>
      <c r="AC5" s="3241"/>
    </row>
    <row r="6" spans="1:30" ht="15.75" thickBot="1">
      <c r="A6" s="404"/>
      <c r="B6" s="405"/>
      <c r="C6" s="3253" t="s">
        <v>2542</v>
      </c>
      <c r="D6" s="3254"/>
      <c r="E6" s="3255" t="str">
        <f>'土地案例（汇川区&amp;红花岗区）'!G17</f>
        <v>2018-储备-18</v>
      </c>
      <c r="F6" s="3256"/>
      <c r="G6" s="3253" t="str">
        <f>'土地案例（汇川区&amp;红花岗区）'!G25</f>
        <v>2018-新-14</v>
      </c>
      <c r="H6" s="3254"/>
      <c r="I6" s="3253" t="str">
        <f>'土地案例（汇川区&amp;红花岗区）'!G33</f>
        <v>2018-NB-21</v>
      </c>
      <c r="J6" s="3254"/>
      <c r="K6" s="608" t="s">
        <v>2543</v>
      </c>
      <c r="L6" s="1127"/>
      <c r="M6" s="1128"/>
      <c r="N6" s="1128"/>
      <c r="O6" s="1128"/>
      <c r="P6" s="3266"/>
      <c r="Q6" s="3267"/>
      <c r="R6" s="3247"/>
      <c r="S6" s="3248"/>
      <c r="T6" s="3268"/>
      <c r="U6" s="3269"/>
      <c r="V6" s="3270"/>
      <c r="W6" s="3270"/>
      <c r="X6" s="1809"/>
      <c r="Y6" s="3268"/>
      <c r="Z6" s="3269"/>
      <c r="AA6" s="3242"/>
      <c r="AB6" s="3242"/>
      <c r="AC6" s="3242"/>
    </row>
    <row r="7" spans="1:30" s="117" customFormat="1" ht="15.75" thickBot="1">
      <c r="A7" s="406" t="s">
        <v>2544</v>
      </c>
      <c r="B7" s="407"/>
      <c r="C7" s="408">
        <f>'数据-取费表'!B2</f>
        <v>43905</v>
      </c>
      <c r="D7" s="409">
        <v>100</v>
      </c>
      <c r="E7" s="410" t="str">
        <f>'土地案例（汇川区&amp;红花岗区）'!L17</f>
        <v>2019-01-12</v>
      </c>
      <c r="F7" s="411">
        <f>SUMIF(70:70,YEAR(E7)&amp;"-"&amp;INT((MONTH(E7)+2)/3),71:71)</f>
        <v>98</v>
      </c>
      <c r="G7" s="2694" t="str">
        <f>'土地案例（汇川区&amp;红花岗区）'!L25</f>
        <v>2018-11-08</v>
      </c>
      <c r="H7" s="409">
        <f>SUMIF(70:70,YEAR(G7)&amp;"-"&amp;INT((MONTH(G7)+2)/3),71:71)</f>
        <v>97.5</v>
      </c>
      <c r="I7" s="2694" t="str">
        <f>'土地案例（汇川区&amp;红花岗区）'!L33</f>
        <v>2018-07-27</v>
      </c>
      <c r="J7" s="409">
        <f>SUMIF(70:70,YEAR(I7)&amp;"-"&amp;INT((MONTH(I7)+2)/3),71:71)</f>
        <v>97</v>
      </c>
      <c r="K7" s="609"/>
      <c r="L7" s="1129"/>
      <c r="M7" s="1130"/>
      <c r="N7" s="1130"/>
      <c r="O7" s="1130"/>
      <c r="P7" s="3243" t="s">
        <v>2545</v>
      </c>
      <c r="Q7" s="3271"/>
      <c r="R7" s="767" t="s">
        <v>17</v>
      </c>
      <c r="S7" s="768">
        <f t="shared" ref="S7:S15" si="0">F7</f>
        <v>98</v>
      </c>
      <c r="T7" s="767" t="s">
        <v>17</v>
      </c>
      <c r="U7" s="768">
        <f t="shared" ref="U7:U15" si="1">H7</f>
        <v>97.5</v>
      </c>
      <c r="V7" s="767" t="s">
        <v>17</v>
      </c>
      <c r="W7" s="768">
        <f t="shared" ref="W7:W15" si="2">J7</f>
        <v>97</v>
      </c>
      <c r="X7" s="769"/>
      <c r="Y7" s="3243" t="s">
        <v>2545</v>
      </c>
      <c r="Z7" s="3244"/>
      <c r="AA7" s="770">
        <f>D7/F7</f>
        <v>1.0204081632653061</v>
      </c>
      <c r="AB7" s="770">
        <f>D7/H7</f>
        <v>1.0256410256410255</v>
      </c>
      <c r="AC7" s="770">
        <f>D7/J7</f>
        <v>1.0309278350515463</v>
      </c>
    </row>
    <row r="8" spans="1:30" s="117" customFormat="1" ht="15.75" thickBot="1">
      <c r="A8" s="406" t="s">
        <v>2546</v>
      </c>
      <c r="B8" s="407"/>
      <c r="C8" s="412" t="s">
        <v>2547</v>
      </c>
      <c r="D8" s="409">
        <v>100</v>
      </c>
      <c r="E8" s="412" t="s">
        <v>3254</v>
      </c>
      <c r="F8" s="411">
        <f>SUMIF(73:73,E8,74:74)-SUMIF(73:73,C8,74:74)+100</f>
        <v>100</v>
      </c>
      <c r="G8" s="412" t="s">
        <v>3254</v>
      </c>
      <c r="H8" s="409">
        <f>SUMIF(73:73,G8,74:74)-SUMIF(73:73,C8,74:74)+100</f>
        <v>100</v>
      </c>
      <c r="I8" s="412" t="s">
        <v>3254</v>
      </c>
      <c r="J8" s="409">
        <f>SUMIF(73:73,I8,74:74)-SUMIF(73:73,C8,74:74)+100</f>
        <v>100</v>
      </c>
      <c r="K8" s="609"/>
      <c r="L8" s="1129"/>
      <c r="M8" s="1130"/>
      <c r="N8" s="1130"/>
      <c r="O8" s="1130"/>
      <c r="P8" s="3243" t="s">
        <v>2548</v>
      </c>
      <c r="Q8" s="3244"/>
      <c r="R8" s="767" t="s">
        <v>17</v>
      </c>
      <c r="S8" s="768">
        <f t="shared" si="0"/>
        <v>100</v>
      </c>
      <c r="T8" s="767" t="s">
        <v>17</v>
      </c>
      <c r="U8" s="768">
        <f t="shared" si="1"/>
        <v>100</v>
      </c>
      <c r="V8" s="767" t="s">
        <v>17</v>
      </c>
      <c r="W8" s="768">
        <f t="shared" si="2"/>
        <v>100</v>
      </c>
      <c r="X8" s="769"/>
      <c r="Y8" s="3243" t="s">
        <v>2548</v>
      </c>
      <c r="Z8" s="3244"/>
      <c r="AA8" s="770">
        <f t="shared" ref="AA8:AA45" si="3">D8/F8</f>
        <v>1</v>
      </c>
      <c r="AB8" s="770">
        <f t="shared" ref="AB8:AB45" si="4">D8/H8</f>
        <v>1</v>
      </c>
      <c r="AC8" s="770">
        <f t="shared" ref="AC8:AC45" si="5">D8/J8</f>
        <v>1</v>
      </c>
    </row>
    <row r="9" spans="1:30" s="117" customFormat="1">
      <c r="A9" s="413" t="s">
        <v>2549</v>
      </c>
      <c r="B9" s="71" t="s">
        <v>2550</v>
      </c>
      <c r="C9" s="2697" t="s">
        <v>3111</v>
      </c>
      <c r="D9" s="135">
        <v>100</v>
      </c>
      <c r="E9" s="2697" t="s">
        <v>3111</v>
      </c>
      <c r="F9" s="135">
        <f>SUMIF(75:75,E9,76:76)-SUMIF(75:75,C9,76:76)+100</f>
        <v>100</v>
      </c>
      <c r="G9" s="2697" t="s">
        <v>3111</v>
      </c>
      <c r="H9" s="135">
        <f>SUMIF(75:75,G9,76:76)-SUMIF(75:75,C9,76:76)+100</f>
        <v>100</v>
      </c>
      <c r="I9" s="2697" t="s">
        <v>3111</v>
      </c>
      <c r="J9" s="135">
        <f>SUMIF(75:75,I9,76:76)-SUMIF(75:75,C9,76:76)+100</f>
        <v>100</v>
      </c>
      <c r="K9" s="609"/>
      <c r="L9" s="1129"/>
      <c r="M9" s="1130"/>
      <c r="N9" s="1130"/>
      <c r="O9" s="1131"/>
      <c r="P9" s="3257" t="s">
        <v>2551</v>
      </c>
      <c r="Q9" s="1791" t="str">
        <f t="shared" ref="Q9:Q15" si="6">B9</f>
        <v>用途</v>
      </c>
      <c r="R9" s="767" t="s">
        <v>17</v>
      </c>
      <c r="S9" s="768">
        <f t="shared" si="0"/>
        <v>100</v>
      </c>
      <c r="T9" s="767" t="s">
        <v>17</v>
      </c>
      <c r="U9" s="768">
        <f t="shared" si="1"/>
        <v>100</v>
      </c>
      <c r="V9" s="767" t="s">
        <v>17</v>
      </c>
      <c r="W9" s="768">
        <f t="shared" si="2"/>
        <v>100</v>
      </c>
      <c r="X9" s="769"/>
      <c r="Y9" s="3091" t="s">
        <v>2552</v>
      </c>
      <c r="Z9" s="55" t="str">
        <f t="shared" ref="Z9:Z15" si="7">Q9</f>
        <v>用途</v>
      </c>
      <c r="AA9" s="770">
        <f t="shared" si="3"/>
        <v>1</v>
      </c>
      <c r="AB9" s="770">
        <f t="shared" si="4"/>
        <v>1</v>
      </c>
      <c r="AC9" s="770">
        <f t="shared" si="5"/>
        <v>1</v>
      </c>
    </row>
    <row r="10" spans="1:30" s="425" customFormat="1" ht="27">
      <c r="A10" s="419"/>
      <c r="B10" s="420" t="s">
        <v>2553</v>
      </c>
      <c r="C10" s="430"/>
      <c r="D10" s="136">
        <v>100</v>
      </c>
      <c r="E10" s="463"/>
      <c r="F10" s="136">
        <f>ROUND(100/'数据-取费表'!G16,0)</f>
        <v>101</v>
      </c>
      <c r="G10" s="461"/>
      <c r="H10" s="136">
        <f>ROUND(100/'数据-取费表'!G16,0)</f>
        <v>101</v>
      </c>
      <c r="I10" s="461"/>
      <c r="J10" s="136">
        <f>ROUND(100/'数据-取费表'!G16,0)</f>
        <v>101</v>
      </c>
      <c r="K10" s="670"/>
      <c r="L10" s="1132"/>
      <c r="M10" s="1133"/>
      <c r="N10" s="1133"/>
      <c r="O10" s="1134"/>
      <c r="P10" s="3257"/>
      <c r="Q10" s="1791" t="str">
        <f t="shared" si="6"/>
        <v>土地使用年限（年）</v>
      </c>
      <c r="R10" s="767" t="s">
        <v>17</v>
      </c>
      <c r="S10" s="768">
        <f t="shared" si="0"/>
        <v>101</v>
      </c>
      <c r="T10" s="767" t="s">
        <v>17</v>
      </c>
      <c r="U10" s="768">
        <f t="shared" si="1"/>
        <v>101</v>
      </c>
      <c r="V10" s="767" t="s">
        <v>17</v>
      </c>
      <c r="W10" s="768">
        <f t="shared" si="2"/>
        <v>101</v>
      </c>
      <c r="X10" s="769"/>
      <c r="Y10" s="3091"/>
      <c r="Z10" s="55" t="str">
        <f t="shared" si="7"/>
        <v>土地使用年限（年）</v>
      </c>
      <c r="AA10" s="770">
        <f t="shared" si="3"/>
        <v>0.99009900990099009</v>
      </c>
      <c r="AB10" s="770">
        <f t="shared" si="4"/>
        <v>0.99009900990099009</v>
      </c>
      <c r="AC10" s="770">
        <f t="shared" si="5"/>
        <v>0.99009900990099009</v>
      </c>
    </row>
    <row r="11" spans="1:30" ht="15">
      <c r="A11" s="426"/>
      <c r="B11" s="420" t="s">
        <v>2554</v>
      </c>
      <c r="C11" s="427">
        <v>1</v>
      </c>
      <c r="D11" s="136">
        <v>100</v>
      </c>
      <c r="E11" s="427">
        <v>1.17</v>
      </c>
      <c r="F11" s="136">
        <f>LOOKUP(E11,80:80,81:81)-LOOKUP(C11,80:80,81:81)+100</f>
        <v>100</v>
      </c>
      <c r="G11" s="428">
        <v>0.8</v>
      </c>
      <c r="H11" s="136">
        <f>LOOKUP(G11,80:80,81:81)-LOOKUP(C11,80:80,81:81)+100</f>
        <v>105</v>
      </c>
      <c r="I11" s="427">
        <v>0.3</v>
      </c>
      <c r="J11" s="136">
        <f>LOOKUP(I11,80:80,81:81)-LOOKUP(C11,80:80,81:81)+100</f>
        <v>110</v>
      </c>
      <c r="K11" s="671">
        <v>5</v>
      </c>
      <c r="L11" s="1135"/>
      <c r="M11" s="1128"/>
      <c r="N11" s="1128"/>
      <c r="O11" s="1136"/>
      <c r="P11" s="3257"/>
      <c r="Q11" s="1791" t="str">
        <f t="shared" si="6"/>
        <v>容积率</v>
      </c>
      <c r="R11" s="767" t="s">
        <v>17</v>
      </c>
      <c r="S11" s="768">
        <f t="shared" si="0"/>
        <v>100</v>
      </c>
      <c r="T11" s="767" t="s">
        <v>17</v>
      </c>
      <c r="U11" s="768">
        <f t="shared" si="1"/>
        <v>105</v>
      </c>
      <c r="V11" s="767" t="s">
        <v>17</v>
      </c>
      <c r="W11" s="768">
        <f t="shared" si="2"/>
        <v>110</v>
      </c>
      <c r="X11" s="769"/>
      <c r="Y11" s="3091"/>
      <c r="Z11" s="55" t="str">
        <f t="shared" si="7"/>
        <v>容积率</v>
      </c>
      <c r="AA11" s="770">
        <f t="shared" si="3"/>
        <v>1</v>
      </c>
      <c r="AB11" s="770">
        <f t="shared" si="4"/>
        <v>0.95238095238095233</v>
      </c>
      <c r="AC11" s="770">
        <f t="shared" si="5"/>
        <v>0.90909090909090906</v>
      </c>
    </row>
    <row r="12" spans="1:30" s="117" customFormat="1" ht="15">
      <c r="A12" s="429"/>
      <c r="B12" s="2598" t="s">
        <v>2743</v>
      </c>
      <c r="C12" s="430"/>
      <c r="D12" s="431">
        <v>100</v>
      </c>
      <c r="E12" s="463"/>
      <c r="F12" s="136">
        <f>SUMIF(82:82,E12,83:83)-SUMIF(82:82,C12,83:83)+100</f>
        <v>100</v>
      </c>
      <c r="G12" s="461"/>
      <c r="H12" s="136">
        <f>SUMIF(82:82,G12,83:83)-SUMIF(82:82,C12,83:83)+100</f>
        <v>100</v>
      </c>
      <c r="I12" s="463"/>
      <c r="J12" s="136">
        <f>SUMIF(82:82,I12,83:83)-SUMIF(82:82,C12,83:83)+100</f>
        <v>100</v>
      </c>
      <c r="K12" s="670"/>
      <c r="L12" s="1129"/>
      <c r="M12" s="1130"/>
      <c r="N12" s="1130"/>
      <c r="O12" s="1131"/>
      <c r="P12" s="3257"/>
      <c r="Q12" s="1791" t="str">
        <f t="shared" si="6"/>
        <v>配建</v>
      </c>
      <c r="R12" s="767" t="s">
        <v>17</v>
      </c>
      <c r="S12" s="768">
        <f t="shared" si="0"/>
        <v>100</v>
      </c>
      <c r="T12" s="767" t="s">
        <v>17</v>
      </c>
      <c r="U12" s="768">
        <f t="shared" si="1"/>
        <v>100</v>
      </c>
      <c r="V12" s="767" t="s">
        <v>17</v>
      </c>
      <c r="W12" s="768">
        <f t="shared" si="2"/>
        <v>100</v>
      </c>
      <c r="X12" s="769"/>
      <c r="Y12" s="3091"/>
      <c r="Z12" s="55" t="str">
        <f t="shared" si="7"/>
        <v>配建</v>
      </c>
      <c r="AA12" s="770">
        <f>D12/F12</f>
        <v>1</v>
      </c>
      <c r="AB12" s="770">
        <f>D12/H12</f>
        <v>1</v>
      </c>
      <c r="AC12" s="770">
        <f>D12/J12</f>
        <v>1</v>
      </c>
    </row>
    <row r="13" spans="1:30" ht="15">
      <c r="A13" s="426"/>
      <c r="B13" s="2598"/>
      <c r="C13" s="432"/>
      <c r="D13" s="433">
        <v>100</v>
      </c>
      <c r="E13" s="547"/>
      <c r="F13" s="136">
        <f>SUMIF(84:84,E13,85:85)-SUMIF(84:84,C13,85:85)+100</f>
        <v>100</v>
      </c>
      <c r="G13" s="672"/>
      <c r="H13" s="433">
        <f>SUMIF(84:84,G13,85:85)-SUMIF(84:84,C13,85:85)+100</f>
        <v>100</v>
      </c>
      <c r="I13" s="672"/>
      <c r="J13" s="433">
        <f>SUMIF(84:84,I13,85:85)-SUMIF(84:84,C13,85:85)+100</f>
        <v>100</v>
      </c>
      <c r="K13" s="670"/>
      <c r="L13" s="1137"/>
      <c r="M13" s="1128"/>
      <c r="N13" s="1128"/>
      <c r="O13" s="1136"/>
      <c r="P13" s="3257"/>
      <c r="Q13" s="1791">
        <f t="shared" si="6"/>
        <v>0</v>
      </c>
      <c r="R13" s="767" t="s">
        <v>17</v>
      </c>
      <c r="S13" s="768">
        <f t="shared" si="0"/>
        <v>100</v>
      </c>
      <c r="T13" s="767" t="s">
        <v>17</v>
      </c>
      <c r="U13" s="768">
        <f t="shared" si="1"/>
        <v>100</v>
      </c>
      <c r="V13" s="767" t="s">
        <v>17</v>
      </c>
      <c r="W13" s="768">
        <f t="shared" si="2"/>
        <v>100</v>
      </c>
      <c r="X13" s="769"/>
      <c r="Y13" s="3091"/>
      <c r="Z13" s="55">
        <f t="shared" si="7"/>
        <v>0</v>
      </c>
      <c r="AA13" s="770">
        <f>D13/F13</f>
        <v>1</v>
      </c>
      <c r="AB13" s="770">
        <f>D13/H13</f>
        <v>1</v>
      </c>
      <c r="AC13" s="770">
        <f>D13/J13</f>
        <v>1</v>
      </c>
    </row>
    <row r="14" spans="1:30" ht="15.75" thickBot="1">
      <c r="A14" s="434"/>
      <c r="B14" s="2600"/>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57"/>
      <c r="Q14" s="1791">
        <f t="shared" si="6"/>
        <v>0</v>
      </c>
      <c r="R14" s="767" t="s">
        <v>17</v>
      </c>
      <c r="S14" s="768">
        <f t="shared" si="0"/>
        <v>100</v>
      </c>
      <c r="T14" s="767" t="s">
        <v>17</v>
      </c>
      <c r="U14" s="768">
        <f t="shared" si="1"/>
        <v>100</v>
      </c>
      <c r="V14" s="767" t="s">
        <v>17</v>
      </c>
      <c r="W14" s="768">
        <f t="shared" si="2"/>
        <v>100</v>
      </c>
      <c r="X14" s="769"/>
      <c r="Y14" s="3091"/>
      <c r="Z14" s="55">
        <f t="shared" si="7"/>
        <v>0</v>
      </c>
      <c r="AA14" s="770">
        <f>D14/F14</f>
        <v>1</v>
      </c>
      <c r="AB14" s="770">
        <f>D14/H14</f>
        <v>1</v>
      </c>
      <c r="AC14" s="770">
        <f>D14/J14</f>
        <v>1</v>
      </c>
    </row>
    <row r="15" spans="1:30" ht="99.75">
      <c r="A15" s="438" t="s">
        <v>2555</v>
      </c>
      <c r="B15" s="69" t="s">
        <v>2084</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72" t="s">
        <v>2556</v>
      </c>
      <c r="Q15" s="1806" t="str">
        <f t="shared" si="6"/>
        <v>居住社区成熟度</v>
      </c>
      <c r="R15" s="771" t="s">
        <v>17</v>
      </c>
      <c r="S15" s="772">
        <f t="shared" si="0"/>
        <v>100</v>
      </c>
      <c r="T15" s="771" t="s">
        <v>17</v>
      </c>
      <c r="U15" s="772">
        <f t="shared" si="1"/>
        <v>100</v>
      </c>
      <c r="V15" s="771" t="s">
        <v>17</v>
      </c>
      <c r="W15" s="772">
        <f t="shared" si="2"/>
        <v>100</v>
      </c>
      <c r="X15" s="1809"/>
      <c r="Y15" s="3272" t="s">
        <v>2556</v>
      </c>
      <c r="Z15" s="1810" t="str">
        <f t="shared" si="7"/>
        <v>居住社区成熟度</v>
      </c>
      <c r="AA15" s="1807">
        <f t="shared" si="3"/>
        <v>1</v>
      </c>
      <c r="AB15" s="1807">
        <f t="shared" si="4"/>
        <v>1</v>
      </c>
      <c r="AC15" s="1807">
        <f t="shared" si="5"/>
        <v>1</v>
      </c>
    </row>
    <row r="16" spans="1:30" ht="15">
      <c r="A16" s="426"/>
      <c r="B16" s="444"/>
      <c r="C16" s="445"/>
      <c r="D16" s="446"/>
      <c r="E16" s="2603"/>
      <c r="F16" s="446"/>
      <c r="G16" s="2603"/>
      <c r="H16" s="448"/>
      <c r="I16" s="2602"/>
      <c r="J16" s="446"/>
      <c r="K16" s="670"/>
      <c r="L16" s="1137"/>
      <c r="M16" s="1128"/>
      <c r="N16" s="1128"/>
      <c r="O16" s="1136"/>
      <c r="P16" s="3273"/>
      <c r="Q16" s="1806"/>
      <c r="R16" s="771"/>
      <c r="S16" s="772"/>
      <c r="T16" s="771"/>
      <c r="U16" s="772"/>
      <c r="V16" s="771"/>
      <c r="W16" s="772"/>
      <c r="X16" s="1809"/>
      <c r="Y16" s="3273"/>
      <c r="Z16" s="1810"/>
      <c r="AA16" s="1807">
        <v>1</v>
      </c>
      <c r="AB16" s="1807">
        <v>1</v>
      </c>
      <c r="AC16" s="1807">
        <v>1</v>
      </c>
    </row>
    <row r="17" spans="1:29" ht="71.25">
      <c r="A17" s="426"/>
      <c r="B17" s="449" t="s">
        <v>2649</v>
      </c>
      <c r="C17" s="2662" t="str">
        <f>估价对象房地状况!C16</f>
        <v>估价对象位于XX商圈，周边商业氛围成熟，人流量大，商业繁华度好</v>
      </c>
      <c r="D17" s="448">
        <v>100</v>
      </c>
      <c r="E17" s="450"/>
      <c r="F17" s="448">
        <f>SUMIF(90:90,E18,91:91)-SUMIF(90:90,C18,91:91)+100</f>
        <v>105</v>
      </c>
      <c r="G17" s="450"/>
      <c r="H17" s="453">
        <f>SUMIF(90:90,G18,91:91)-SUMIF(90:90,C18,91:91)+100</f>
        <v>100</v>
      </c>
      <c r="I17" s="452"/>
      <c r="J17" s="453">
        <f>SUMIF(90:90,I18,91:91)-SUMIF(90:90,C18,91:91)+100</f>
        <v>100</v>
      </c>
      <c r="K17" s="671">
        <v>5</v>
      </c>
      <c r="L17" s="1137"/>
      <c r="M17" s="1128"/>
      <c r="N17" s="1128"/>
      <c r="O17" s="1136"/>
      <c r="P17" s="3273"/>
      <c r="Q17" s="1806" t="str">
        <f>B17</f>
        <v>商业繁华度</v>
      </c>
      <c r="R17" s="771" t="s">
        <v>17</v>
      </c>
      <c r="S17" s="772">
        <f>F17</f>
        <v>105</v>
      </c>
      <c r="T17" s="771" t="s">
        <v>17</v>
      </c>
      <c r="U17" s="772">
        <f>H17</f>
        <v>100</v>
      </c>
      <c r="V17" s="771" t="s">
        <v>17</v>
      </c>
      <c r="W17" s="772">
        <f>J17</f>
        <v>100</v>
      </c>
      <c r="X17" s="1809"/>
      <c r="Y17" s="3273"/>
      <c r="Z17" s="1810" t="str">
        <f>Q17</f>
        <v>商业繁华度</v>
      </c>
      <c r="AA17" s="1807">
        <f t="shared" si="3"/>
        <v>0.95238095238095233</v>
      </c>
      <c r="AB17" s="1807">
        <f t="shared" si="4"/>
        <v>1</v>
      </c>
      <c r="AC17" s="1807">
        <f t="shared" si="5"/>
        <v>1</v>
      </c>
    </row>
    <row r="18" spans="1:29" ht="15">
      <c r="A18" s="426"/>
      <c r="B18" s="454"/>
      <c r="C18" s="2606" t="s">
        <v>3550</v>
      </c>
      <c r="D18" s="448"/>
      <c r="E18" s="2608" t="s">
        <v>3551</v>
      </c>
      <c r="F18" s="448"/>
      <c r="G18" s="2608" t="s">
        <v>3550</v>
      </c>
      <c r="H18" s="446"/>
      <c r="I18" s="2607" t="s">
        <v>3550</v>
      </c>
      <c r="J18" s="446"/>
      <c r="K18" s="670"/>
      <c r="L18" s="1137"/>
      <c r="M18" s="1128"/>
      <c r="N18" s="1128"/>
      <c r="O18" s="1136"/>
      <c r="P18" s="3273"/>
      <c r="Q18" s="1806"/>
      <c r="R18" s="771"/>
      <c r="S18" s="772"/>
      <c r="T18" s="771"/>
      <c r="U18" s="772"/>
      <c r="V18" s="771"/>
      <c r="W18" s="772"/>
      <c r="X18" s="1809"/>
      <c r="Y18" s="3273"/>
      <c r="Z18" s="1810"/>
      <c r="AA18" s="1807">
        <v>1</v>
      </c>
      <c r="AB18" s="1807">
        <v>1</v>
      </c>
      <c r="AC18" s="1807">
        <v>1</v>
      </c>
    </row>
    <row r="19" spans="1:29" ht="71.25">
      <c r="A19" s="426"/>
      <c r="B19" s="449" t="s">
        <v>2683</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3</v>
      </c>
      <c r="L19" s="1137"/>
      <c r="M19" s="1128"/>
      <c r="N19" s="1128"/>
      <c r="O19" s="1136"/>
      <c r="P19" s="3273"/>
      <c r="Q19" s="1806" t="str">
        <f>B19</f>
        <v>办公集聚程度</v>
      </c>
      <c r="R19" s="771" t="s">
        <v>17</v>
      </c>
      <c r="S19" s="772">
        <f>F19</f>
        <v>100</v>
      </c>
      <c r="T19" s="771" t="s">
        <v>17</v>
      </c>
      <c r="U19" s="772">
        <f>H19</f>
        <v>100</v>
      </c>
      <c r="V19" s="771" t="s">
        <v>17</v>
      </c>
      <c r="W19" s="772">
        <f>J19</f>
        <v>100</v>
      </c>
      <c r="X19" s="1809"/>
      <c r="Y19" s="3273"/>
      <c r="Z19" s="1810" t="str">
        <f>Q19</f>
        <v>办公集聚程度</v>
      </c>
      <c r="AA19" s="1807">
        <f t="shared" si="3"/>
        <v>1</v>
      </c>
      <c r="AB19" s="1807">
        <f t="shared" si="4"/>
        <v>1</v>
      </c>
      <c r="AC19" s="1807">
        <f t="shared" si="5"/>
        <v>1</v>
      </c>
    </row>
    <row r="20" spans="1:29" ht="15">
      <c r="A20" s="426"/>
      <c r="B20" s="454"/>
      <c r="C20" s="445" t="s">
        <v>3550</v>
      </c>
      <c r="D20" s="446"/>
      <c r="E20" s="2603" t="s">
        <v>3550</v>
      </c>
      <c r="F20" s="446"/>
      <c r="G20" s="2603" t="s">
        <v>3550</v>
      </c>
      <c r="H20" s="446"/>
      <c r="I20" s="2602" t="s">
        <v>3550</v>
      </c>
      <c r="J20" s="446"/>
      <c r="K20" s="670"/>
      <c r="L20" s="1137"/>
      <c r="M20" s="1128"/>
      <c r="N20" s="1128"/>
      <c r="O20" s="1136"/>
      <c r="P20" s="3273"/>
      <c r="Q20" s="1806"/>
      <c r="R20" s="771"/>
      <c r="S20" s="772"/>
      <c r="T20" s="771"/>
      <c r="U20" s="772"/>
      <c r="V20" s="771"/>
      <c r="W20" s="772"/>
      <c r="X20" s="1809"/>
      <c r="Y20" s="3273"/>
      <c r="Z20" s="1810"/>
      <c r="AA20" s="1807">
        <v>1</v>
      </c>
      <c r="AB20" s="1807">
        <v>1</v>
      </c>
      <c r="AC20" s="1807">
        <v>1</v>
      </c>
    </row>
    <row r="21" spans="1:29" ht="85.5">
      <c r="A21" s="426"/>
      <c r="B21" s="449" t="s">
        <v>2705</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73"/>
      <c r="Q21" s="1806" t="str">
        <f>B21</f>
        <v>交通便捷度</v>
      </c>
      <c r="R21" s="771" t="s">
        <v>17</v>
      </c>
      <c r="S21" s="772">
        <f>F21</f>
        <v>100</v>
      </c>
      <c r="T21" s="771" t="s">
        <v>17</v>
      </c>
      <c r="U21" s="772">
        <f>H21</f>
        <v>100</v>
      </c>
      <c r="V21" s="771" t="s">
        <v>17</v>
      </c>
      <c r="W21" s="772">
        <f>J21</f>
        <v>100</v>
      </c>
      <c r="X21" s="1809"/>
      <c r="Y21" s="3273"/>
      <c r="Z21" s="1810" t="str">
        <f>Q21</f>
        <v>交通便捷度</v>
      </c>
      <c r="AA21" s="1807">
        <f t="shared" si="3"/>
        <v>1</v>
      </c>
      <c r="AB21" s="1807">
        <f t="shared" si="4"/>
        <v>1</v>
      </c>
      <c r="AC21" s="1807">
        <f t="shared" si="5"/>
        <v>1</v>
      </c>
    </row>
    <row r="22" spans="1:29" ht="15">
      <c r="A22" s="426"/>
      <c r="B22" s="1381"/>
      <c r="C22" s="445"/>
      <c r="D22" s="448"/>
      <c r="E22" s="2603"/>
      <c r="F22" s="446"/>
      <c r="G22" s="2603"/>
      <c r="H22" s="446"/>
      <c r="I22" s="2602"/>
      <c r="J22" s="446"/>
      <c r="K22" s="670"/>
      <c r="L22" s="1137"/>
      <c r="M22" s="1128"/>
      <c r="N22" s="1128"/>
      <c r="O22" s="1136"/>
      <c r="P22" s="3273"/>
      <c r="Q22" s="1806"/>
      <c r="R22" s="771"/>
      <c r="S22" s="772"/>
      <c r="T22" s="771"/>
      <c r="U22" s="772"/>
      <c r="V22" s="771"/>
      <c r="W22" s="772"/>
      <c r="X22" s="1809"/>
      <c r="Y22" s="3273"/>
      <c r="Z22" s="1810"/>
      <c r="AA22" s="1807">
        <v>1</v>
      </c>
      <c r="AB22" s="1807">
        <v>1</v>
      </c>
      <c r="AC22" s="1807">
        <v>1</v>
      </c>
    </row>
    <row r="23" spans="1:29" ht="15">
      <c r="A23" s="402"/>
      <c r="B23" s="449" t="s">
        <v>2744</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73"/>
      <c r="Q23" s="1806" t="str">
        <f t="shared" ref="Q23:Q37" si="8">B23</f>
        <v>区域土地利用方向</v>
      </c>
      <c r="R23" s="771" t="s">
        <v>17</v>
      </c>
      <c r="S23" s="772">
        <f>F23</f>
        <v>100</v>
      </c>
      <c r="T23" s="771" t="s">
        <v>17</v>
      </c>
      <c r="U23" s="772">
        <f>H23</f>
        <v>100</v>
      </c>
      <c r="V23" s="771" t="s">
        <v>17</v>
      </c>
      <c r="W23" s="772">
        <f>J23</f>
        <v>100</v>
      </c>
      <c r="X23" s="1809"/>
      <c r="Y23" s="3273"/>
      <c r="Z23" s="1810" t="str">
        <f>Q23</f>
        <v>区域土地利用方向</v>
      </c>
      <c r="AA23" s="1807">
        <f t="shared" si="3"/>
        <v>1</v>
      </c>
      <c r="AB23" s="1807">
        <f t="shared" si="4"/>
        <v>1</v>
      </c>
      <c r="AC23" s="1807">
        <f t="shared" si="5"/>
        <v>1</v>
      </c>
    </row>
    <row r="24" spans="1:29" ht="15">
      <c r="A24" s="402"/>
      <c r="B24" s="454"/>
      <c r="C24" s="614"/>
      <c r="D24" s="446"/>
      <c r="E24" s="2603"/>
      <c r="F24" s="446"/>
      <c r="G24" s="2602"/>
      <c r="H24" s="446"/>
      <c r="I24" s="2602"/>
      <c r="J24" s="446"/>
      <c r="K24" s="809"/>
      <c r="L24" s="1137"/>
      <c r="M24" s="1128"/>
      <c r="N24" s="1128"/>
      <c r="O24" s="1136"/>
      <c r="P24" s="3273"/>
      <c r="Q24" s="1806"/>
      <c r="R24" s="771"/>
      <c r="S24" s="772"/>
      <c r="T24" s="771"/>
      <c r="U24" s="772"/>
      <c r="V24" s="771"/>
      <c r="W24" s="772"/>
      <c r="X24" s="1809"/>
      <c r="Y24" s="3273"/>
      <c r="Z24" s="1810"/>
      <c r="AA24" s="1807"/>
      <c r="AB24" s="1807"/>
      <c r="AC24" s="1807"/>
    </row>
    <row r="25" spans="1:29" ht="57">
      <c r="A25" s="402"/>
      <c r="B25" s="1381" t="s">
        <v>2745</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73"/>
      <c r="Q25" s="1806" t="str">
        <f t="shared" si="8"/>
        <v>自然及人文环境状况</v>
      </c>
      <c r="R25" s="771" t="s">
        <v>17</v>
      </c>
      <c r="S25" s="772">
        <f>F25</f>
        <v>100</v>
      </c>
      <c r="T25" s="771" t="s">
        <v>17</v>
      </c>
      <c r="U25" s="772">
        <f>H25</f>
        <v>100</v>
      </c>
      <c r="V25" s="771" t="s">
        <v>17</v>
      </c>
      <c r="W25" s="772">
        <f>J25</f>
        <v>100</v>
      </c>
      <c r="X25" s="1809"/>
      <c r="Y25" s="3273"/>
      <c r="Z25" s="1810" t="str">
        <f>Q25</f>
        <v>自然及人文环境状况</v>
      </c>
      <c r="AA25" s="1807">
        <f t="shared" si="3"/>
        <v>1</v>
      </c>
      <c r="AB25" s="1807">
        <f t="shared" si="4"/>
        <v>1</v>
      </c>
      <c r="AC25" s="1807">
        <f t="shared" si="5"/>
        <v>1</v>
      </c>
    </row>
    <row r="26" spans="1:29" ht="15">
      <c r="A26" s="402"/>
      <c r="B26" s="454"/>
      <c r="C26" s="445"/>
      <c r="D26" s="446"/>
      <c r="E26" s="2609"/>
      <c r="F26" s="446"/>
      <c r="G26" s="2609"/>
      <c r="H26" s="446"/>
      <c r="I26" s="445"/>
      <c r="J26" s="446"/>
      <c r="K26" s="670"/>
      <c r="L26" s="1137"/>
      <c r="M26" s="1128"/>
      <c r="N26" s="1128"/>
      <c r="O26" s="1136"/>
      <c r="P26" s="3273"/>
      <c r="Q26" s="1806"/>
      <c r="R26" s="771"/>
      <c r="S26" s="772"/>
      <c r="T26" s="771"/>
      <c r="U26" s="772"/>
      <c r="V26" s="771"/>
      <c r="W26" s="772"/>
      <c r="X26" s="1809"/>
      <c r="Y26" s="3273"/>
      <c r="Z26" s="1810"/>
      <c r="AA26" s="1807">
        <v>1</v>
      </c>
      <c r="AB26" s="1807">
        <v>1</v>
      </c>
      <c r="AC26" s="1807">
        <v>1</v>
      </c>
    </row>
    <row r="27" spans="1:29" s="117" customFormat="1" ht="42.75">
      <c r="A27" s="647"/>
      <c r="B27" s="1381" t="s">
        <v>2650</v>
      </c>
      <c r="C27" s="2605" t="str">
        <f>估价对象房地状况!C21</f>
        <v>估价对象所在区域公共配套设施齐备情况</v>
      </c>
      <c r="D27" s="448">
        <v>100</v>
      </c>
      <c r="E27" s="450"/>
      <c r="F27" s="448">
        <f>SUMIF(100:100,E28,101:101)-SUMIF(100:100,C28,101:101)+100</f>
        <v>105</v>
      </c>
      <c r="G27" s="450"/>
      <c r="H27" s="448">
        <f>SUMIF(100:100,G28,101:101)-SUMIF(100:100,C28,101:101)+100</f>
        <v>100</v>
      </c>
      <c r="I27" s="452"/>
      <c r="J27" s="448">
        <f>SUMIF(100:100,I28,101:101)-SUMIF(100:100,C28,101:101)+100</f>
        <v>100</v>
      </c>
      <c r="K27" s="671">
        <v>5</v>
      </c>
      <c r="L27" s="1129"/>
      <c r="M27" s="1130"/>
      <c r="N27" s="1130"/>
      <c r="O27" s="1131"/>
      <c r="P27" s="3273"/>
      <c r="Q27" s="1791" t="str">
        <f t="shared" si="8"/>
        <v>公共配套设施</v>
      </c>
      <c r="R27" s="767" t="s">
        <v>17</v>
      </c>
      <c r="S27" s="768">
        <f>F27</f>
        <v>105</v>
      </c>
      <c r="T27" s="767" t="s">
        <v>17</v>
      </c>
      <c r="U27" s="768">
        <f>H27</f>
        <v>100</v>
      </c>
      <c r="V27" s="767" t="s">
        <v>17</v>
      </c>
      <c r="W27" s="768">
        <f>J27</f>
        <v>100</v>
      </c>
      <c r="X27" s="769"/>
      <c r="Y27" s="3273"/>
      <c r="Z27" s="55" t="str">
        <f>Q27</f>
        <v>公共配套设施</v>
      </c>
      <c r="AA27" s="1807">
        <f>D27/F27</f>
        <v>0.95238095238095233</v>
      </c>
      <c r="AB27" s="1807">
        <f>D27/H27</f>
        <v>1</v>
      </c>
      <c r="AC27" s="1807">
        <f>D27/J27</f>
        <v>1</v>
      </c>
    </row>
    <row r="28" spans="1:29" s="117" customFormat="1" ht="15">
      <c r="A28" s="647"/>
      <c r="B28" s="454"/>
      <c r="C28" s="2698" t="s">
        <v>3550</v>
      </c>
      <c r="D28" s="446"/>
      <c r="E28" s="2609" t="s">
        <v>3551</v>
      </c>
      <c r="F28" s="446"/>
      <c r="G28" s="2609" t="s">
        <v>3550</v>
      </c>
      <c r="H28" s="446"/>
      <c r="I28" s="445" t="s">
        <v>3550</v>
      </c>
      <c r="J28" s="446"/>
      <c r="K28" s="670"/>
      <c r="L28" s="1129"/>
      <c r="M28" s="1130"/>
      <c r="N28" s="1130"/>
      <c r="O28" s="1131"/>
      <c r="P28" s="3273"/>
      <c r="Q28" s="1791"/>
      <c r="R28" s="767"/>
      <c r="S28" s="768"/>
      <c r="T28" s="767"/>
      <c r="U28" s="768"/>
      <c r="V28" s="767"/>
      <c r="W28" s="768"/>
      <c r="X28" s="769"/>
      <c r="Y28" s="3273"/>
      <c r="Z28" s="55"/>
      <c r="AA28" s="1807">
        <v>1</v>
      </c>
      <c r="AB28" s="1807">
        <v>1</v>
      </c>
      <c r="AC28" s="1807">
        <v>1</v>
      </c>
    </row>
    <row r="29" spans="1:29" s="117" customFormat="1" ht="28.5">
      <c r="A29" s="647"/>
      <c r="B29" s="1381" t="s">
        <v>2651</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73"/>
      <c r="Q29" s="1791" t="str">
        <f t="shared" ref="Q29" si="9">B29</f>
        <v>基础设施水平</v>
      </c>
      <c r="R29" s="767" t="s">
        <v>17</v>
      </c>
      <c r="S29" s="768">
        <f>F29</f>
        <v>100</v>
      </c>
      <c r="T29" s="767" t="s">
        <v>17</v>
      </c>
      <c r="U29" s="768">
        <f>H29</f>
        <v>100</v>
      </c>
      <c r="V29" s="767" t="s">
        <v>17</v>
      </c>
      <c r="W29" s="768">
        <f>J29</f>
        <v>100</v>
      </c>
      <c r="X29" s="769"/>
      <c r="Y29" s="3273"/>
      <c r="Z29" s="55" t="str">
        <f>Q29</f>
        <v>基础设施水平</v>
      </c>
      <c r="AA29" s="1807">
        <f>D29/F29</f>
        <v>1</v>
      </c>
      <c r="AB29" s="1807">
        <f>D29/H29</f>
        <v>1</v>
      </c>
      <c r="AC29" s="1807">
        <f>D29/J29</f>
        <v>1</v>
      </c>
    </row>
    <row r="30" spans="1:29" s="117" customFormat="1" ht="15">
      <c r="A30" s="647"/>
      <c r="B30" s="454"/>
      <c r="C30" s="2698"/>
      <c r="D30" s="446"/>
      <c r="E30" s="2699"/>
      <c r="F30" s="446"/>
      <c r="G30" s="2699"/>
      <c r="H30" s="446"/>
      <c r="I30" s="2699"/>
      <c r="J30" s="446"/>
      <c r="K30" s="670"/>
      <c r="L30" s="1129"/>
      <c r="M30" s="1130"/>
      <c r="N30" s="1130"/>
      <c r="O30" s="1131"/>
      <c r="P30" s="3273"/>
      <c r="Q30" s="1791"/>
      <c r="R30" s="767"/>
      <c r="S30" s="768"/>
      <c r="T30" s="767"/>
      <c r="U30" s="768"/>
      <c r="V30" s="767"/>
      <c r="W30" s="768"/>
      <c r="X30" s="769"/>
      <c r="Y30" s="3273"/>
      <c r="Z30" s="55"/>
      <c r="AA30" s="1807">
        <v>1</v>
      </c>
      <c r="AB30" s="1807">
        <v>1</v>
      </c>
      <c r="AC30" s="1807">
        <v>1</v>
      </c>
    </row>
    <row r="31" spans="1:29" ht="15">
      <c r="A31" s="426"/>
      <c r="B31" s="454" t="s">
        <v>2652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73"/>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73"/>
      <c r="Z31" s="1810" t="str">
        <f t="shared" ref="Z31:Z45" si="13">Q31</f>
        <v>临街状况</v>
      </c>
      <c r="AA31" s="1807">
        <f t="shared" si="3"/>
        <v>1</v>
      </c>
      <c r="AB31" s="1807">
        <f t="shared" si="4"/>
        <v>1</v>
      </c>
      <c r="AC31" s="1807">
        <f t="shared" si="5"/>
        <v>1</v>
      </c>
    </row>
    <row r="32" spans="1:29" ht="27">
      <c r="A32" s="426"/>
      <c r="B32" s="1381" t="s">
        <v>2687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73"/>
      <c r="Q32" s="1806" t="str">
        <f t="shared" si="8"/>
        <v>毗邻道路的类型与等级</v>
      </c>
      <c r="R32" s="771" t="s">
        <v>17</v>
      </c>
      <c r="S32" s="772">
        <f t="shared" si="10"/>
        <v>100</v>
      </c>
      <c r="T32" s="771" t="s">
        <v>17</v>
      </c>
      <c r="U32" s="772">
        <f t="shared" si="11"/>
        <v>100</v>
      </c>
      <c r="V32" s="771" t="s">
        <v>17</v>
      </c>
      <c r="W32" s="772">
        <f t="shared" si="12"/>
        <v>100</v>
      </c>
      <c r="X32" s="1809"/>
      <c r="Y32" s="3273"/>
      <c r="Z32" s="1810" t="str">
        <f t="shared" si="13"/>
        <v>毗邻道路的类型与等级</v>
      </c>
      <c r="AA32" s="1807">
        <f t="shared" si="3"/>
        <v>1</v>
      </c>
      <c r="AB32" s="1807">
        <f t="shared" si="4"/>
        <v>1</v>
      </c>
      <c r="AC32" s="1807">
        <f t="shared" si="5"/>
        <v>1</v>
      </c>
    </row>
    <row r="33" spans="1:29" ht="15">
      <c r="A33" s="426"/>
      <c r="B33" s="454"/>
      <c r="C33" s="445"/>
      <c r="D33" s="446"/>
      <c r="E33" s="2609"/>
      <c r="F33" s="446"/>
      <c r="G33" s="2609"/>
      <c r="H33" s="446"/>
      <c r="I33" s="445"/>
      <c r="J33" s="446"/>
      <c r="K33" s="611"/>
      <c r="L33" s="1137"/>
      <c r="M33" s="1128"/>
      <c r="N33" s="1128"/>
      <c r="O33" s="1136"/>
      <c r="P33" s="3273"/>
      <c r="Q33" s="1806"/>
      <c r="R33" s="771"/>
      <c r="S33" s="772"/>
      <c r="T33" s="771"/>
      <c r="U33" s="772"/>
      <c r="V33" s="771"/>
      <c r="W33" s="772"/>
      <c r="X33" s="1809"/>
      <c r="Y33" s="3273"/>
      <c r="Z33" s="1810"/>
      <c r="AA33" s="1807">
        <v>1</v>
      </c>
      <c r="AB33" s="1807">
        <v>1</v>
      </c>
      <c r="AC33" s="1807">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73"/>
      <c r="Q34" s="1806" t="str">
        <f t="shared" si="8"/>
        <v>土地级别</v>
      </c>
      <c r="R34" s="771" t="s">
        <v>17</v>
      </c>
      <c r="S34" s="772">
        <f t="shared" si="10"/>
        <v>100</v>
      </c>
      <c r="T34" s="771" t="s">
        <v>17</v>
      </c>
      <c r="U34" s="772">
        <f t="shared" si="11"/>
        <v>100</v>
      </c>
      <c r="V34" s="771" t="s">
        <v>17</v>
      </c>
      <c r="W34" s="772">
        <f t="shared" si="12"/>
        <v>100</v>
      </c>
      <c r="X34" s="1809"/>
      <c r="Y34" s="3273"/>
      <c r="Z34" s="1810" t="str">
        <f t="shared" si="13"/>
        <v>土地级别</v>
      </c>
      <c r="AA34" s="1807">
        <f t="shared" si="3"/>
        <v>1</v>
      </c>
      <c r="AB34" s="1807">
        <f t="shared" si="4"/>
        <v>1</v>
      </c>
      <c r="AC34" s="1807">
        <f t="shared" si="5"/>
        <v>1</v>
      </c>
    </row>
    <row r="35" spans="1:29" ht="15">
      <c r="A35" s="402"/>
      <c r="B35" s="1383"/>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73"/>
      <c r="Q35" s="1806">
        <f t="shared" si="8"/>
        <v>0</v>
      </c>
      <c r="R35" s="771" t="s">
        <v>17</v>
      </c>
      <c r="S35" s="772">
        <f t="shared" si="10"/>
        <v>100</v>
      </c>
      <c r="T35" s="771" t="s">
        <v>17</v>
      </c>
      <c r="U35" s="772">
        <f t="shared" si="11"/>
        <v>100</v>
      </c>
      <c r="V35" s="771" t="s">
        <v>17</v>
      </c>
      <c r="W35" s="772">
        <f t="shared" si="12"/>
        <v>100</v>
      </c>
      <c r="X35" s="1809"/>
      <c r="Y35" s="3273"/>
      <c r="Z35" s="1810">
        <f t="shared" si="13"/>
        <v>0</v>
      </c>
      <c r="AA35" s="1807">
        <f t="shared" si="3"/>
        <v>1</v>
      </c>
      <c r="AB35" s="1807">
        <f t="shared" si="4"/>
        <v>1</v>
      </c>
      <c r="AC35" s="1807">
        <f t="shared" si="5"/>
        <v>1</v>
      </c>
    </row>
    <row r="36" spans="1:29" ht="15">
      <c r="A36" s="673"/>
      <c r="B36" s="1384"/>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4" t="s">
        <v>2561</v>
      </c>
      <c r="Q36" s="1806">
        <f t="shared" si="8"/>
        <v>0</v>
      </c>
      <c r="R36" s="771" t="s">
        <v>17</v>
      </c>
      <c r="S36" s="772">
        <f t="shared" si="10"/>
        <v>100</v>
      </c>
      <c r="T36" s="771" t="s">
        <v>17</v>
      </c>
      <c r="U36" s="772">
        <f t="shared" si="11"/>
        <v>100</v>
      </c>
      <c r="V36" s="771" t="s">
        <v>17</v>
      </c>
      <c r="W36" s="772">
        <f t="shared" si="12"/>
        <v>100</v>
      </c>
      <c r="X36" s="1809"/>
      <c r="Y36" s="3275" t="s">
        <v>2561</v>
      </c>
      <c r="Z36" s="1810">
        <f t="shared" si="13"/>
        <v>0</v>
      </c>
      <c r="AA36" s="1807">
        <f t="shared" si="3"/>
        <v>1</v>
      </c>
      <c r="AB36" s="1807">
        <f t="shared" si="4"/>
        <v>1</v>
      </c>
      <c r="AC36" s="1807">
        <f t="shared" si="5"/>
        <v>1</v>
      </c>
    </row>
    <row r="37" spans="1:29" s="469" customFormat="1" ht="15.75" thickBot="1">
      <c r="A37" s="674"/>
      <c r="B37" s="1385"/>
      <c r="C37" s="676"/>
      <c r="D37" s="137">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75"/>
      <c r="Q37" s="1806">
        <f t="shared" si="8"/>
        <v>0</v>
      </c>
      <c r="R37" s="774" t="s">
        <v>17</v>
      </c>
      <c r="S37" s="775">
        <f t="shared" si="10"/>
        <v>100</v>
      </c>
      <c r="T37" s="774" t="s">
        <v>17</v>
      </c>
      <c r="U37" s="775">
        <f t="shared" si="11"/>
        <v>100</v>
      </c>
      <c r="V37" s="774" t="s">
        <v>17</v>
      </c>
      <c r="W37" s="775">
        <f t="shared" si="12"/>
        <v>100</v>
      </c>
      <c r="X37" s="776"/>
      <c r="Y37" s="3275"/>
      <c r="Z37" s="777">
        <f t="shared" si="13"/>
        <v>0</v>
      </c>
      <c r="AA37" s="1807">
        <f t="shared" si="3"/>
        <v>1</v>
      </c>
      <c r="AB37" s="1807">
        <f t="shared" si="4"/>
        <v>1</v>
      </c>
      <c r="AC37" s="1807">
        <f t="shared" si="5"/>
        <v>1</v>
      </c>
    </row>
    <row r="38" spans="1:29" ht="15">
      <c r="A38" s="470" t="s">
        <v>2559</v>
      </c>
      <c r="B38" s="454" t="s">
        <v>2747</v>
      </c>
      <c r="C38" s="677">
        <f>'数据-汇总表'!D3</f>
        <v>196085</v>
      </c>
      <c r="D38" s="465">
        <v>100</v>
      </c>
      <c r="E38" s="677">
        <f>'土地案例（汇川区&amp;红花岗区）'!I17</f>
        <v>35776</v>
      </c>
      <c r="F38" s="465">
        <f>LOOKUP(E38,117:117,118:118)-LOOKUP(C38,117:117,118:118)+100</f>
        <v>98</v>
      </c>
      <c r="G38" s="677">
        <f>'土地案例（汇川区&amp;红花岗区）'!I25</f>
        <v>15294</v>
      </c>
      <c r="H38" s="465">
        <f>LOOKUP(G38,117:117,118:118)-LOOKUP(C38,117:117,118:118)+100</f>
        <v>98</v>
      </c>
      <c r="I38" s="528">
        <f>'土地案例（汇川区&amp;红花岗区）'!I33</f>
        <v>28470</v>
      </c>
      <c r="J38" s="465">
        <f>LOOKUP(I38,117:117,118:118)-LOOKUP(C38,117:117,118:118)+100</f>
        <v>98</v>
      </c>
      <c r="K38" s="611"/>
      <c r="L38" s="1137"/>
      <c r="M38" s="1128"/>
      <c r="N38" s="1128"/>
      <c r="O38" s="1136"/>
      <c r="P38" s="3275"/>
      <c r="Q38" s="1806" t="str">
        <f>B38</f>
        <v>宗地面积</v>
      </c>
      <c r="R38" s="771" t="s">
        <v>17</v>
      </c>
      <c r="S38" s="772">
        <f t="shared" si="10"/>
        <v>98</v>
      </c>
      <c r="T38" s="771" t="s">
        <v>17</v>
      </c>
      <c r="U38" s="772">
        <f t="shared" si="11"/>
        <v>98</v>
      </c>
      <c r="V38" s="771" t="s">
        <v>17</v>
      </c>
      <c r="W38" s="772">
        <f t="shared" si="12"/>
        <v>98</v>
      </c>
      <c r="X38" s="1809"/>
      <c r="Y38" s="3275"/>
      <c r="Z38" s="1810" t="str">
        <f t="shared" si="13"/>
        <v>宗地面积</v>
      </c>
      <c r="AA38" s="1807">
        <f t="shared" si="3"/>
        <v>1.0204081632653061</v>
      </c>
      <c r="AB38" s="1807">
        <f t="shared" si="4"/>
        <v>1.0204081632653061</v>
      </c>
      <c r="AC38" s="1807">
        <f t="shared" si="5"/>
        <v>1.0204081632653061</v>
      </c>
    </row>
    <row r="39" spans="1:29" ht="15">
      <c r="A39" s="470"/>
      <c r="B39" s="420" t="s">
        <v>2748</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7"/>
      <c r="M39" s="1128"/>
      <c r="N39" s="1128"/>
      <c r="O39" s="1136"/>
      <c r="P39" s="3275"/>
      <c r="Q39" s="1806" t="str">
        <f t="shared" ref="Q39:Q45" si="14">B39</f>
        <v>宗地形状</v>
      </c>
      <c r="R39" s="771" t="s">
        <v>17</v>
      </c>
      <c r="S39" s="772">
        <f t="shared" si="10"/>
        <v>100</v>
      </c>
      <c r="T39" s="771" t="s">
        <v>17</v>
      </c>
      <c r="U39" s="772">
        <f t="shared" si="11"/>
        <v>100</v>
      </c>
      <c r="V39" s="771" t="s">
        <v>17</v>
      </c>
      <c r="W39" s="772">
        <f t="shared" si="12"/>
        <v>100</v>
      </c>
      <c r="X39" s="1809"/>
      <c r="Y39" s="3275"/>
      <c r="Z39" s="1810" t="str">
        <f t="shared" si="13"/>
        <v>宗地形状</v>
      </c>
      <c r="AA39" s="1807">
        <f t="shared" si="3"/>
        <v>1</v>
      </c>
      <c r="AB39" s="1807">
        <f t="shared" si="4"/>
        <v>1</v>
      </c>
      <c r="AC39" s="1807">
        <f t="shared" si="5"/>
        <v>1</v>
      </c>
    </row>
    <row r="40" spans="1:29" ht="15">
      <c r="A40" s="470"/>
      <c r="B40" s="420" t="s">
        <v>2749</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7"/>
      <c r="M40" s="1128"/>
      <c r="N40" s="1128"/>
      <c r="O40" s="1136"/>
      <c r="P40" s="3275"/>
      <c r="Q40" s="1806" t="str">
        <f t="shared" si="14"/>
        <v>临街宽度及深度</v>
      </c>
      <c r="R40" s="771" t="s">
        <v>17</v>
      </c>
      <c r="S40" s="772">
        <f t="shared" si="10"/>
        <v>100</v>
      </c>
      <c r="T40" s="771" t="s">
        <v>17</v>
      </c>
      <c r="U40" s="772">
        <f t="shared" si="11"/>
        <v>100</v>
      </c>
      <c r="V40" s="771" t="s">
        <v>17</v>
      </c>
      <c r="W40" s="772">
        <f t="shared" si="12"/>
        <v>100</v>
      </c>
      <c r="X40" s="1809"/>
      <c r="Y40" s="3275"/>
      <c r="Z40" s="1810" t="str">
        <f t="shared" si="13"/>
        <v>临街宽度及深度</v>
      </c>
      <c r="AA40" s="1807">
        <f t="shared" si="3"/>
        <v>1</v>
      </c>
      <c r="AB40" s="1807">
        <f t="shared" si="4"/>
        <v>1</v>
      </c>
      <c r="AC40" s="1807">
        <f t="shared" si="5"/>
        <v>1</v>
      </c>
    </row>
    <row r="41" spans="1:29" s="117" customFormat="1" ht="15">
      <c r="A41" s="471"/>
      <c r="B41" s="420" t="s">
        <v>2750</v>
      </c>
      <c r="C41" s="2700"/>
      <c r="D41" s="136">
        <v>100</v>
      </c>
      <c r="E41" s="2700"/>
      <c r="F41" s="433">
        <f>SUMIF(123:123,E41,124:124)-SUMIF(123:123,C41,124:124)+100</f>
        <v>100</v>
      </c>
      <c r="G41" s="2700"/>
      <c r="H41" s="433">
        <f>SUMIF(123:123,G41,124:124)-SUMIF(123:123,C41,124:124)+100</f>
        <v>100</v>
      </c>
      <c r="I41" s="2700"/>
      <c r="J41" s="433">
        <f>SUMIF(123:123,I41,124:124)-SUMIF(123:123,C41,124:124)+100</f>
        <v>100</v>
      </c>
      <c r="K41" s="610"/>
      <c r="L41" s="1129"/>
      <c r="M41" s="1130"/>
      <c r="N41" s="1130"/>
      <c r="O41" s="1131"/>
      <c r="P41" s="3275"/>
      <c r="Q41" s="1806" t="str">
        <f t="shared" si="14"/>
        <v>宗地开发程度</v>
      </c>
      <c r="R41" s="767" t="s">
        <v>17</v>
      </c>
      <c r="S41" s="768">
        <f t="shared" si="10"/>
        <v>100</v>
      </c>
      <c r="T41" s="767" t="s">
        <v>17</v>
      </c>
      <c r="U41" s="768">
        <f t="shared" si="11"/>
        <v>100</v>
      </c>
      <c r="V41" s="767" t="s">
        <v>17</v>
      </c>
      <c r="W41" s="768">
        <f t="shared" si="12"/>
        <v>100</v>
      </c>
      <c r="X41" s="769"/>
      <c r="Y41" s="3275"/>
      <c r="Z41" s="55" t="str">
        <f t="shared" si="13"/>
        <v>宗地开发程度</v>
      </c>
      <c r="AA41" s="770">
        <f t="shared" si="3"/>
        <v>1</v>
      </c>
      <c r="AB41" s="770">
        <f t="shared" si="4"/>
        <v>1</v>
      </c>
      <c r="AC41" s="770">
        <f t="shared" si="5"/>
        <v>1</v>
      </c>
    </row>
    <row r="42" spans="1:29" ht="15">
      <c r="A42" s="470"/>
      <c r="B42" s="420" t="s">
        <v>2751</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7"/>
      <c r="M42" s="1128"/>
      <c r="N42" s="1128"/>
      <c r="O42" s="1136"/>
      <c r="P42" s="3275" t="s">
        <v>2561</v>
      </c>
      <c r="Q42" s="1806" t="str">
        <f t="shared" si="14"/>
        <v>工程地质条件</v>
      </c>
      <c r="R42" s="771" t="s">
        <v>17</v>
      </c>
      <c r="S42" s="772">
        <f t="shared" si="10"/>
        <v>100</v>
      </c>
      <c r="T42" s="771" t="s">
        <v>17</v>
      </c>
      <c r="U42" s="772">
        <f t="shared" si="11"/>
        <v>100</v>
      </c>
      <c r="V42" s="771" t="s">
        <v>17</v>
      </c>
      <c r="W42" s="772">
        <f t="shared" si="12"/>
        <v>100</v>
      </c>
      <c r="X42" s="1809"/>
      <c r="Y42" s="3275" t="s">
        <v>2561</v>
      </c>
      <c r="Z42" s="1810" t="str">
        <f t="shared" si="13"/>
        <v>工程地质条件</v>
      </c>
      <c r="AA42" s="1807">
        <f t="shared" si="3"/>
        <v>1</v>
      </c>
      <c r="AB42" s="1807">
        <f t="shared" si="4"/>
        <v>1</v>
      </c>
      <c r="AC42" s="1807">
        <f t="shared" si="5"/>
        <v>1</v>
      </c>
    </row>
    <row r="43" spans="1:29" ht="15">
      <c r="A43" s="470"/>
      <c r="B43" s="1384"/>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75"/>
      <c r="Q43" s="1806">
        <f t="shared" si="14"/>
        <v>0</v>
      </c>
      <c r="R43" s="771" t="s">
        <v>17</v>
      </c>
      <c r="S43" s="772">
        <f t="shared" si="10"/>
        <v>100</v>
      </c>
      <c r="T43" s="771" t="s">
        <v>17</v>
      </c>
      <c r="U43" s="772">
        <f t="shared" si="11"/>
        <v>100</v>
      </c>
      <c r="V43" s="771" t="s">
        <v>17</v>
      </c>
      <c r="W43" s="772">
        <f t="shared" si="12"/>
        <v>100</v>
      </c>
      <c r="X43" s="1809"/>
      <c r="Y43" s="3275"/>
      <c r="Z43" s="1810">
        <f t="shared" si="13"/>
        <v>0</v>
      </c>
      <c r="AA43" s="1807">
        <f t="shared" si="3"/>
        <v>1</v>
      </c>
      <c r="AB43" s="1807">
        <f t="shared" si="4"/>
        <v>1</v>
      </c>
      <c r="AC43" s="1807">
        <f t="shared" si="5"/>
        <v>1</v>
      </c>
    </row>
    <row r="44" spans="1:29" ht="15">
      <c r="A44" s="470"/>
      <c r="B44" s="1384"/>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75"/>
      <c r="Q44" s="1806">
        <f t="shared" si="14"/>
        <v>0</v>
      </c>
      <c r="R44" s="771" t="s">
        <v>17</v>
      </c>
      <c r="S44" s="772">
        <f t="shared" si="10"/>
        <v>100</v>
      </c>
      <c r="T44" s="771" t="s">
        <v>17</v>
      </c>
      <c r="U44" s="772">
        <f t="shared" si="11"/>
        <v>100</v>
      </c>
      <c r="V44" s="771" t="s">
        <v>17</v>
      </c>
      <c r="W44" s="772">
        <f t="shared" si="12"/>
        <v>100</v>
      </c>
      <c r="X44" s="1809"/>
      <c r="Y44" s="3275"/>
      <c r="Z44" s="1810">
        <f t="shared" si="13"/>
        <v>0</v>
      </c>
      <c r="AA44" s="1807">
        <f t="shared" si="3"/>
        <v>1</v>
      </c>
      <c r="AB44" s="1807">
        <f t="shared" si="4"/>
        <v>1</v>
      </c>
      <c r="AC44" s="1807">
        <f t="shared" si="5"/>
        <v>1</v>
      </c>
    </row>
    <row r="45" spans="1:29" s="469" customFormat="1" ht="15.75" thickBot="1">
      <c r="A45" s="466"/>
      <c r="B45" s="1384"/>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75"/>
      <c r="Q45" s="1806">
        <f t="shared" si="14"/>
        <v>0</v>
      </c>
      <c r="R45" s="774" t="s">
        <v>17</v>
      </c>
      <c r="S45" s="775">
        <f t="shared" si="10"/>
        <v>100</v>
      </c>
      <c r="T45" s="774" t="s">
        <v>17</v>
      </c>
      <c r="U45" s="775">
        <f t="shared" si="11"/>
        <v>100</v>
      </c>
      <c r="V45" s="774" t="s">
        <v>17</v>
      </c>
      <c r="W45" s="775">
        <f t="shared" si="12"/>
        <v>100</v>
      </c>
      <c r="X45" s="776"/>
      <c r="Y45" s="3275"/>
      <c r="Z45" s="777">
        <f t="shared" si="13"/>
        <v>0</v>
      </c>
      <c r="AA45" s="1807">
        <f t="shared" si="3"/>
        <v>1</v>
      </c>
      <c r="AB45" s="1807">
        <f t="shared" si="4"/>
        <v>1</v>
      </c>
      <c r="AC45" s="1807">
        <f t="shared" si="5"/>
        <v>1</v>
      </c>
    </row>
    <row r="46" spans="1:29" ht="15">
      <c r="A46" s="477" t="s">
        <v>2716</v>
      </c>
      <c r="B46" s="2702" t="s">
        <v>2752</v>
      </c>
      <c r="C46" s="680" t="s">
        <v>1</v>
      </c>
      <c r="D46" s="479"/>
      <c r="E46" s="480">
        <v>3025</v>
      </c>
      <c r="F46" s="481"/>
      <c r="G46" s="482">
        <v>2681</v>
      </c>
      <c r="H46" s="483"/>
      <c r="I46" s="480">
        <v>2500</v>
      </c>
      <c r="J46" s="483"/>
      <c r="K46" s="780"/>
      <c r="L46" s="1140"/>
      <c r="M46" s="1141"/>
      <c r="N46" s="1128"/>
      <c r="O46" s="1141"/>
      <c r="P46" s="3257" t="str">
        <f>A46</f>
        <v>成交单价</v>
      </c>
      <c r="Q46" s="3257"/>
      <c r="R46" s="3270">
        <f>E46</f>
        <v>3025</v>
      </c>
      <c r="S46" s="3270"/>
      <c r="T46" s="3270">
        <f>G46</f>
        <v>2681</v>
      </c>
      <c r="U46" s="3270"/>
      <c r="V46" s="3270">
        <f>I46</f>
        <v>2500</v>
      </c>
      <c r="W46" s="3270"/>
      <c r="X46" s="756"/>
      <c r="Y46" s="778"/>
      <c r="Z46" s="756"/>
      <c r="AA46" s="756"/>
      <c r="AB46" s="756"/>
      <c r="AC46" s="756"/>
    </row>
    <row r="47" spans="1:29" ht="15.75" thickBot="1">
      <c r="A47" s="484" t="s">
        <v>2665</v>
      </c>
      <c r="B47" s="681"/>
      <c r="C47" s="488">
        <f>R48</f>
        <v>2614</v>
      </c>
      <c r="D47" s="487"/>
      <c r="E47" s="488">
        <f>R47</f>
        <v>2829</v>
      </c>
      <c r="F47" s="489"/>
      <c r="G47" s="486">
        <f>T47</f>
        <v>2646</v>
      </c>
      <c r="H47" s="487"/>
      <c r="I47" s="488">
        <f>V47</f>
        <v>2367</v>
      </c>
      <c r="J47" s="487"/>
      <c r="K47" s="781"/>
      <c r="L47" s="1140"/>
      <c r="M47" s="1141"/>
      <c r="N47" s="1141"/>
      <c r="O47" s="1141"/>
      <c r="P47" s="3257" t="str">
        <f>A47</f>
        <v>比较价值（元/平方米）</v>
      </c>
      <c r="Q47" s="3257"/>
      <c r="R47" s="3276">
        <f>ROUND(PRODUCT(R46,AA7:AA45),0)</f>
        <v>2829</v>
      </c>
      <c r="S47" s="3276"/>
      <c r="T47" s="3276">
        <f>ROUND(PRODUCT(T46,AB7:AB45),0)</f>
        <v>2646</v>
      </c>
      <c r="U47" s="3276"/>
      <c r="V47" s="3276">
        <f>ROUND(PRODUCT(V46,AC7:AC45),0)</f>
        <v>2367</v>
      </c>
      <c r="W47" s="3276"/>
      <c r="X47" s="756"/>
      <c r="Y47" s="756"/>
      <c r="Z47" s="756"/>
      <c r="AA47" s="756"/>
      <c r="AB47" s="756"/>
      <c r="AC47" s="756"/>
    </row>
    <row r="48" spans="1:29" ht="15.75" thickBot="1">
      <c r="A48" s="490" t="s">
        <v>2753</v>
      </c>
      <c r="B48" s="491"/>
      <c r="C48" s="492">
        <f>R48</f>
        <v>2614</v>
      </c>
      <c r="D48" s="492"/>
      <c r="E48" s="492"/>
      <c r="F48" s="492"/>
      <c r="G48" s="492"/>
      <c r="H48" s="492"/>
      <c r="I48" s="492"/>
      <c r="J48" s="492"/>
      <c r="K48" s="782"/>
      <c r="L48" s="1140"/>
      <c r="M48" s="1141"/>
      <c r="N48" s="1141"/>
      <c r="O48" s="1141"/>
      <c r="P48" s="3277" t="str">
        <f>A48</f>
        <v>估价对象XX用房的比较价值（楼面单价，元/平方米）</v>
      </c>
      <c r="Q48" s="3278"/>
      <c r="R48" s="3279">
        <f>ROUND(AVERAGE(R47:V47),0)</f>
        <v>2614</v>
      </c>
      <c r="S48" s="3279"/>
      <c r="T48" s="3279"/>
      <c r="U48" s="3279"/>
      <c r="V48" s="3279"/>
      <c r="W48" s="3279"/>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2667</v>
      </c>
      <c r="D51" s="496"/>
      <c r="E51" s="497">
        <f>IF(E46&lt;E47,E47/E46-1,E46/E47-1)</f>
        <v>6.9282431954754253E-2</v>
      </c>
      <c r="F51" s="498" t="str">
        <f>IF(OR(E51&gt;=0.3,E51&lt;=-0.3),"超过30%","")</f>
        <v/>
      </c>
      <c r="G51" s="497">
        <f>IF(G46&lt;G47,G47/G46-1,G46/G47-1)</f>
        <v>1.3227513227513255E-2</v>
      </c>
      <c r="H51" s="498" t="str">
        <f>IF(OR(G51&gt;=0.3,G51&lt;=-0.3),"超过30%","")</f>
        <v/>
      </c>
      <c r="I51" s="497">
        <f>IF(I46&lt;I47,I47/I46-1,I46/I47-1)</f>
        <v>5.618926911702582E-2</v>
      </c>
      <c r="J51" s="498" t="str">
        <f>IF(OR(I51&gt;=0.3,I51&lt;=-0.3),"超过30%","")</f>
        <v/>
      </c>
      <c r="K51" s="1102"/>
      <c r="L51" s="1103"/>
      <c r="M51" s="1141"/>
      <c r="N51" s="1141"/>
      <c r="O51" s="1141"/>
    </row>
    <row r="52" spans="1:15" ht="13.5" customHeight="1">
      <c r="A52" s="1141"/>
      <c r="B52" s="1141"/>
      <c r="C52" s="495" t="s">
        <v>2668</v>
      </c>
      <c r="D52" s="499"/>
      <c r="E52" s="497">
        <f>IF(E47&lt;G47,G47/E47-1,E47/G47-1)</f>
        <v>6.9160997732426344E-2</v>
      </c>
      <c r="F52" s="498" t="str">
        <f>IF(OR(E52&gt;=0.2,E52&lt;=-0.2),"超过20%","")</f>
        <v/>
      </c>
      <c r="G52" s="497">
        <f>IF(G47&lt;I47,I47/G47-1,G47/I47-1)</f>
        <v>0.11787072243346008</v>
      </c>
      <c r="H52" s="498" t="str">
        <f>IF(OR(G52&gt;=0.2,G52&lt;=-0.2),"超过20%","")</f>
        <v/>
      </c>
      <c r="I52" s="497">
        <f>IF(I47&lt;E47,E47/I47-1,I47/E47-1)</f>
        <v>0.1951837769328264</v>
      </c>
      <c r="J52" s="498" t="str">
        <f>IF(OR(I52&gt;=0.2,I52&lt;=-0.2),"超过20%","")</f>
        <v/>
      </c>
      <c r="K52" s="1102"/>
      <c r="L52" s="1103"/>
      <c r="M52" s="1141"/>
      <c r="N52" s="1141"/>
      <c r="O52" s="1141"/>
    </row>
    <row r="53" spans="1:15" s="500" customFormat="1" ht="13.5" customHeight="1">
      <c r="A53" s="1142"/>
      <c r="B53" s="1142"/>
      <c r="C53" s="495" t="s">
        <v>2669</v>
      </c>
      <c r="D53" s="499"/>
      <c r="E53" s="497">
        <f>IF(E46&lt;G46,G46/E46-1,E46/G46-1)</f>
        <v>0.12831033196568442</v>
      </c>
      <c r="F53" s="498" t="str">
        <f>IF(OR(E53&gt;=0.3,E53&lt;=-0.3),"超过30%","")</f>
        <v/>
      </c>
      <c r="G53" s="497">
        <f>IF(G46&lt;I46,I46/G46-1,G46/I46-1)</f>
        <v>7.240000000000002E-2</v>
      </c>
      <c r="H53" s="498" t="str">
        <f>IF(OR(G53&gt;=0.3,G53&lt;=-0.3),"超过30%","")</f>
        <v/>
      </c>
      <c r="I53" s="497">
        <f>IF(I46&lt;E46,E46/I46-1,I46/E46-1)</f>
        <v>0.20999999999999996</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2754</v>
      </c>
      <c r="B55" s="683" t="s">
        <v>2755</v>
      </c>
      <c r="C55" s="3014" t="s">
        <v>3534</v>
      </c>
      <c r="D55" s="2704" t="s">
        <v>2757</v>
      </c>
      <c r="E55" s="684" t="s">
        <v>2758</v>
      </c>
      <c r="F55" s="1104" t="s">
        <v>2759</v>
      </c>
      <c r="G55" s="3258" t="s">
        <v>2760</v>
      </c>
      <c r="H55" s="3280"/>
      <c r="I55" s="144" t="s">
        <v>2761</v>
      </c>
      <c r="J55" s="2705">
        <f>项目基本情况!F35</f>
        <v>0</v>
      </c>
      <c r="K55" s="2706" t="s">
        <v>2762</v>
      </c>
      <c r="L55" s="1103"/>
      <c r="M55" s="1141"/>
      <c r="N55" s="1141"/>
      <c r="O55" s="1141"/>
    </row>
    <row r="56" spans="1:15" s="690" customFormat="1">
      <c r="A56" s="686" t="s">
        <v>2763</v>
      </c>
      <c r="B56" s="687">
        <f>C48</f>
        <v>2614</v>
      </c>
      <c r="C56" s="688">
        <v>1</v>
      </c>
      <c r="D56" s="1160">
        <v>1</v>
      </c>
      <c r="E56" s="688">
        <f>'数据-汇总表'!E8+'数据-汇总表'!E9</f>
        <v>166374.91</v>
      </c>
      <c r="F56" s="1100">
        <f t="shared" ref="F56:F65" si="15">ROUND(B56*E56/10000,0)</f>
        <v>43490</v>
      </c>
      <c r="G56" s="3281"/>
      <c r="H56" s="3257"/>
      <c r="I56" s="1105">
        <v>1</v>
      </c>
      <c r="J56" s="1108">
        <v>1</v>
      </c>
      <c r="K56" s="1142"/>
      <c r="L56" s="938"/>
      <c r="M56" s="938"/>
      <c r="N56" s="938"/>
      <c r="O56" s="938"/>
    </row>
    <row r="57" spans="1:15" s="690" customFormat="1">
      <c r="A57" s="691" t="s">
        <v>2764</v>
      </c>
      <c r="B57" s="260">
        <f>ROUND($C$48*C57*D57,0)</f>
        <v>0</v>
      </c>
      <c r="C57" s="198">
        <f t="shared" ref="C57:C65" si="16">IF($C$55="北京市系数",I57,J57)</f>
        <v>0</v>
      </c>
      <c r="D57" s="1161">
        <v>0.25</v>
      </c>
      <c r="E57" s="692"/>
      <c r="F57" s="1100">
        <f t="shared" si="15"/>
        <v>0</v>
      </c>
      <c r="G57" s="3282" t="s">
        <v>2765</v>
      </c>
      <c r="H57" s="1101">
        <f>项目基本情况!B37</f>
        <v>0</v>
      </c>
      <c r="I57" s="1105">
        <f>SUMIF(修正!A45:A56,H57,修正!B45:B56)</f>
        <v>0</v>
      </c>
      <c r="J57" s="1109"/>
      <c r="K57" s="1141"/>
      <c r="L57" s="938"/>
      <c r="M57" s="938"/>
      <c r="N57" s="938"/>
      <c r="O57" s="938"/>
    </row>
    <row r="58" spans="1:15" s="690" customFormat="1">
      <c r="A58" s="691" t="s">
        <v>2766</v>
      </c>
      <c r="B58" s="260">
        <f t="shared" ref="B58:B65" si="17">ROUND($C$48*C58*D58,0)</f>
        <v>0</v>
      </c>
      <c r="C58" s="198">
        <f t="shared" si="16"/>
        <v>0</v>
      </c>
      <c r="D58" s="1161">
        <v>0.25</v>
      </c>
      <c r="E58" s="692"/>
      <c r="F58" s="1100">
        <f t="shared" si="15"/>
        <v>0</v>
      </c>
      <c r="G58" s="3282"/>
      <c r="H58" s="1101">
        <f>项目基本情况!B37</f>
        <v>0</v>
      </c>
      <c r="I58" s="1105">
        <f>SUMIF(修正!A45:A56,H58,修正!C45:C56)</f>
        <v>0</v>
      </c>
      <c r="J58" s="1109"/>
      <c r="K58" s="1142"/>
      <c r="L58" s="938"/>
      <c r="M58" s="938"/>
      <c r="N58" s="938"/>
      <c r="O58" s="938"/>
    </row>
    <row r="59" spans="1:15" s="690" customFormat="1">
      <c r="A59" s="691" t="s">
        <v>2767</v>
      </c>
      <c r="B59" s="260">
        <f t="shared" si="17"/>
        <v>0</v>
      </c>
      <c r="C59" s="198">
        <f t="shared" si="16"/>
        <v>0</v>
      </c>
      <c r="D59" s="1161">
        <v>0.25</v>
      </c>
      <c r="E59" s="692"/>
      <c r="F59" s="1100">
        <f t="shared" si="15"/>
        <v>0</v>
      </c>
      <c r="G59" s="3282"/>
      <c r="H59" s="1101">
        <f>项目基本情况!B37</f>
        <v>0</v>
      </c>
      <c r="I59" s="1105">
        <f>SUMIF(修正!A45:A56,H59,修正!D45:D56)</f>
        <v>0</v>
      </c>
      <c r="J59" s="1109"/>
      <c r="K59" s="1141"/>
      <c r="L59" s="938"/>
      <c r="M59" s="938"/>
      <c r="N59" s="938"/>
      <c r="O59" s="938"/>
    </row>
    <row r="60" spans="1:15" s="690" customFormat="1">
      <c r="A60" s="691" t="s">
        <v>2768</v>
      </c>
      <c r="B60" s="260">
        <f t="shared" si="17"/>
        <v>0</v>
      </c>
      <c r="C60" s="198">
        <f t="shared" si="16"/>
        <v>0</v>
      </c>
      <c r="D60" s="1161">
        <v>0.25</v>
      </c>
      <c r="E60" s="692"/>
      <c r="F60" s="1100">
        <f t="shared" si="15"/>
        <v>0</v>
      </c>
      <c r="G60" s="3282"/>
      <c r="H60" s="1101">
        <f>项目基本情况!B37</f>
        <v>0</v>
      </c>
      <c r="I60" s="1105">
        <f>SUMIF(修正!A45:A56,H60,修正!E45:E56)</f>
        <v>0</v>
      </c>
      <c r="J60" s="1109"/>
      <c r="K60" s="1142"/>
      <c r="L60" s="938"/>
      <c r="M60" s="938"/>
      <c r="N60" s="938"/>
      <c r="O60" s="938"/>
    </row>
    <row r="61" spans="1:15" s="690" customFormat="1">
      <c r="A61" s="691" t="s">
        <v>2769</v>
      </c>
      <c r="B61" s="260">
        <f t="shared" si="17"/>
        <v>0</v>
      </c>
      <c r="C61" s="198">
        <f t="shared" si="16"/>
        <v>0</v>
      </c>
      <c r="D61" s="1161">
        <v>0.25</v>
      </c>
      <c r="E61" s="259">
        <f>'数据-汇总表'!E11</f>
        <v>0</v>
      </c>
      <c r="F61" s="1100">
        <f t="shared" si="15"/>
        <v>0</v>
      </c>
      <c r="G61" s="2707" t="s">
        <v>2770</v>
      </c>
      <c r="H61" s="1101">
        <f>项目基本情况!C37</f>
        <v>0</v>
      </c>
      <c r="I61" s="1105">
        <f>SUMIF(修正!A45:A56,H61,修正!F45:F56)</f>
        <v>0</v>
      </c>
      <c r="J61" s="1109"/>
      <c r="K61" s="1141"/>
      <c r="L61" s="938"/>
      <c r="M61" s="938"/>
      <c r="N61" s="938"/>
      <c r="O61" s="938"/>
    </row>
    <row r="62" spans="1:15" s="690" customFormat="1">
      <c r="A62" s="691" t="s">
        <v>2771</v>
      </c>
      <c r="B62" s="260">
        <f t="shared" si="17"/>
        <v>0</v>
      </c>
      <c r="C62" s="198">
        <f t="shared" si="16"/>
        <v>0</v>
      </c>
      <c r="D62" s="1161">
        <v>0.25</v>
      </c>
      <c r="E62" s="259">
        <f>'数据-汇总表'!E12</f>
        <v>0</v>
      </c>
      <c r="F62" s="1100">
        <f t="shared" si="15"/>
        <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2773</v>
      </c>
      <c r="B63" s="260">
        <f t="shared" si="17"/>
        <v>0</v>
      </c>
      <c r="C63" s="198">
        <f t="shared" si="16"/>
        <v>0</v>
      </c>
      <c r="D63" s="1161">
        <v>0.25</v>
      </c>
      <c r="E63" s="259">
        <f>'数据-汇总表'!E13</f>
        <v>0</v>
      </c>
      <c r="F63" s="1100">
        <f t="shared" si="15"/>
        <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2775</v>
      </c>
      <c r="B64" s="260">
        <f t="shared" si="17"/>
        <v>0</v>
      </c>
      <c r="C64" s="198">
        <f t="shared" si="16"/>
        <v>0</v>
      </c>
      <c r="D64" s="1161">
        <v>0.25</v>
      </c>
      <c r="E64" s="259">
        <f>'数据-汇总表'!E14</f>
        <v>0</v>
      </c>
      <c r="F64" s="1100">
        <f t="shared" si="15"/>
        <v>0</v>
      </c>
      <c r="G64" s="2707" t="s">
        <v>2765</v>
      </c>
      <c r="H64" s="1101">
        <f>项目基本情况!B37</f>
        <v>0</v>
      </c>
      <c r="I64" s="1105">
        <f>SUMIF(修正!A45:A56,H64,修正!H45:H56)</f>
        <v>0</v>
      </c>
      <c r="J64" s="1109"/>
      <c r="K64" s="1142"/>
      <c r="L64" s="938"/>
      <c r="M64" s="938"/>
      <c r="N64" s="938"/>
      <c r="O64" s="938"/>
    </row>
    <row r="65" spans="1:17" s="690" customFormat="1" ht="15" thickBot="1">
      <c r="A65" s="691" t="s">
        <v>2776</v>
      </c>
      <c r="B65" s="260">
        <f t="shared" si="17"/>
        <v>0</v>
      </c>
      <c r="C65" s="198">
        <f t="shared" si="16"/>
        <v>0</v>
      </c>
      <c r="D65" s="1161">
        <v>0.25</v>
      </c>
      <c r="E65" s="259">
        <f>'数据-汇总表'!E15</f>
        <v>0</v>
      </c>
      <c r="F65" s="1100">
        <f t="shared" si="15"/>
        <v>0</v>
      </c>
      <c r="G65" s="2708" t="s">
        <v>2770</v>
      </c>
      <c r="H65" s="1111">
        <f>项目基本情况!C37</f>
        <v>0</v>
      </c>
      <c r="I65" s="1107">
        <f>SUMIF(修正!A45:A56,H65,修正!H45:H56)</f>
        <v>0</v>
      </c>
      <c r="J65" s="1110"/>
      <c r="K65" s="1141"/>
      <c r="L65" s="938"/>
      <c r="M65" s="938"/>
      <c r="N65" s="938"/>
      <c r="O65" s="938"/>
    </row>
    <row r="66" spans="1:17" s="690" customFormat="1" ht="13.5" thickBot="1">
      <c r="A66" s="693" t="s">
        <v>2777</v>
      </c>
      <c r="B66" s="694" t="s">
        <v>28</v>
      </c>
      <c r="C66" s="694" t="s">
        <v>29</v>
      </c>
      <c r="D66" s="694" t="s">
        <v>1025</v>
      </c>
      <c r="E66" s="694">
        <f>IF(B46="楼面地价",SUM(E56:E65),'数据-汇总表'!D3)</f>
        <v>166374.91</v>
      </c>
      <c r="F66" s="695">
        <f>IF(B46="楼面地价",SUM(F56:F65),ROUND(C48*E66/10000,0))</f>
        <v>43490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2020-3-1</v>
      </c>
      <c r="D68" s="758">
        <f>EDATE(C68,-3)</f>
        <v>43800</v>
      </c>
      <c r="E68" s="758">
        <f>EDATE(D68,-3)</f>
        <v>43709</v>
      </c>
      <c r="F68" s="758">
        <f t="shared" ref="F68:O68" si="18">EDATE(E68,-3)</f>
        <v>43617</v>
      </c>
      <c r="G68" s="758">
        <f t="shared" si="18"/>
        <v>43525</v>
      </c>
      <c r="H68" s="758">
        <f t="shared" si="18"/>
        <v>43435</v>
      </c>
      <c r="I68" s="758">
        <f t="shared" si="18"/>
        <v>43344</v>
      </c>
      <c r="J68" s="758">
        <f t="shared" si="18"/>
        <v>43252</v>
      </c>
      <c r="K68" s="758">
        <f t="shared" si="18"/>
        <v>43160</v>
      </c>
      <c r="L68" s="758">
        <f t="shared" si="18"/>
        <v>43070</v>
      </c>
      <c r="M68" s="758">
        <f t="shared" si="18"/>
        <v>42979</v>
      </c>
      <c r="N68" s="758">
        <f t="shared" si="18"/>
        <v>42887</v>
      </c>
      <c r="O68" s="758">
        <f t="shared" si="18"/>
        <v>42795</v>
      </c>
    </row>
    <row r="69" spans="1:17" ht="21.75" thickBot="1">
      <c r="A69" s="760" t="s">
        <v>2670</v>
      </c>
      <c r="B69" s="756"/>
      <c r="C69" s="761"/>
      <c r="D69" s="761"/>
      <c r="E69" s="761"/>
      <c r="F69" s="762"/>
      <c r="G69" s="762"/>
      <c r="H69" s="761"/>
      <c r="I69" s="761"/>
      <c r="J69" s="1156"/>
      <c r="K69" s="1157"/>
      <c r="L69" s="1158"/>
      <c r="M69" s="1156"/>
      <c r="N69" s="1156"/>
      <c r="O69" s="1156"/>
      <c r="P69" s="501"/>
      <c r="Q69" s="502"/>
    </row>
    <row r="70" spans="1:17" s="506" customFormat="1" ht="15">
      <c r="A70" s="2709" t="s">
        <v>2778</v>
      </c>
      <c r="B70" s="1356"/>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5"/>
    </row>
    <row r="71" spans="1:17" s="117" customFormat="1" ht="30" customHeight="1">
      <c r="A71" s="2710" t="s">
        <v>1372</v>
      </c>
      <c r="B71" s="330" t="str">
        <f>"北京市平均增长率"&amp;TEXT(SUMIF(基准地价修正!N21:N25,A71,基准地价修正!P21:P25),"0.00%")</f>
        <v>北京市平均增长率1.35%</v>
      </c>
      <c r="C71" s="601">
        <v>100</v>
      </c>
      <c r="D71" s="593">
        <f>C71-$C$72</f>
        <v>99.5</v>
      </c>
      <c r="E71" s="593">
        <f t="shared" ref="E71:O71" si="20">D71-$C$72</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593">
        <f t="shared" si="20"/>
        <v>94</v>
      </c>
      <c r="P71" s="502"/>
    </row>
    <row r="72" spans="1:17" s="117" customFormat="1" ht="15.75" thickBot="1">
      <c r="A72" s="513" t="s">
        <v>2581</v>
      </c>
      <c r="B72" s="514"/>
      <c r="C72" s="515">
        <v>0.5</v>
      </c>
      <c r="D72" s="516"/>
      <c r="E72" s="516"/>
      <c r="F72" s="516"/>
      <c r="G72" s="516"/>
      <c r="H72" s="516"/>
      <c r="I72" s="516"/>
      <c r="J72" s="516"/>
      <c r="K72" s="516"/>
      <c r="L72" s="516"/>
      <c r="M72" s="517"/>
      <c r="N72" s="516"/>
      <c r="O72" s="1159"/>
      <c r="P72" s="502"/>
      <c r="Q72" s="502"/>
    </row>
    <row r="73" spans="1:17" s="117" customFormat="1" ht="15">
      <c r="A73" s="519" t="s">
        <v>2546</v>
      </c>
      <c r="B73" s="508"/>
      <c r="C73" s="520" t="s">
        <v>2648</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2584</v>
      </c>
      <c r="B75" s="526" t="s">
        <v>2550</v>
      </c>
      <c r="C75" s="528"/>
      <c r="D75" s="528" t="str">
        <f>'土地案例（汇川区&amp;红花岗区）'!H17</f>
        <v>其他商服用地</v>
      </c>
      <c r="E75" s="528"/>
      <c r="F75" s="528"/>
      <c r="G75" s="528"/>
      <c r="H75" s="528"/>
      <c r="I75" s="528"/>
      <c r="J75" s="528"/>
      <c r="K75" s="529"/>
      <c r="L75" s="530"/>
      <c r="M75" s="531"/>
      <c r="N75" s="1149"/>
      <c r="O75" s="1149"/>
      <c r="P75" s="45"/>
      <c r="Q75" s="502"/>
    </row>
    <row r="76" spans="1:17" ht="15.75" thickBot="1">
      <c r="A76" s="532"/>
      <c r="B76" s="533"/>
      <c r="C76" s="534"/>
      <c r="D76" s="534">
        <v>100</v>
      </c>
      <c r="E76" s="534"/>
      <c r="F76" s="534"/>
      <c r="G76" s="534"/>
      <c r="H76" s="534"/>
      <c r="I76" s="534"/>
      <c r="J76" s="534"/>
      <c r="K76" s="534"/>
      <c r="L76" s="534"/>
      <c r="M76" s="535"/>
      <c r="N76" s="1150"/>
      <c r="O76" s="1150"/>
      <c r="P76" s="45"/>
      <c r="Q76" s="502"/>
    </row>
    <row r="77" spans="1:17" ht="27.75" thickTop="1">
      <c r="A77" s="532"/>
      <c r="B77" s="536" t="s">
        <v>2553</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2554</v>
      </c>
      <c r="C79" s="545" t="str">
        <f>C80&amp;"（含）"&amp;"-"&amp;D80</f>
        <v>0（含）-0.5</v>
      </c>
      <c r="D79" s="545" t="str">
        <f t="shared" ref="D79:L79" si="21">D80&amp;"（含）"&amp;"-"&amp;E80</f>
        <v>0.5（含）-1</v>
      </c>
      <c r="E79" s="545" t="str">
        <f t="shared" si="21"/>
        <v>1（含）-1,5</v>
      </c>
      <c r="F79" s="545" t="str">
        <f t="shared" si="21"/>
        <v>1,5（含）-</v>
      </c>
      <c r="G79" s="545" t="str">
        <f t="shared" si="21"/>
        <v>（含）-</v>
      </c>
      <c r="H79" s="545" t="str">
        <f t="shared" si="21"/>
        <v>（含）-</v>
      </c>
      <c r="I79" s="545" t="str">
        <f t="shared" si="21"/>
        <v>（含）-</v>
      </c>
      <c r="J79" s="545" t="str">
        <f t="shared" si="21"/>
        <v>（含）-</v>
      </c>
      <c r="K79" s="545" t="str">
        <f t="shared" si="21"/>
        <v>（含）-</v>
      </c>
      <c r="L79" s="545" t="str">
        <f t="shared" si="21"/>
        <v>（含）-</v>
      </c>
      <c r="M79" s="446" t="str">
        <f>M80&amp;"（含）"&amp;"-"&amp;P80</f>
        <v>（含）-</v>
      </c>
      <c r="N79" s="1150"/>
      <c r="O79" s="1150"/>
      <c r="P79" s="45"/>
      <c r="Q79" s="502"/>
    </row>
    <row r="80" spans="1:17" ht="15">
      <c r="A80" s="532"/>
      <c r="B80" s="546"/>
      <c r="C80" s="547">
        <v>0</v>
      </c>
      <c r="D80" s="547">
        <v>0.5</v>
      </c>
      <c r="E80" s="547">
        <v>1</v>
      </c>
      <c r="F80" s="547" t="s">
        <v>3535</v>
      </c>
      <c r="G80" s="547"/>
      <c r="H80" s="547"/>
      <c r="I80" s="547"/>
      <c r="J80" s="547"/>
      <c r="K80" s="548"/>
      <c r="L80" s="549"/>
      <c r="M80" s="550"/>
      <c r="N80" s="1149"/>
      <c r="O80" s="1149"/>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0</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0</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2779</v>
      </c>
      <c r="C90" s="576" t="s">
        <v>2593</v>
      </c>
      <c r="D90" s="576" t="s">
        <v>2594</v>
      </c>
      <c r="E90" s="576" t="s">
        <v>2595</v>
      </c>
      <c r="F90" s="576" t="s">
        <v>2596</v>
      </c>
      <c r="G90" s="576" t="s">
        <v>2597</v>
      </c>
      <c r="H90" s="537"/>
      <c r="I90" s="537"/>
      <c r="J90" s="537"/>
      <c r="K90" s="538"/>
      <c r="L90" s="539"/>
      <c r="M90" s="540"/>
      <c r="N90" s="1149"/>
      <c r="O90" s="1149"/>
      <c r="P90" s="45"/>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50"/>
      <c r="O91" s="1150"/>
      <c r="P91" s="45"/>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49"/>
      <c r="O92" s="1149"/>
      <c r="P92" s="45"/>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50"/>
      <c r="O93" s="1150"/>
      <c r="P93" s="45"/>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7" customFormat="1" ht="15.75" thickTop="1">
      <c r="A96" s="577"/>
      <c r="B96" s="536" t="s">
        <v>2780</v>
      </c>
      <c r="C96" s="576" t="s">
        <v>2593</v>
      </c>
      <c r="D96" s="576" t="s">
        <v>2594</v>
      </c>
      <c r="E96" s="576" t="s">
        <v>2595</v>
      </c>
      <c r="F96" s="576" t="s">
        <v>2596</v>
      </c>
      <c r="G96" s="576" t="s">
        <v>2597</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2781</v>
      </c>
      <c r="C98" s="571" t="s">
        <v>2593</v>
      </c>
      <c r="D98" s="571" t="s">
        <v>2594</v>
      </c>
      <c r="E98" s="571" t="s">
        <v>2595</v>
      </c>
      <c r="F98" s="571" t="s">
        <v>2596</v>
      </c>
      <c r="G98" s="571" t="s">
        <v>2597</v>
      </c>
      <c r="H98" s="576"/>
      <c r="I98" s="576"/>
      <c r="J98" s="576"/>
      <c r="K98" s="576"/>
      <c r="L98" s="576"/>
      <c r="M98" s="620"/>
      <c r="N98" s="1148"/>
      <c r="O98" s="1148"/>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51"/>
      <c r="O100" s="1151"/>
      <c r="P100" s="556"/>
      <c r="Q100" s="557"/>
    </row>
    <row r="101" spans="1:17" s="469" customFormat="1" ht="15.75" thickBot="1">
      <c r="A101" s="551"/>
      <c r="B101" s="541"/>
      <c r="C101" s="542">
        <v>100</v>
      </c>
      <c r="D101" s="542">
        <f>C101-$K27</f>
        <v>95</v>
      </c>
      <c r="E101" s="542">
        <f>D101-$K27</f>
        <v>90</v>
      </c>
      <c r="F101" s="542">
        <f>E101-$K27</f>
        <v>85</v>
      </c>
      <c r="G101" s="542">
        <f>F101-$K27</f>
        <v>80</v>
      </c>
      <c r="H101" s="605"/>
      <c r="I101" s="605"/>
      <c r="J101" s="605"/>
      <c r="K101" s="605"/>
      <c r="L101" s="605"/>
      <c r="M101" s="606"/>
      <c r="N101" s="1151"/>
      <c r="O101" s="1151"/>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2782</v>
      </c>
      <c r="D104" s="537" t="s">
        <v>2783</v>
      </c>
      <c r="E104" s="537" t="s">
        <v>2784</v>
      </c>
      <c r="F104" s="537" t="s">
        <v>2785</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50"/>
      <c r="O105" s="1150"/>
      <c r="P105" s="45"/>
      <c r="Q105" s="502"/>
    </row>
    <row r="106" spans="1:17" ht="27.75" thickTop="1">
      <c r="A106" s="532"/>
      <c r="B106" s="536" t="s">
        <v>2687</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4">D107-$K32</f>
        <v>100</v>
      </c>
      <c r="F107" s="542">
        <f t="shared" si="24"/>
        <v>100</v>
      </c>
      <c r="G107" s="542">
        <f t="shared" si="24"/>
        <v>100</v>
      </c>
      <c r="H107" s="542">
        <f t="shared" si="24"/>
        <v>100</v>
      </c>
      <c r="I107" s="542">
        <f t="shared" si="24"/>
        <v>100</v>
      </c>
      <c r="J107" s="542">
        <f t="shared" si="24"/>
        <v>100</v>
      </c>
      <c r="K107" s="542">
        <f t="shared" si="24"/>
        <v>100</v>
      </c>
      <c r="L107" s="542">
        <f t="shared" si="24"/>
        <v>100</v>
      </c>
      <c r="M107" s="542">
        <f t="shared" si="24"/>
        <v>100</v>
      </c>
      <c r="N107" s="1150"/>
      <c r="O107" s="1150"/>
      <c r="P107" s="45"/>
      <c r="Q107" s="502"/>
    </row>
    <row r="108" spans="1:17" ht="15.75" thickTop="1">
      <c r="A108" s="532"/>
      <c r="B108" s="536" t="s">
        <v>2746</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0"/>
      <c r="O109" s="1150"/>
      <c r="P109" s="45"/>
      <c r="Q109" s="502"/>
    </row>
    <row r="110" spans="1:17" ht="15.75" thickTop="1">
      <c r="A110" s="532"/>
      <c r="B110" s="544">
        <f>B35</f>
        <v>0</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0</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0</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2559</v>
      </c>
      <c r="B116" s="526" t="s">
        <v>2786</v>
      </c>
      <c r="C116" s="527" t="str">
        <f>C117&amp;"(含)"&amp;"-"&amp;D117</f>
        <v>0(含)-50000</v>
      </c>
      <c r="D116" s="527" t="str">
        <f t="shared" ref="D116:M116" si="26">D117&amp;"(含)"&amp;"-"&amp;E117</f>
        <v>50000(含)-150000</v>
      </c>
      <c r="E116" s="527" t="str">
        <f t="shared" si="26"/>
        <v>150000(含)-</v>
      </c>
      <c r="F116" s="527" t="str">
        <f t="shared" si="26"/>
        <v>(含)-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9"/>
      <c r="O116" s="1149"/>
      <c r="P116" s="45"/>
      <c r="Q116" s="502"/>
    </row>
    <row r="117" spans="1:17" ht="15">
      <c r="A117" s="532"/>
      <c r="B117" s="544"/>
      <c r="C117" s="593">
        <v>0</v>
      </c>
      <c r="D117" s="593">
        <v>50000</v>
      </c>
      <c r="E117" s="593">
        <v>150000</v>
      </c>
      <c r="F117" s="593"/>
      <c r="G117" s="593"/>
      <c r="H117" s="593"/>
      <c r="I117" s="593"/>
      <c r="J117" s="594"/>
      <c r="K117" s="594"/>
      <c r="L117" s="595"/>
      <c r="M117" s="596"/>
      <c r="N117" s="1149"/>
      <c r="O117" s="1149"/>
      <c r="P117" s="45"/>
      <c r="Q117" s="502"/>
    </row>
    <row r="118" spans="1:17" ht="15.75" thickBot="1">
      <c r="A118" s="532"/>
      <c r="B118" s="541"/>
      <c r="C118" s="568">
        <v>100</v>
      </c>
      <c r="D118" s="589">
        <v>101</v>
      </c>
      <c r="E118" s="589">
        <v>102</v>
      </c>
      <c r="F118" s="589"/>
      <c r="G118" s="589"/>
      <c r="H118" s="589"/>
      <c r="I118" s="589"/>
      <c r="J118" s="589"/>
      <c r="K118" s="589"/>
      <c r="L118" s="589"/>
      <c r="M118" s="590"/>
      <c r="N118" s="1150"/>
      <c r="O118" s="1150"/>
      <c r="P118" s="45"/>
      <c r="Q118" s="502"/>
    </row>
    <row r="119" spans="1:17" ht="15" thickTop="1">
      <c r="A119" s="597"/>
      <c r="B119" s="536" t="s">
        <v>2787</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7">C120-$K39</f>
        <v>100</v>
      </c>
      <c r="E120" s="542">
        <f t="shared" si="27"/>
        <v>100</v>
      </c>
      <c r="F120" s="542">
        <f t="shared" si="27"/>
        <v>100</v>
      </c>
      <c r="G120" s="542">
        <f t="shared" si="27"/>
        <v>100</v>
      </c>
      <c r="H120" s="542">
        <f t="shared" si="27"/>
        <v>100</v>
      </c>
      <c r="I120" s="542">
        <f t="shared" si="27"/>
        <v>100</v>
      </c>
      <c r="J120" s="542">
        <f t="shared" si="27"/>
        <v>100</v>
      </c>
      <c r="K120" s="542">
        <f t="shared" si="27"/>
        <v>100</v>
      </c>
      <c r="L120" s="542">
        <f t="shared" si="27"/>
        <v>100</v>
      </c>
      <c r="M120" s="543">
        <f t="shared" si="27"/>
        <v>100</v>
      </c>
      <c r="N120" s="1150"/>
      <c r="O120" s="1150"/>
      <c r="P120" s="45"/>
      <c r="Q120" s="502"/>
    </row>
    <row r="121" spans="1:17" ht="15" thickTop="1">
      <c r="A121" s="597"/>
      <c r="B121" s="536" t="s">
        <v>2788</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50"/>
      <c r="O122" s="1150"/>
      <c r="P122" s="45"/>
      <c r="Q122" s="502"/>
    </row>
    <row r="123" spans="1:17" s="469" customFormat="1" ht="15" thickTop="1">
      <c r="A123" s="591"/>
      <c r="B123" s="536" t="s">
        <v>2789</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9">D124-$K41</f>
        <v>100</v>
      </c>
      <c r="F124" s="542">
        <f t="shared" si="29"/>
        <v>100</v>
      </c>
      <c r="G124" s="542">
        <f t="shared" si="29"/>
        <v>100</v>
      </c>
      <c r="H124" s="542">
        <f t="shared" si="29"/>
        <v>100</v>
      </c>
      <c r="I124" s="542">
        <f t="shared" si="29"/>
        <v>100</v>
      </c>
      <c r="J124" s="542">
        <f t="shared" si="29"/>
        <v>100</v>
      </c>
      <c r="K124" s="542">
        <f t="shared" si="29"/>
        <v>100</v>
      </c>
      <c r="L124" s="542">
        <f t="shared" si="29"/>
        <v>100</v>
      </c>
      <c r="M124" s="543">
        <f t="shared" si="29"/>
        <v>100</v>
      </c>
      <c r="N124" s="1151"/>
      <c r="O124" s="1151"/>
      <c r="P124" s="556"/>
      <c r="Q124" s="557"/>
    </row>
    <row r="125" spans="1:17" ht="15" thickTop="1">
      <c r="A125" s="597"/>
      <c r="B125" s="536" t="s">
        <v>2790</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30">C126-$K42</f>
        <v>100</v>
      </c>
      <c r="E126" s="542">
        <f t="shared" si="30"/>
        <v>100</v>
      </c>
      <c r="F126" s="542">
        <f t="shared" si="30"/>
        <v>100</v>
      </c>
      <c r="G126" s="542">
        <f t="shared" si="30"/>
        <v>100</v>
      </c>
      <c r="H126" s="542">
        <f t="shared" si="30"/>
        <v>100</v>
      </c>
      <c r="I126" s="542">
        <f t="shared" si="30"/>
        <v>100</v>
      </c>
      <c r="J126" s="542">
        <f t="shared" si="30"/>
        <v>100</v>
      </c>
      <c r="K126" s="542">
        <f t="shared" si="30"/>
        <v>100</v>
      </c>
      <c r="L126" s="542">
        <f t="shared" si="30"/>
        <v>100</v>
      </c>
      <c r="M126" s="543">
        <f t="shared" si="30"/>
        <v>100</v>
      </c>
      <c r="N126" s="1150"/>
      <c r="O126" s="1150"/>
      <c r="P126" s="45"/>
      <c r="Q126" s="502"/>
    </row>
    <row r="127" spans="1:17" ht="15" thickTop="1">
      <c r="A127" s="597"/>
      <c r="B127" s="536">
        <f>B43</f>
        <v>0</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0</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0</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topLeftCell="N1" workbookViewId="0">
      <selection activeCell="T27" sqref="T27"/>
    </sheetView>
  </sheetViews>
  <sheetFormatPr defaultColWidth="11" defaultRowHeight="13.5"/>
  <cols>
    <col min="1" max="1" width="43" style="1631" customWidth="1"/>
    <col min="2" max="2" width="7.125" style="1631" hidden="1" customWidth="1"/>
    <col min="3" max="3" width="13.375" style="1631" hidden="1" customWidth="1"/>
    <col min="4" max="4" width="5.125" style="1631" hidden="1" customWidth="1"/>
    <col min="5" max="5" width="43" style="1631" hidden="1" customWidth="1"/>
    <col min="6" max="6" width="9" style="1631" hidden="1" customWidth="1"/>
    <col min="7" max="7" width="13" style="1631" customWidth="1"/>
    <col min="8" max="8" width="19.625" style="1631" customWidth="1"/>
    <col min="9" max="10" width="15.875" style="1631" customWidth="1"/>
    <col min="11" max="11" width="13.375" style="1631" customWidth="1"/>
    <col min="12" max="12" width="10.125" style="1631" customWidth="1"/>
    <col min="13" max="13" width="32.5" style="1631" customWidth="1"/>
    <col min="14" max="14" width="37.375" style="1631" customWidth="1"/>
    <col min="15" max="15" width="12.125" style="1631" customWidth="1"/>
    <col min="16" max="16" width="18.125" style="1631" customWidth="1"/>
    <col min="17" max="17" width="16.375" style="1631" customWidth="1"/>
    <col min="18" max="18" width="7.125" style="1631" customWidth="1"/>
    <col min="19" max="20" width="9" style="1631" customWidth="1"/>
    <col min="21" max="256" width="8.875" style="1631" customWidth="1"/>
    <col min="257" max="257" width="43" style="1631" customWidth="1"/>
    <col min="258" max="258" width="7.125" style="1631" customWidth="1"/>
    <col min="259" max="259" width="13.375" style="1631" customWidth="1"/>
    <col min="260" max="260" width="5.125" style="1631" customWidth="1"/>
    <col min="261" max="261" width="43" style="1631" customWidth="1"/>
    <col min="262" max="262" width="9" style="1631" customWidth="1"/>
    <col min="263" max="263" width="13" style="1631" customWidth="1"/>
    <col min="264" max="264" width="19.625" style="1631" customWidth="1"/>
    <col min="265" max="266" width="15.875" style="1631" customWidth="1"/>
    <col min="267" max="267" width="13.375" style="1631" customWidth="1"/>
    <col min="268" max="268" width="10.125" style="1631" customWidth="1"/>
    <col min="269" max="269" width="32.5" style="1631" customWidth="1"/>
    <col min="270" max="270" width="37.375" style="1631" customWidth="1"/>
    <col min="271" max="271" width="12.125" style="1631" customWidth="1"/>
    <col min="272" max="272" width="18.125" style="1631" customWidth="1"/>
    <col min="273" max="273" width="16.375" style="1631" customWidth="1"/>
    <col min="274" max="274" width="7.125" style="1631" customWidth="1"/>
    <col min="275" max="276" width="9" style="1631" customWidth="1"/>
    <col min="277" max="512" width="8.875" style="1631" customWidth="1"/>
    <col min="513" max="513" width="43" style="1631" customWidth="1"/>
    <col min="514" max="514" width="7.125" style="1631" customWidth="1"/>
    <col min="515" max="515" width="13.375" style="1631" customWidth="1"/>
    <col min="516" max="516" width="5.125" style="1631" customWidth="1"/>
    <col min="517" max="517" width="43" style="1631" customWidth="1"/>
    <col min="518" max="518" width="9" style="1631" customWidth="1"/>
    <col min="519" max="519" width="13" style="1631" customWidth="1"/>
    <col min="520" max="520" width="19.625" style="1631" customWidth="1"/>
    <col min="521" max="522" width="15.875" style="1631" customWidth="1"/>
    <col min="523" max="523" width="13.375" style="1631" customWidth="1"/>
    <col min="524" max="524" width="10.125" style="1631" customWidth="1"/>
    <col min="525" max="525" width="32.5" style="1631" customWidth="1"/>
    <col min="526" max="526" width="37.375" style="1631" customWidth="1"/>
    <col min="527" max="527" width="12.125" style="1631" customWidth="1"/>
    <col min="528" max="528" width="18.125" style="1631" customWidth="1"/>
    <col min="529" max="529" width="16.375" style="1631" customWidth="1"/>
    <col min="530" max="530" width="7.125" style="1631" customWidth="1"/>
    <col min="531" max="532" width="9" style="1631" customWidth="1"/>
    <col min="533" max="768" width="8.875" style="1631" customWidth="1"/>
    <col min="769" max="769" width="43" style="1631" customWidth="1"/>
    <col min="770" max="770" width="7.125" style="1631" customWidth="1"/>
    <col min="771" max="771" width="13.375" style="1631" customWidth="1"/>
    <col min="772" max="772" width="5.125" style="1631" customWidth="1"/>
    <col min="773" max="773" width="43" style="1631" customWidth="1"/>
    <col min="774" max="774" width="9" style="1631" customWidth="1"/>
    <col min="775" max="775" width="13" style="1631" customWidth="1"/>
    <col min="776" max="776" width="19.625" style="1631" customWidth="1"/>
    <col min="777" max="778" width="15.875" style="1631" customWidth="1"/>
    <col min="779" max="779" width="13.375" style="1631" customWidth="1"/>
    <col min="780" max="780" width="10.125" style="1631" customWidth="1"/>
    <col min="781" max="781" width="32.5" style="1631" customWidth="1"/>
    <col min="782" max="782" width="37.375" style="1631" customWidth="1"/>
    <col min="783" max="783" width="12.125" style="1631" customWidth="1"/>
    <col min="784" max="784" width="18.125" style="1631" customWidth="1"/>
    <col min="785" max="785" width="16.375" style="1631" customWidth="1"/>
    <col min="786" max="786" width="7.125" style="1631" customWidth="1"/>
    <col min="787" max="788" width="9" style="1631" customWidth="1"/>
    <col min="789" max="1024" width="8.875" style="1631" customWidth="1"/>
    <col min="1025" max="1025" width="43" style="1631" customWidth="1"/>
    <col min="1026" max="1026" width="7.125" style="1631" customWidth="1"/>
    <col min="1027" max="1027" width="13.375" style="1631" customWidth="1"/>
    <col min="1028" max="1028" width="5.125" style="1631" customWidth="1"/>
    <col min="1029" max="1029" width="43" style="1631" customWidth="1"/>
    <col min="1030" max="1030" width="9" style="1631" customWidth="1"/>
    <col min="1031" max="1031" width="13" style="1631" customWidth="1"/>
    <col min="1032" max="1032" width="19.625" style="1631" customWidth="1"/>
    <col min="1033" max="1034" width="15.875" style="1631" customWidth="1"/>
    <col min="1035" max="1035" width="13.375" style="1631" customWidth="1"/>
    <col min="1036" max="1036" width="10.125" style="1631" customWidth="1"/>
    <col min="1037" max="1037" width="32.5" style="1631" customWidth="1"/>
    <col min="1038" max="1038" width="37.375" style="1631" customWidth="1"/>
    <col min="1039" max="1039" width="12.125" style="1631" customWidth="1"/>
    <col min="1040" max="1040" width="18.125" style="1631" customWidth="1"/>
    <col min="1041" max="1041" width="16.375" style="1631" customWidth="1"/>
    <col min="1042" max="1042" width="7.125" style="1631" customWidth="1"/>
    <col min="1043" max="1044" width="9" style="1631" customWidth="1"/>
    <col min="1045" max="1280" width="8.875" style="1631" customWidth="1"/>
    <col min="1281" max="1281" width="43" style="1631" customWidth="1"/>
    <col min="1282" max="1282" width="7.125" style="1631" customWidth="1"/>
    <col min="1283" max="1283" width="13.375" style="1631" customWidth="1"/>
    <col min="1284" max="1284" width="5.125" style="1631" customWidth="1"/>
    <col min="1285" max="1285" width="43" style="1631" customWidth="1"/>
    <col min="1286" max="1286" width="9" style="1631" customWidth="1"/>
    <col min="1287" max="1287" width="13" style="1631" customWidth="1"/>
    <col min="1288" max="1288" width="19.625" style="1631" customWidth="1"/>
    <col min="1289" max="1290" width="15.875" style="1631" customWidth="1"/>
    <col min="1291" max="1291" width="13.375" style="1631" customWidth="1"/>
    <col min="1292" max="1292" width="10.125" style="1631" customWidth="1"/>
    <col min="1293" max="1293" width="32.5" style="1631" customWidth="1"/>
    <col min="1294" max="1294" width="37.375" style="1631" customWidth="1"/>
    <col min="1295" max="1295" width="12.125" style="1631" customWidth="1"/>
    <col min="1296" max="1296" width="18.125" style="1631" customWidth="1"/>
    <col min="1297" max="1297" width="16.375" style="1631" customWidth="1"/>
    <col min="1298" max="1298" width="7.125" style="1631" customWidth="1"/>
    <col min="1299" max="1300" width="9" style="1631" customWidth="1"/>
    <col min="1301" max="1536" width="8.875" style="1631" customWidth="1"/>
    <col min="1537" max="1537" width="43" style="1631" customWidth="1"/>
    <col min="1538" max="1538" width="7.125" style="1631" customWidth="1"/>
    <col min="1539" max="1539" width="13.375" style="1631" customWidth="1"/>
    <col min="1540" max="1540" width="5.125" style="1631" customWidth="1"/>
    <col min="1541" max="1541" width="43" style="1631" customWidth="1"/>
    <col min="1542" max="1542" width="9" style="1631" customWidth="1"/>
    <col min="1543" max="1543" width="13" style="1631" customWidth="1"/>
    <col min="1544" max="1544" width="19.625" style="1631" customWidth="1"/>
    <col min="1545" max="1546" width="15.875" style="1631" customWidth="1"/>
    <col min="1547" max="1547" width="13.375" style="1631" customWidth="1"/>
    <col min="1548" max="1548" width="10.125" style="1631" customWidth="1"/>
    <col min="1549" max="1549" width="32.5" style="1631" customWidth="1"/>
    <col min="1550" max="1550" width="37.375" style="1631" customWidth="1"/>
    <col min="1551" max="1551" width="12.125" style="1631" customWidth="1"/>
    <col min="1552" max="1552" width="18.125" style="1631" customWidth="1"/>
    <col min="1553" max="1553" width="16.375" style="1631" customWidth="1"/>
    <col min="1554" max="1554" width="7.125" style="1631" customWidth="1"/>
    <col min="1555" max="1556" width="9" style="1631" customWidth="1"/>
    <col min="1557" max="1792" width="8.875" style="1631" customWidth="1"/>
    <col min="1793" max="1793" width="43" style="1631" customWidth="1"/>
    <col min="1794" max="1794" width="7.125" style="1631" customWidth="1"/>
    <col min="1795" max="1795" width="13.375" style="1631" customWidth="1"/>
    <col min="1796" max="1796" width="5.125" style="1631" customWidth="1"/>
    <col min="1797" max="1797" width="43" style="1631" customWidth="1"/>
    <col min="1798" max="1798" width="9" style="1631" customWidth="1"/>
    <col min="1799" max="1799" width="13" style="1631" customWidth="1"/>
    <col min="1800" max="1800" width="19.625" style="1631" customWidth="1"/>
    <col min="1801" max="1802" width="15.875" style="1631" customWidth="1"/>
    <col min="1803" max="1803" width="13.375" style="1631" customWidth="1"/>
    <col min="1804" max="1804" width="10.125" style="1631" customWidth="1"/>
    <col min="1805" max="1805" width="32.5" style="1631" customWidth="1"/>
    <col min="1806" max="1806" width="37.375" style="1631" customWidth="1"/>
    <col min="1807" max="1807" width="12.125" style="1631" customWidth="1"/>
    <col min="1808" max="1808" width="18.125" style="1631" customWidth="1"/>
    <col min="1809" max="1809" width="16.375" style="1631" customWidth="1"/>
    <col min="1810" max="1810" width="7.125" style="1631" customWidth="1"/>
    <col min="1811" max="1812" width="9" style="1631" customWidth="1"/>
    <col min="1813" max="2048" width="8.875" style="1631" customWidth="1"/>
    <col min="2049" max="2049" width="43" style="1631" customWidth="1"/>
    <col min="2050" max="2050" width="7.125" style="1631" customWidth="1"/>
    <col min="2051" max="2051" width="13.375" style="1631" customWidth="1"/>
    <col min="2052" max="2052" width="5.125" style="1631" customWidth="1"/>
    <col min="2053" max="2053" width="43" style="1631" customWidth="1"/>
    <col min="2054" max="2054" width="9" style="1631" customWidth="1"/>
    <col min="2055" max="2055" width="13" style="1631" customWidth="1"/>
    <col min="2056" max="2056" width="19.625" style="1631" customWidth="1"/>
    <col min="2057" max="2058" width="15.875" style="1631" customWidth="1"/>
    <col min="2059" max="2059" width="13.375" style="1631" customWidth="1"/>
    <col min="2060" max="2060" width="10.125" style="1631" customWidth="1"/>
    <col min="2061" max="2061" width="32.5" style="1631" customWidth="1"/>
    <col min="2062" max="2062" width="37.375" style="1631" customWidth="1"/>
    <col min="2063" max="2063" width="12.125" style="1631" customWidth="1"/>
    <col min="2064" max="2064" width="18.125" style="1631" customWidth="1"/>
    <col min="2065" max="2065" width="16.375" style="1631" customWidth="1"/>
    <col min="2066" max="2066" width="7.125" style="1631" customWidth="1"/>
    <col min="2067" max="2068" width="9" style="1631" customWidth="1"/>
    <col min="2069" max="2304" width="8.875" style="1631" customWidth="1"/>
    <col min="2305" max="2305" width="43" style="1631" customWidth="1"/>
    <col min="2306" max="2306" width="7.125" style="1631" customWidth="1"/>
    <col min="2307" max="2307" width="13.375" style="1631" customWidth="1"/>
    <col min="2308" max="2308" width="5.125" style="1631" customWidth="1"/>
    <col min="2309" max="2309" width="43" style="1631" customWidth="1"/>
    <col min="2310" max="2310" width="9" style="1631" customWidth="1"/>
    <col min="2311" max="2311" width="13" style="1631" customWidth="1"/>
    <col min="2312" max="2312" width="19.625" style="1631" customWidth="1"/>
    <col min="2313" max="2314" width="15.875" style="1631" customWidth="1"/>
    <col min="2315" max="2315" width="13.375" style="1631" customWidth="1"/>
    <col min="2316" max="2316" width="10.125" style="1631" customWidth="1"/>
    <col min="2317" max="2317" width="32.5" style="1631" customWidth="1"/>
    <col min="2318" max="2318" width="37.375" style="1631" customWidth="1"/>
    <col min="2319" max="2319" width="12.125" style="1631" customWidth="1"/>
    <col min="2320" max="2320" width="18.125" style="1631" customWidth="1"/>
    <col min="2321" max="2321" width="16.375" style="1631" customWidth="1"/>
    <col min="2322" max="2322" width="7.125" style="1631" customWidth="1"/>
    <col min="2323" max="2324" width="9" style="1631" customWidth="1"/>
    <col min="2325" max="2560" width="8.875" style="1631" customWidth="1"/>
    <col min="2561" max="2561" width="43" style="1631" customWidth="1"/>
    <col min="2562" max="2562" width="7.125" style="1631" customWidth="1"/>
    <col min="2563" max="2563" width="13.375" style="1631" customWidth="1"/>
    <col min="2564" max="2564" width="5.125" style="1631" customWidth="1"/>
    <col min="2565" max="2565" width="43" style="1631" customWidth="1"/>
    <col min="2566" max="2566" width="9" style="1631" customWidth="1"/>
    <col min="2567" max="2567" width="13" style="1631" customWidth="1"/>
    <col min="2568" max="2568" width="19.625" style="1631" customWidth="1"/>
    <col min="2569" max="2570" width="15.875" style="1631" customWidth="1"/>
    <col min="2571" max="2571" width="13.375" style="1631" customWidth="1"/>
    <col min="2572" max="2572" width="10.125" style="1631" customWidth="1"/>
    <col min="2573" max="2573" width="32.5" style="1631" customWidth="1"/>
    <col min="2574" max="2574" width="37.375" style="1631" customWidth="1"/>
    <col min="2575" max="2575" width="12.125" style="1631" customWidth="1"/>
    <col min="2576" max="2576" width="18.125" style="1631" customWidth="1"/>
    <col min="2577" max="2577" width="16.375" style="1631" customWidth="1"/>
    <col min="2578" max="2578" width="7.125" style="1631" customWidth="1"/>
    <col min="2579" max="2580" width="9" style="1631" customWidth="1"/>
    <col min="2581" max="2816" width="8.875" style="1631" customWidth="1"/>
    <col min="2817" max="2817" width="43" style="1631" customWidth="1"/>
    <col min="2818" max="2818" width="7.125" style="1631" customWidth="1"/>
    <col min="2819" max="2819" width="13.375" style="1631" customWidth="1"/>
    <col min="2820" max="2820" width="5.125" style="1631" customWidth="1"/>
    <col min="2821" max="2821" width="43" style="1631" customWidth="1"/>
    <col min="2822" max="2822" width="9" style="1631" customWidth="1"/>
    <col min="2823" max="2823" width="13" style="1631" customWidth="1"/>
    <col min="2824" max="2824" width="19.625" style="1631" customWidth="1"/>
    <col min="2825" max="2826" width="15.875" style="1631" customWidth="1"/>
    <col min="2827" max="2827" width="13.375" style="1631" customWidth="1"/>
    <col min="2828" max="2828" width="10.125" style="1631" customWidth="1"/>
    <col min="2829" max="2829" width="32.5" style="1631" customWidth="1"/>
    <col min="2830" max="2830" width="37.375" style="1631" customWidth="1"/>
    <col min="2831" max="2831" width="12.125" style="1631" customWidth="1"/>
    <col min="2832" max="2832" width="18.125" style="1631" customWidth="1"/>
    <col min="2833" max="2833" width="16.375" style="1631" customWidth="1"/>
    <col min="2834" max="2834" width="7.125" style="1631" customWidth="1"/>
    <col min="2835" max="2836" width="9" style="1631" customWidth="1"/>
    <col min="2837" max="3072" width="8.875" style="1631" customWidth="1"/>
    <col min="3073" max="3073" width="43" style="1631" customWidth="1"/>
    <col min="3074" max="3074" width="7.125" style="1631" customWidth="1"/>
    <col min="3075" max="3075" width="13.375" style="1631" customWidth="1"/>
    <col min="3076" max="3076" width="5.125" style="1631" customWidth="1"/>
    <col min="3077" max="3077" width="43" style="1631" customWidth="1"/>
    <col min="3078" max="3078" width="9" style="1631" customWidth="1"/>
    <col min="3079" max="3079" width="13" style="1631" customWidth="1"/>
    <col min="3080" max="3080" width="19.625" style="1631" customWidth="1"/>
    <col min="3081" max="3082" width="15.875" style="1631" customWidth="1"/>
    <col min="3083" max="3083" width="13.375" style="1631" customWidth="1"/>
    <col min="3084" max="3084" width="10.125" style="1631" customWidth="1"/>
    <col min="3085" max="3085" width="32.5" style="1631" customWidth="1"/>
    <col min="3086" max="3086" width="37.375" style="1631" customWidth="1"/>
    <col min="3087" max="3087" width="12.125" style="1631" customWidth="1"/>
    <col min="3088" max="3088" width="18.125" style="1631" customWidth="1"/>
    <col min="3089" max="3089" width="16.375" style="1631" customWidth="1"/>
    <col min="3090" max="3090" width="7.125" style="1631" customWidth="1"/>
    <col min="3091" max="3092" width="9" style="1631" customWidth="1"/>
    <col min="3093" max="3328" width="8.875" style="1631" customWidth="1"/>
    <col min="3329" max="3329" width="43" style="1631" customWidth="1"/>
    <col min="3330" max="3330" width="7.125" style="1631" customWidth="1"/>
    <col min="3331" max="3331" width="13.375" style="1631" customWidth="1"/>
    <col min="3332" max="3332" width="5.125" style="1631" customWidth="1"/>
    <col min="3333" max="3333" width="43" style="1631" customWidth="1"/>
    <col min="3334" max="3334" width="9" style="1631" customWidth="1"/>
    <col min="3335" max="3335" width="13" style="1631" customWidth="1"/>
    <col min="3336" max="3336" width="19.625" style="1631" customWidth="1"/>
    <col min="3337" max="3338" width="15.875" style="1631" customWidth="1"/>
    <col min="3339" max="3339" width="13.375" style="1631" customWidth="1"/>
    <col min="3340" max="3340" width="10.125" style="1631" customWidth="1"/>
    <col min="3341" max="3341" width="32.5" style="1631" customWidth="1"/>
    <col min="3342" max="3342" width="37.375" style="1631" customWidth="1"/>
    <col min="3343" max="3343" width="12.125" style="1631" customWidth="1"/>
    <col min="3344" max="3344" width="18.125" style="1631" customWidth="1"/>
    <col min="3345" max="3345" width="16.375" style="1631" customWidth="1"/>
    <col min="3346" max="3346" width="7.125" style="1631" customWidth="1"/>
    <col min="3347" max="3348" width="9" style="1631" customWidth="1"/>
    <col min="3349" max="3584" width="8.875" style="1631" customWidth="1"/>
    <col min="3585" max="3585" width="43" style="1631" customWidth="1"/>
    <col min="3586" max="3586" width="7.125" style="1631" customWidth="1"/>
    <col min="3587" max="3587" width="13.375" style="1631" customWidth="1"/>
    <col min="3588" max="3588" width="5.125" style="1631" customWidth="1"/>
    <col min="3589" max="3589" width="43" style="1631" customWidth="1"/>
    <col min="3590" max="3590" width="9" style="1631" customWidth="1"/>
    <col min="3591" max="3591" width="13" style="1631" customWidth="1"/>
    <col min="3592" max="3592" width="19.625" style="1631" customWidth="1"/>
    <col min="3593" max="3594" width="15.875" style="1631" customWidth="1"/>
    <col min="3595" max="3595" width="13.375" style="1631" customWidth="1"/>
    <col min="3596" max="3596" width="10.125" style="1631" customWidth="1"/>
    <col min="3597" max="3597" width="32.5" style="1631" customWidth="1"/>
    <col min="3598" max="3598" width="37.375" style="1631" customWidth="1"/>
    <col min="3599" max="3599" width="12.125" style="1631" customWidth="1"/>
    <col min="3600" max="3600" width="18.125" style="1631" customWidth="1"/>
    <col min="3601" max="3601" width="16.375" style="1631" customWidth="1"/>
    <col min="3602" max="3602" width="7.125" style="1631" customWidth="1"/>
    <col min="3603" max="3604" width="9" style="1631" customWidth="1"/>
    <col min="3605" max="3840" width="8.875" style="1631" customWidth="1"/>
    <col min="3841" max="3841" width="43" style="1631" customWidth="1"/>
    <col min="3842" max="3842" width="7.125" style="1631" customWidth="1"/>
    <col min="3843" max="3843" width="13.375" style="1631" customWidth="1"/>
    <col min="3844" max="3844" width="5.125" style="1631" customWidth="1"/>
    <col min="3845" max="3845" width="43" style="1631" customWidth="1"/>
    <col min="3846" max="3846" width="9" style="1631" customWidth="1"/>
    <col min="3847" max="3847" width="13" style="1631" customWidth="1"/>
    <col min="3848" max="3848" width="19.625" style="1631" customWidth="1"/>
    <col min="3849" max="3850" width="15.875" style="1631" customWidth="1"/>
    <col min="3851" max="3851" width="13.375" style="1631" customWidth="1"/>
    <col min="3852" max="3852" width="10.125" style="1631" customWidth="1"/>
    <col min="3853" max="3853" width="32.5" style="1631" customWidth="1"/>
    <col min="3854" max="3854" width="37.375" style="1631" customWidth="1"/>
    <col min="3855" max="3855" width="12.125" style="1631" customWidth="1"/>
    <col min="3856" max="3856" width="18.125" style="1631" customWidth="1"/>
    <col min="3857" max="3857" width="16.375" style="1631" customWidth="1"/>
    <col min="3858" max="3858" width="7.125" style="1631" customWidth="1"/>
    <col min="3859" max="3860" width="9" style="1631" customWidth="1"/>
    <col min="3861" max="4096" width="8.875" style="1631" customWidth="1"/>
    <col min="4097" max="4097" width="43" style="1631" customWidth="1"/>
    <col min="4098" max="4098" width="7.125" style="1631" customWidth="1"/>
    <col min="4099" max="4099" width="13.375" style="1631" customWidth="1"/>
    <col min="4100" max="4100" width="5.125" style="1631" customWidth="1"/>
    <col min="4101" max="4101" width="43" style="1631" customWidth="1"/>
    <col min="4102" max="4102" width="9" style="1631" customWidth="1"/>
    <col min="4103" max="4103" width="13" style="1631" customWidth="1"/>
    <col min="4104" max="4104" width="19.625" style="1631" customWidth="1"/>
    <col min="4105" max="4106" width="15.875" style="1631" customWidth="1"/>
    <col min="4107" max="4107" width="13.375" style="1631" customWidth="1"/>
    <col min="4108" max="4108" width="10.125" style="1631" customWidth="1"/>
    <col min="4109" max="4109" width="32.5" style="1631" customWidth="1"/>
    <col min="4110" max="4110" width="37.375" style="1631" customWidth="1"/>
    <col min="4111" max="4111" width="12.125" style="1631" customWidth="1"/>
    <col min="4112" max="4112" width="18.125" style="1631" customWidth="1"/>
    <col min="4113" max="4113" width="16.375" style="1631" customWidth="1"/>
    <col min="4114" max="4114" width="7.125" style="1631" customWidth="1"/>
    <col min="4115" max="4116" width="9" style="1631" customWidth="1"/>
    <col min="4117" max="4352" width="8.875" style="1631" customWidth="1"/>
    <col min="4353" max="4353" width="43" style="1631" customWidth="1"/>
    <col min="4354" max="4354" width="7.125" style="1631" customWidth="1"/>
    <col min="4355" max="4355" width="13.375" style="1631" customWidth="1"/>
    <col min="4356" max="4356" width="5.125" style="1631" customWidth="1"/>
    <col min="4357" max="4357" width="43" style="1631" customWidth="1"/>
    <col min="4358" max="4358" width="9" style="1631" customWidth="1"/>
    <col min="4359" max="4359" width="13" style="1631" customWidth="1"/>
    <col min="4360" max="4360" width="19.625" style="1631" customWidth="1"/>
    <col min="4361" max="4362" width="15.875" style="1631" customWidth="1"/>
    <col min="4363" max="4363" width="13.375" style="1631" customWidth="1"/>
    <col min="4364" max="4364" width="10.125" style="1631" customWidth="1"/>
    <col min="4365" max="4365" width="32.5" style="1631" customWidth="1"/>
    <col min="4366" max="4366" width="37.375" style="1631" customWidth="1"/>
    <col min="4367" max="4367" width="12.125" style="1631" customWidth="1"/>
    <col min="4368" max="4368" width="18.125" style="1631" customWidth="1"/>
    <col min="4369" max="4369" width="16.375" style="1631" customWidth="1"/>
    <col min="4370" max="4370" width="7.125" style="1631" customWidth="1"/>
    <col min="4371" max="4372" width="9" style="1631" customWidth="1"/>
    <col min="4373" max="4608" width="8.875" style="1631" customWidth="1"/>
    <col min="4609" max="4609" width="43" style="1631" customWidth="1"/>
    <col min="4610" max="4610" width="7.125" style="1631" customWidth="1"/>
    <col min="4611" max="4611" width="13.375" style="1631" customWidth="1"/>
    <col min="4612" max="4612" width="5.125" style="1631" customWidth="1"/>
    <col min="4613" max="4613" width="43" style="1631" customWidth="1"/>
    <col min="4614" max="4614" width="9" style="1631" customWidth="1"/>
    <col min="4615" max="4615" width="13" style="1631" customWidth="1"/>
    <col min="4616" max="4616" width="19.625" style="1631" customWidth="1"/>
    <col min="4617" max="4618" width="15.875" style="1631" customWidth="1"/>
    <col min="4619" max="4619" width="13.375" style="1631" customWidth="1"/>
    <col min="4620" max="4620" width="10.125" style="1631" customWidth="1"/>
    <col min="4621" max="4621" width="32.5" style="1631" customWidth="1"/>
    <col min="4622" max="4622" width="37.375" style="1631" customWidth="1"/>
    <col min="4623" max="4623" width="12.125" style="1631" customWidth="1"/>
    <col min="4624" max="4624" width="18.125" style="1631" customWidth="1"/>
    <col min="4625" max="4625" width="16.375" style="1631" customWidth="1"/>
    <col min="4626" max="4626" width="7.125" style="1631" customWidth="1"/>
    <col min="4627" max="4628" width="9" style="1631" customWidth="1"/>
    <col min="4629" max="4864" width="8.875" style="1631" customWidth="1"/>
    <col min="4865" max="4865" width="43" style="1631" customWidth="1"/>
    <col min="4866" max="4866" width="7.125" style="1631" customWidth="1"/>
    <col min="4867" max="4867" width="13.375" style="1631" customWidth="1"/>
    <col min="4868" max="4868" width="5.125" style="1631" customWidth="1"/>
    <col min="4869" max="4869" width="43" style="1631" customWidth="1"/>
    <col min="4870" max="4870" width="9" style="1631" customWidth="1"/>
    <col min="4871" max="4871" width="13" style="1631" customWidth="1"/>
    <col min="4872" max="4872" width="19.625" style="1631" customWidth="1"/>
    <col min="4873" max="4874" width="15.875" style="1631" customWidth="1"/>
    <col min="4875" max="4875" width="13.375" style="1631" customWidth="1"/>
    <col min="4876" max="4876" width="10.125" style="1631" customWidth="1"/>
    <col min="4877" max="4877" width="32.5" style="1631" customWidth="1"/>
    <col min="4878" max="4878" width="37.375" style="1631" customWidth="1"/>
    <col min="4879" max="4879" width="12.125" style="1631" customWidth="1"/>
    <col min="4880" max="4880" width="18.125" style="1631" customWidth="1"/>
    <col min="4881" max="4881" width="16.375" style="1631" customWidth="1"/>
    <col min="4882" max="4882" width="7.125" style="1631" customWidth="1"/>
    <col min="4883" max="4884" width="9" style="1631" customWidth="1"/>
    <col min="4885" max="5120" width="8.875" style="1631" customWidth="1"/>
    <col min="5121" max="5121" width="43" style="1631" customWidth="1"/>
    <col min="5122" max="5122" width="7.125" style="1631" customWidth="1"/>
    <col min="5123" max="5123" width="13.375" style="1631" customWidth="1"/>
    <col min="5124" max="5124" width="5.125" style="1631" customWidth="1"/>
    <col min="5125" max="5125" width="43" style="1631" customWidth="1"/>
    <col min="5126" max="5126" width="9" style="1631" customWidth="1"/>
    <col min="5127" max="5127" width="13" style="1631" customWidth="1"/>
    <col min="5128" max="5128" width="19.625" style="1631" customWidth="1"/>
    <col min="5129" max="5130" width="15.875" style="1631" customWidth="1"/>
    <col min="5131" max="5131" width="13.375" style="1631" customWidth="1"/>
    <col min="5132" max="5132" width="10.125" style="1631" customWidth="1"/>
    <col min="5133" max="5133" width="32.5" style="1631" customWidth="1"/>
    <col min="5134" max="5134" width="37.375" style="1631" customWidth="1"/>
    <col min="5135" max="5135" width="12.125" style="1631" customWidth="1"/>
    <col min="5136" max="5136" width="18.125" style="1631" customWidth="1"/>
    <col min="5137" max="5137" width="16.375" style="1631" customWidth="1"/>
    <col min="5138" max="5138" width="7.125" style="1631" customWidth="1"/>
    <col min="5139" max="5140" width="9" style="1631" customWidth="1"/>
    <col min="5141" max="5376" width="8.875" style="1631" customWidth="1"/>
    <col min="5377" max="5377" width="43" style="1631" customWidth="1"/>
    <col min="5378" max="5378" width="7.125" style="1631" customWidth="1"/>
    <col min="5379" max="5379" width="13.375" style="1631" customWidth="1"/>
    <col min="5380" max="5380" width="5.125" style="1631" customWidth="1"/>
    <col min="5381" max="5381" width="43" style="1631" customWidth="1"/>
    <col min="5382" max="5382" width="9" style="1631" customWidth="1"/>
    <col min="5383" max="5383" width="13" style="1631" customWidth="1"/>
    <col min="5384" max="5384" width="19.625" style="1631" customWidth="1"/>
    <col min="5385" max="5386" width="15.875" style="1631" customWidth="1"/>
    <col min="5387" max="5387" width="13.375" style="1631" customWidth="1"/>
    <col min="5388" max="5388" width="10.125" style="1631" customWidth="1"/>
    <col min="5389" max="5389" width="32.5" style="1631" customWidth="1"/>
    <col min="5390" max="5390" width="37.375" style="1631" customWidth="1"/>
    <col min="5391" max="5391" width="12.125" style="1631" customWidth="1"/>
    <col min="5392" max="5392" width="18.125" style="1631" customWidth="1"/>
    <col min="5393" max="5393" width="16.375" style="1631" customWidth="1"/>
    <col min="5394" max="5394" width="7.125" style="1631" customWidth="1"/>
    <col min="5395" max="5396" width="9" style="1631" customWidth="1"/>
    <col min="5397" max="5632" width="8.875" style="1631" customWidth="1"/>
    <col min="5633" max="5633" width="43" style="1631" customWidth="1"/>
    <col min="5634" max="5634" width="7.125" style="1631" customWidth="1"/>
    <col min="5635" max="5635" width="13.375" style="1631" customWidth="1"/>
    <col min="5636" max="5636" width="5.125" style="1631" customWidth="1"/>
    <col min="5637" max="5637" width="43" style="1631" customWidth="1"/>
    <col min="5638" max="5638" width="9" style="1631" customWidth="1"/>
    <col min="5639" max="5639" width="13" style="1631" customWidth="1"/>
    <col min="5640" max="5640" width="19.625" style="1631" customWidth="1"/>
    <col min="5641" max="5642" width="15.875" style="1631" customWidth="1"/>
    <col min="5643" max="5643" width="13.375" style="1631" customWidth="1"/>
    <col min="5644" max="5644" width="10.125" style="1631" customWidth="1"/>
    <col min="5645" max="5645" width="32.5" style="1631" customWidth="1"/>
    <col min="5646" max="5646" width="37.375" style="1631" customWidth="1"/>
    <col min="5647" max="5647" width="12.125" style="1631" customWidth="1"/>
    <col min="5648" max="5648" width="18.125" style="1631" customWidth="1"/>
    <col min="5649" max="5649" width="16.375" style="1631" customWidth="1"/>
    <col min="5650" max="5650" width="7.125" style="1631" customWidth="1"/>
    <col min="5651" max="5652" width="9" style="1631" customWidth="1"/>
    <col min="5653" max="5888" width="8.875" style="1631" customWidth="1"/>
    <col min="5889" max="5889" width="43" style="1631" customWidth="1"/>
    <col min="5890" max="5890" width="7.125" style="1631" customWidth="1"/>
    <col min="5891" max="5891" width="13.375" style="1631" customWidth="1"/>
    <col min="5892" max="5892" width="5.125" style="1631" customWidth="1"/>
    <col min="5893" max="5893" width="43" style="1631" customWidth="1"/>
    <col min="5894" max="5894" width="9" style="1631" customWidth="1"/>
    <col min="5895" max="5895" width="13" style="1631" customWidth="1"/>
    <col min="5896" max="5896" width="19.625" style="1631" customWidth="1"/>
    <col min="5897" max="5898" width="15.875" style="1631" customWidth="1"/>
    <col min="5899" max="5899" width="13.375" style="1631" customWidth="1"/>
    <col min="5900" max="5900" width="10.125" style="1631" customWidth="1"/>
    <col min="5901" max="5901" width="32.5" style="1631" customWidth="1"/>
    <col min="5902" max="5902" width="37.375" style="1631" customWidth="1"/>
    <col min="5903" max="5903" width="12.125" style="1631" customWidth="1"/>
    <col min="5904" max="5904" width="18.125" style="1631" customWidth="1"/>
    <col min="5905" max="5905" width="16.375" style="1631" customWidth="1"/>
    <col min="5906" max="5906" width="7.125" style="1631" customWidth="1"/>
    <col min="5907" max="5908" width="9" style="1631" customWidth="1"/>
    <col min="5909" max="6144" width="8.875" style="1631" customWidth="1"/>
    <col min="6145" max="6145" width="43" style="1631" customWidth="1"/>
    <col min="6146" max="6146" width="7.125" style="1631" customWidth="1"/>
    <col min="6147" max="6147" width="13.375" style="1631" customWidth="1"/>
    <col min="6148" max="6148" width="5.125" style="1631" customWidth="1"/>
    <col min="6149" max="6149" width="43" style="1631" customWidth="1"/>
    <col min="6150" max="6150" width="9" style="1631" customWidth="1"/>
    <col min="6151" max="6151" width="13" style="1631" customWidth="1"/>
    <col min="6152" max="6152" width="19.625" style="1631" customWidth="1"/>
    <col min="6153" max="6154" width="15.875" style="1631" customWidth="1"/>
    <col min="6155" max="6155" width="13.375" style="1631" customWidth="1"/>
    <col min="6156" max="6156" width="10.125" style="1631" customWidth="1"/>
    <col min="6157" max="6157" width="32.5" style="1631" customWidth="1"/>
    <col min="6158" max="6158" width="37.375" style="1631" customWidth="1"/>
    <col min="6159" max="6159" width="12.125" style="1631" customWidth="1"/>
    <col min="6160" max="6160" width="18.125" style="1631" customWidth="1"/>
    <col min="6161" max="6161" width="16.375" style="1631" customWidth="1"/>
    <col min="6162" max="6162" width="7.125" style="1631" customWidth="1"/>
    <col min="6163" max="6164" width="9" style="1631" customWidth="1"/>
    <col min="6165" max="6400" width="8.875" style="1631" customWidth="1"/>
    <col min="6401" max="6401" width="43" style="1631" customWidth="1"/>
    <col min="6402" max="6402" width="7.125" style="1631" customWidth="1"/>
    <col min="6403" max="6403" width="13.375" style="1631" customWidth="1"/>
    <col min="6404" max="6404" width="5.125" style="1631" customWidth="1"/>
    <col min="6405" max="6405" width="43" style="1631" customWidth="1"/>
    <col min="6406" max="6406" width="9" style="1631" customWidth="1"/>
    <col min="6407" max="6407" width="13" style="1631" customWidth="1"/>
    <col min="6408" max="6408" width="19.625" style="1631" customWidth="1"/>
    <col min="6409" max="6410" width="15.875" style="1631" customWidth="1"/>
    <col min="6411" max="6411" width="13.375" style="1631" customWidth="1"/>
    <col min="6412" max="6412" width="10.125" style="1631" customWidth="1"/>
    <col min="6413" max="6413" width="32.5" style="1631" customWidth="1"/>
    <col min="6414" max="6414" width="37.375" style="1631" customWidth="1"/>
    <col min="6415" max="6415" width="12.125" style="1631" customWidth="1"/>
    <col min="6416" max="6416" width="18.125" style="1631" customWidth="1"/>
    <col min="6417" max="6417" width="16.375" style="1631" customWidth="1"/>
    <col min="6418" max="6418" width="7.125" style="1631" customWidth="1"/>
    <col min="6419" max="6420" width="9" style="1631" customWidth="1"/>
    <col min="6421" max="6656" width="8.875" style="1631" customWidth="1"/>
    <col min="6657" max="6657" width="43" style="1631" customWidth="1"/>
    <col min="6658" max="6658" width="7.125" style="1631" customWidth="1"/>
    <col min="6659" max="6659" width="13.375" style="1631" customWidth="1"/>
    <col min="6660" max="6660" width="5.125" style="1631" customWidth="1"/>
    <col min="6661" max="6661" width="43" style="1631" customWidth="1"/>
    <col min="6662" max="6662" width="9" style="1631" customWidth="1"/>
    <col min="6663" max="6663" width="13" style="1631" customWidth="1"/>
    <col min="6664" max="6664" width="19.625" style="1631" customWidth="1"/>
    <col min="6665" max="6666" width="15.875" style="1631" customWidth="1"/>
    <col min="6667" max="6667" width="13.375" style="1631" customWidth="1"/>
    <col min="6668" max="6668" width="10.125" style="1631" customWidth="1"/>
    <col min="6669" max="6669" width="32.5" style="1631" customWidth="1"/>
    <col min="6670" max="6670" width="37.375" style="1631" customWidth="1"/>
    <col min="6671" max="6671" width="12.125" style="1631" customWidth="1"/>
    <col min="6672" max="6672" width="18.125" style="1631" customWidth="1"/>
    <col min="6673" max="6673" width="16.375" style="1631" customWidth="1"/>
    <col min="6674" max="6674" width="7.125" style="1631" customWidth="1"/>
    <col min="6675" max="6676" width="9" style="1631" customWidth="1"/>
    <col min="6677" max="6912" width="8.875" style="1631" customWidth="1"/>
    <col min="6913" max="6913" width="43" style="1631" customWidth="1"/>
    <col min="6914" max="6914" width="7.125" style="1631" customWidth="1"/>
    <col min="6915" max="6915" width="13.375" style="1631" customWidth="1"/>
    <col min="6916" max="6916" width="5.125" style="1631" customWidth="1"/>
    <col min="6917" max="6917" width="43" style="1631" customWidth="1"/>
    <col min="6918" max="6918" width="9" style="1631" customWidth="1"/>
    <col min="6919" max="6919" width="13" style="1631" customWidth="1"/>
    <col min="6920" max="6920" width="19.625" style="1631" customWidth="1"/>
    <col min="6921" max="6922" width="15.875" style="1631" customWidth="1"/>
    <col min="6923" max="6923" width="13.375" style="1631" customWidth="1"/>
    <col min="6924" max="6924" width="10.125" style="1631" customWidth="1"/>
    <col min="6925" max="6925" width="32.5" style="1631" customWidth="1"/>
    <col min="6926" max="6926" width="37.375" style="1631" customWidth="1"/>
    <col min="6927" max="6927" width="12.125" style="1631" customWidth="1"/>
    <col min="6928" max="6928" width="18.125" style="1631" customWidth="1"/>
    <col min="6929" max="6929" width="16.375" style="1631" customWidth="1"/>
    <col min="6930" max="6930" width="7.125" style="1631" customWidth="1"/>
    <col min="6931" max="6932" width="9" style="1631" customWidth="1"/>
    <col min="6933" max="7168" width="8.875" style="1631" customWidth="1"/>
    <col min="7169" max="7169" width="43" style="1631" customWidth="1"/>
    <col min="7170" max="7170" width="7.125" style="1631" customWidth="1"/>
    <col min="7171" max="7171" width="13.375" style="1631" customWidth="1"/>
    <col min="7172" max="7172" width="5.125" style="1631" customWidth="1"/>
    <col min="7173" max="7173" width="43" style="1631" customWidth="1"/>
    <col min="7174" max="7174" width="9" style="1631" customWidth="1"/>
    <col min="7175" max="7175" width="13" style="1631" customWidth="1"/>
    <col min="7176" max="7176" width="19.625" style="1631" customWidth="1"/>
    <col min="7177" max="7178" width="15.875" style="1631" customWidth="1"/>
    <col min="7179" max="7179" width="13.375" style="1631" customWidth="1"/>
    <col min="7180" max="7180" width="10.125" style="1631" customWidth="1"/>
    <col min="7181" max="7181" width="32.5" style="1631" customWidth="1"/>
    <col min="7182" max="7182" width="37.375" style="1631" customWidth="1"/>
    <col min="7183" max="7183" width="12.125" style="1631" customWidth="1"/>
    <col min="7184" max="7184" width="18.125" style="1631" customWidth="1"/>
    <col min="7185" max="7185" width="16.375" style="1631" customWidth="1"/>
    <col min="7186" max="7186" width="7.125" style="1631" customWidth="1"/>
    <col min="7187" max="7188" width="9" style="1631" customWidth="1"/>
    <col min="7189" max="7424" width="8.875" style="1631" customWidth="1"/>
    <col min="7425" max="7425" width="43" style="1631" customWidth="1"/>
    <col min="7426" max="7426" width="7.125" style="1631" customWidth="1"/>
    <col min="7427" max="7427" width="13.375" style="1631" customWidth="1"/>
    <col min="7428" max="7428" width="5.125" style="1631" customWidth="1"/>
    <col min="7429" max="7429" width="43" style="1631" customWidth="1"/>
    <col min="7430" max="7430" width="9" style="1631" customWidth="1"/>
    <col min="7431" max="7431" width="13" style="1631" customWidth="1"/>
    <col min="7432" max="7432" width="19.625" style="1631" customWidth="1"/>
    <col min="7433" max="7434" width="15.875" style="1631" customWidth="1"/>
    <col min="7435" max="7435" width="13.375" style="1631" customWidth="1"/>
    <col min="7436" max="7436" width="10.125" style="1631" customWidth="1"/>
    <col min="7437" max="7437" width="32.5" style="1631" customWidth="1"/>
    <col min="7438" max="7438" width="37.375" style="1631" customWidth="1"/>
    <col min="7439" max="7439" width="12.125" style="1631" customWidth="1"/>
    <col min="7440" max="7440" width="18.125" style="1631" customWidth="1"/>
    <col min="7441" max="7441" width="16.375" style="1631" customWidth="1"/>
    <col min="7442" max="7442" width="7.125" style="1631" customWidth="1"/>
    <col min="7443" max="7444" width="9" style="1631" customWidth="1"/>
    <col min="7445" max="7680" width="8.875" style="1631" customWidth="1"/>
    <col min="7681" max="7681" width="43" style="1631" customWidth="1"/>
    <col min="7682" max="7682" width="7.125" style="1631" customWidth="1"/>
    <col min="7683" max="7683" width="13.375" style="1631" customWidth="1"/>
    <col min="7684" max="7684" width="5.125" style="1631" customWidth="1"/>
    <col min="7685" max="7685" width="43" style="1631" customWidth="1"/>
    <col min="7686" max="7686" width="9" style="1631" customWidth="1"/>
    <col min="7687" max="7687" width="13" style="1631" customWidth="1"/>
    <col min="7688" max="7688" width="19.625" style="1631" customWidth="1"/>
    <col min="7689" max="7690" width="15.875" style="1631" customWidth="1"/>
    <col min="7691" max="7691" width="13.375" style="1631" customWidth="1"/>
    <col min="7692" max="7692" width="10.125" style="1631" customWidth="1"/>
    <col min="7693" max="7693" width="32.5" style="1631" customWidth="1"/>
    <col min="7694" max="7694" width="37.375" style="1631" customWidth="1"/>
    <col min="7695" max="7695" width="12.125" style="1631" customWidth="1"/>
    <col min="7696" max="7696" width="18.125" style="1631" customWidth="1"/>
    <col min="7697" max="7697" width="16.375" style="1631" customWidth="1"/>
    <col min="7698" max="7698" width="7.125" style="1631" customWidth="1"/>
    <col min="7699" max="7700" width="9" style="1631" customWidth="1"/>
    <col min="7701" max="7936" width="8.875" style="1631" customWidth="1"/>
    <col min="7937" max="7937" width="43" style="1631" customWidth="1"/>
    <col min="7938" max="7938" width="7.125" style="1631" customWidth="1"/>
    <col min="7939" max="7939" width="13.375" style="1631" customWidth="1"/>
    <col min="7940" max="7940" width="5.125" style="1631" customWidth="1"/>
    <col min="7941" max="7941" width="43" style="1631" customWidth="1"/>
    <col min="7942" max="7942" width="9" style="1631" customWidth="1"/>
    <col min="7943" max="7943" width="13" style="1631" customWidth="1"/>
    <col min="7944" max="7944" width="19.625" style="1631" customWidth="1"/>
    <col min="7945" max="7946" width="15.875" style="1631" customWidth="1"/>
    <col min="7947" max="7947" width="13.375" style="1631" customWidth="1"/>
    <col min="7948" max="7948" width="10.125" style="1631" customWidth="1"/>
    <col min="7949" max="7949" width="32.5" style="1631" customWidth="1"/>
    <col min="7950" max="7950" width="37.375" style="1631" customWidth="1"/>
    <col min="7951" max="7951" width="12.125" style="1631" customWidth="1"/>
    <col min="7952" max="7952" width="18.125" style="1631" customWidth="1"/>
    <col min="7953" max="7953" width="16.375" style="1631" customWidth="1"/>
    <col min="7954" max="7954" width="7.125" style="1631" customWidth="1"/>
    <col min="7955" max="7956" width="9" style="1631" customWidth="1"/>
    <col min="7957" max="8192" width="8.875" style="1631" customWidth="1"/>
    <col min="8193" max="8193" width="43" style="1631" customWidth="1"/>
    <col min="8194" max="8194" width="7.125" style="1631" customWidth="1"/>
    <col min="8195" max="8195" width="13.375" style="1631" customWidth="1"/>
    <col min="8196" max="8196" width="5.125" style="1631" customWidth="1"/>
    <col min="8197" max="8197" width="43" style="1631" customWidth="1"/>
    <col min="8198" max="8198" width="9" style="1631" customWidth="1"/>
    <col min="8199" max="8199" width="13" style="1631" customWidth="1"/>
    <col min="8200" max="8200" width="19.625" style="1631" customWidth="1"/>
    <col min="8201" max="8202" width="15.875" style="1631" customWidth="1"/>
    <col min="8203" max="8203" width="13.375" style="1631" customWidth="1"/>
    <col min="8204" max="8204" width="10.125" style="1631" customWidth="1"/>
    <col min="8205" max="8205" width="32.5" style="1631" customWidth="1"/>
    <col min="8206" max="8206" width="37.375" style="1631" customWidth="1"/>
    <col min="8207" max="8207" width="12.125" style="1631" customWidth="1"/>
    <col min="8208" max="8208" width="18.125" style="1631" customWidth="1"/>
    <col min="8209" max="8209" width="16.375" style="1631" customWidth="1"/>
    <col min="8210" max="8210" width="7.125" style="1631" customWidth="1"/>
    <col min="8211" max="8212" width="9" style="1631" customWidth="1"/>
    <col min="8213" max="8448" width="8.875" style="1631" customWidth="1"/>
    <col min="8449" max="8449" width="43" style="1631" customWidth="1"/>
    <col min="8450" max="8450" width="7.125" style="1631" customWidth="1"/>
    <col min="8451" max="8451" width="13.375" style="1631" customWidth="1"/>
    <col min="8452" max="8452" width="5.125" style="1631" customWidth="1"/>
    <col min="8453" max="8453" width="43" style="1631" customWidth="1"/>
    <col min="8454" max="8454" width="9" style="1631" customWidth="1"/>
    <col min="8455" max="8455" width="13" style="1631" customWidth="1"/>
    <col min="8456" max="8456" width="19.625" style="1631" customWidth="1"/>
    <col min="8457" max="8458" width="15.875" style="1631" customWidth="1"/>
    <col min="8459" max="8459" width="13.375" style="1631" customWidth="1"/>
    <col min="8460" max="8460" width="10.125" style="1631" customWidth="1"/>
    <col min="8461" max="8461" width="32.5" style="1631" customWidth="1"/>
    <col min="8462" max="8462" width="37.375" style="1631" customWidth="1"/>
    <col min="8463" max="8463" width="12.125" style="1631" customWidth="1"/>
    <col min="8464" max="8464" width="18.125" style="1631" customWidth="1"/>
    <col min="8465" max="8465" width="16.375" style="1631" customWidth="1"/>
    <col min="8466" max="8466" width="7.125" style="1631" customWidth="1"/>
    <col min="8467" max="8468" width="9" style="1631" customWidth="1"/>
    <col min="8469" max="8704" width="8.875" style="1631" customWidth="1"/>
    <col min="8705" max="8705" width="43" style="1631" customWidth="1"/>
    <col min="8706" max="8706" width="7.125" style="1631" customWidth="1"/>
    <col min="8707" max="8707" width="13.375" style="1631" customWidth="1"/>
    <col min="8708" max="8708" width="5.125" style="1631" customWidth="1"/>
    <col min="8709" max="8709" width="43" style="1631" customWidth="1"/>
    <col min="8710" max="8710" width="9" style="1631" customWidth="1"/>
    <col min="8711" max="8711" width="13" style="1631" customWidth="1"/>
    <col min="8712" max="8712" width="19.625" style="1631" customWidth="1"/>
    <col min="8713" max="8714" width="15.875" style="1631" customWidth="1"/>
    <col min="8715" max="8715" width="13.375" style="1631" customWidth="1"/>
    <col min="8716" max="8716" width="10.125" style="1631" customWidth="1"/>
    <col min="8717" max="8717" width="32.5" style="1631" customWidth="1"/>
    <col min="8718" max="8718" width="37.375" style="1631" customWidth="1"/>
    <col min="8719" max="8719" width="12.125" style="1631" customWidth="1"/>
    <col min="8720" max="8720" width="18.125" style="1631" customWidth="1"/>
    <col min="8721" max="8721" width="16.375" style="1631" customWidth="1"/>
    <col min="8722" max="8722" width="7.125" style="1631" customWidth="1"/>
    <col min="8723" max="8724" width="9" style="1631" customWidth="1"/>
    <col min="8725" max="8960" width="8.875" style="1631" customWidth="1"/>
    <col min="8961" max="8961" width="43" style="1631" customWidth="1"/>
    <col min="8962" max="8962" width="7.125" style="1631" customWidth="1"/>
    <col min="8963" max="8963" width="13.375" style="1631" customWidth="1"/>
    <col min="8964" max="8964" width="5.125" style="1631" customWidth="1"/>
    <col min="8965" max="8965" width="43" style="1631" customWidth="1"/>
    <col min="8966" max="8966" width="9" style="1631" customWidth="1"/>
    <col min="8967" max="8967" width="13" style="1631" customWidth="1"/>
    <col min="8968" max="8968" width="19.625" style="1631" customWidth="1"/>
    <col min="8969" max="8970" width="15.875" style="1631" customWidth="1"/>
    <col min="8971" max="8971" width="13.375" style="1631" customWidth="1"/>
    <col min="8972" max="8972" width="10.125" style="1631" customWidth="1"/>
    <col min="8973" max="8973" width="32.5" style="1631" customWidth="1"/>
    <col min="8974" max="8974" width="37.375" style="1631" customWidth="1"/>
    <col min="8975" max="8975" width="12.125" style="1631" customWidth="1"/>
    <col min="8976" max="8976" width="18.125" style="1631" customWidth="1"/>
    <col min="8977" max="8977" width="16.375" style="1631" customWidth="1"/>
    <col min="8978" max="8978" width="7.125" style="1631" customWidth="1"/>
    <col min="8979" max="8980" width="9" style="1631" customWidth="1"/>
    <col min="8981" max="9216" width="8.875" style="1631" customWidth="1"/>
    <col min="9217" max="9217" width="43" style="1631" customWidth="1"/>
    <col min="9218" max="9218" width="7.125" style="1631" customWidth="1"/>
    <col min="9219" max="9219" width="13.375" style="1631" customWidth="1"/>
    <col min="9220" max="9220" width="5.125" style="1631" customWidth="1"/>
    <col min="9221" max="9221" width="43" style="1631" customWidth="1"/>
    <col min="9222" max="9222" width="9" style="1631" customWidth="1"/>
    <col min="9223" max="9223" width="13" style="1631" customWidth="1"/>
    <col min="9224" max="9224" width="19.625" style="1631" customWidth="1"/>
    <col min="9225" max="9226" width="15.875" style="1631" customWidth="1"/>
    <col min="9227" max="9227" width="13.375" style="1631" customWidth="1"/>
    <col min="9228" max="9228" width="10.125" style="1631" customWidth="1"/>
    <col min="9229" max="9229" width="32.5" style="1631" customWidth="1"/>
    <col min="9230" max="9230" width="37.375" style="1631" customWidth="1"/>
    <col min="9231" max="9231" width="12.125" style="1631" customWidth="1"/>
    <col min="9232" max="9232" width="18.125" style="1631" customWidth="1"/>
    <col min="9233" max="9233" width="16.375" style="1631" customWidth="1"/>
    <col min="9234" max="9234" width="7.125" style="1631" customWidth="1"/>
    <col min="9235" max="9236" width="9" style="1631" customWidth="1"/>
    <col min="9237" max="9472" width="8.875" style="1631" customWidth="1"/>
    <col min="9473" max="9473" width="43" style="1631" customWidth="1"/>
    <col min="9474" max="9474" width="7.125" style="1631" customWidth="1"/>
    <col min="9475" max="9475" width="13.375" style="1631" customWidth="1"/>
    <col min="9476" max="9476" width="5.125" style="1631" customWidth="1"/>
    <col min="9477" max="9477" width="43" style="1631" customWidth="1"/>
    <col min="9478" max="9478" width="9" style="1631" customWidth="1"/>
    <col min="9479" max="9479" width="13" style="1631" customWidth="1"/>
    <col min="9480" max="9480" width="19.625" style="1631" customWidth="1"/>
    <col min="9481" max="9482" width="15.875" style="1631" customWidth="1"/>
    <col min="9483" max="9483" width="13.375" style="1631" customWidth="1"/>
    <col min="9484" max="9484" width="10.125" style="1631" customWidth="1"/>
    <col min="9485" max="9485" width="32.5" style="1631" customWidth="1"/>
    <col min="9486" max="9486" width="37.375" style="1631" customWidth="1"/>
    <col min="9487" max="9487" width="12.125" style="1631" customWidth="1"/>
    <col min="9488" max="9488" width="18.125" style="1631" customWidth="1"/>
    <col min="9489" max="9489" width="16.375" style="1631" customWidth="1"/>
    <col min="9490" max="9490" width="7.125" style="1631" customWidth="1"/>
    <col min="9491" max="9492" width="9" style="1631" customWidth="1"/>
    <col min="9493" max="9728" width="8.875" style="1631" customWidth="1"/>
    <col min="9729" max="9729" width="43" style="1631" customWidth="1"/>
    <col min="9730" max="9730" width="7.125" style="1631" customWidth="1"/>
    <col min="9731" max="9731" width="13.375" style="1631" customWidth="1"/>
    <col min="9732" max="9732" width="5.125" style="1631" customWidth="1"/>
    <col min="9733" max="9733" width="43" style="1631" customWidth="1"/>
    <col min="9734" max="9734" width="9" style="1631" customWidth="1"/>
    <col min="9735" max="9735" width="13" style="1631" customWidth="1"/>
    <col min="9736" max="9736" width="19.625" style="1631" customWidth="1"/>
    <col min="9737" max="9738" width="15.875" style="1631" customWidth="1"/>
    <col min="9739" max="9739" width="13.375" style="1631" customWidth="1"/>
    <col min="9740" max="9740" width="10.125" style="1631" customWidth="1"/>
    <col min="9741" max="9741" width="32.5" style="1631" customWidth="1"/>
    <col min="9742" max="9742" width="37.375" style="1631" customWidth="1"/>
    <col min="9743" max="9743" width="12.125" style="1631" customWidth="1"/>
    <col min="9744" max="9744" width="18.125" style="1631" customWidth="1"/>
    <col min="9745" max="9745" width="16.375" style="1631" customWidth="1"/>
    <col min="9746" max="9746" width="7.125" style="1631" customWidth="1"/>
    <col min="9747" max="9748" width="9" style="1631" customWidth="1"/>
    <col min="9749" max="9984" width="8.875" style="1631" customWidth="1"/>
    <col min="9985" max="9985" width="43" style="1631" customWidth="1"/>
    <col min="9986" max="9986" width="7.125" style="1631" customWidth="1"/>
    <col min="9987" max="9987" width="13.375" style="1631" customWidth="1"/>
    <col min="9988" max="9988" width="5.125" style="1631" customWidth="1"/>
    <col min="9989" max="9989" width="43" style="1631" customWidth="1"/>
    <col min="9990" max="9990" width="9" style="1631" customWidth="1"/>
    <col min="9991" max="9991" width="13" style="1631" customWidth="1"/>
    <col min="9992" max="9992" width="19.625" style="1631" customWidth="1"/>
    <col min="9993" max="9994" width="15.875" style="1631" customWidth="1"/>
    <col min="9995" max="9995" width="13.375" style="1631" customWidth="1"/>
    <col min="9996" max="9996" width="10.125" style="1631" customWidth="1"/>
    <col min="9997" max="9997" width="32.5" style="1631" customWidth="1"/>
    <col min="9998" max="9998" width="37.375" style="1631" customWidth="1"/>
    <col min="9999" max="9999" width="12.125" style="1631" customWidth="1"/>
    <col min="10000" max="10000" width="18.125" style="1631" customWidth="1"/>
    <col min="10001" max="10001" width="16.375" style="1631" customWidth="1"/>
    <col min="10002" max="10002" width="7.125" style="1631" customWidth="1"/>
    <col min="10003" max="10004" width="9" style="1631" customWidth="1"/>
    <col min="10005" max="10240" width="8.875" style="1631" customWidth="1"/>
    <col min="10241" max="10241" width="43" style="1631" customWidth="1"/>
    <col min="10242" max="10242" width="7.125" style="1631" customWidth="1"/>
    <col min="10243" max="10243" width="13.375" style="1631" customWidth="1"/>
    <col min="10244" max="10244" width="5.125" style="1631" customWidth="1"/>
    <col min="10245" max="10245" width="43" style="1631" customWidth="1"/>
    <col min="10246" max="10246" width="9" style="1631" customWidth="1"/>
    <col min="10247" max="10247" width="13" style="1631" customWidth="1"/>
    <col min="10248" max="10248" width="19.625" style="1631" customWidth="1"/>
    <col min="10249" max="10250" width="15.875" style="1631" customWidth="1"/>
    <col min="10251" max="10251" width="13.375" style="1631" customWidth="1"/>
    <col min="10252" max="10252" width="10.125" style="1631" customWidth="1"/>
    <col min="10253" max="10253" width="32.5" style="1631" customWidth="1"/>
    <col min="10254" max="10254" width="37.375" style="1631" customWidth="1"/>
    <col min="10255" max="10255" width="12.125" style="1631" customWidth="1"/>
    <col min="10256" max="10256" width="18.125" style="1631" customWidth="1"/>
    <col min="10257" max="10257" width="16.375" style="1631" customWidth="1"/>
    <col min="10258" max="10258" width="7.125" style="1631" customWidth="1"/>
    <col min="10259" max="10260" width="9" style="1631" customWidth="1"/>
    <col min="10261" max="10496" width="8.875" style="1631" customWidth="1"/>
    <col min="10497" max="10497" width="43" style="1631" customWidth="1"/>
    <col min="10498" max="10498" width="7.125" style="1631" customWidth="1"/>
    <col min="10499" max="10499" width="13.375" style="1631" customWidth="1"/>
    <col min="10500" max="10500" width="5.125" style="1631" customWidth="1"/>
    <col min="10501" max="10501" width="43" style="1631" customWidth="1"/>
    <col min="10502" max="10502" width="9" style="1631" customWidth="1"/>
    <col min="10503" max="10503" width="13" style="1631" customWidth="1"/>
    <col min="10504" max="10504" width="19.625" style="1631" customWidth="1"/>
    <col min="10505" max="10506" width="15.875" style="1631" customWidth="1"/>
    <col min="10507" max="10507" width="13.375" style="1631" customWidth="1"/>
    <col min="10508" max="10508" width="10.125" style="1631" customWidth="1"/>
    <col min="10509" max="10509" width="32.5" style="1631" customWidth="1"/>
    <col min="10510" max="10510" width="37.375" style="1631" customWidth="1"/>
    <col min="10511" max="10511" width="12.125" style="1631" customWidth="1"/>
    <col min="10512" max="10512" width="18.125" style="1631" customWidth="1"/>
    <col min="10513" max="10513" width="16.375" style="1631" customWidth="1"/>
    <col min="10514" max="10514" width="7.125" style="1631" customWidth="1"/>
    <col min="10515" max="10516" width="9" style="1631" customWidth="1"/>
    <col min="10517" max="10752" width="8.875" style="1631" customWidth="1"/>
    <col min="10753" max="10753" width="43" style="1631" customWidth="1"/>
    <col min="10754" max="10754" width="7.125" style="1631" customWidth="1"/>
    <col min="10755" max="10755" width="13.375" style="1631" customWidth="1"/>
    <col min="10756" max="10756" width="5.125" style="1631" customWidth="1"/>
    <col min="10757" max="10757" width="43" style="1631" customWidth="1"/>
    <col min="10758" max="10758" width="9" style="1631" customWidth="1"/>
    <col min="10759" max="10759" width="13" style="1631" customWidth="1"/>
    <col min="10760" max="10760" width="19.625" style="1631" customWidth="1"/>
    <col min="10761" max="10762" width="15.875" style="1631" customWidth="1"/>
    <col min="10763" max="10763" width="13.375" style="1631" customWidth="1"/>
    <col min="10764" max="10764" width="10.125" style="1631" customWidth="1"/>
    <col min="10765" max="10765" width="32.5" style="1631" customWidth="1"/>
    <col min="10766" max="10766" width="37.375" style="1631" customWidth="1"/>
    <col min="10767" max="10767" width="12.125" style="1631" customWidth="1"/>
    <col min="10768" max="10768" width="18.125" style="1631" customWidth="1"/>
    <col min="10769" max="10769" width="16.375" style="1631" customWidth="1"/>
    <col min="10770" max="10770" width="7.125" style="1631" customWidth="1"/>
    <col min="10771" max="10772" width="9" style="1631" customWidth="1"/>
    <col min="10773" max="11008" width="8.875" style="1631" customWidth="1"/>
    <col min="11009" max="11009" width="43" style="1631" customWidth="1"/>
    <col min="11010" max="11010" width="7.125" style="1631" customWidth="1"/>
    <col min="11011" max="11011" width="13.375" style="1631" customWidth="1"/>
    <col min="11012" max="11012" width="5.125" style="1631" customWidth="1"/>
    <col min="11013" max="11013" width="43" style="1631" customWidth="1"/>
    <col min="11014" max="11014" width="9" style="1631" customWidth="1"/>
    <col min="11015" max="11015" width="13" style="1631" customWidth="1"/>
    <col min="11016" max="11016" width="19.625" style="1631" customWidth="1"/>
    <col min="11017" max="11018" width="15.875" style="1631" customWidth="1"/>
    <col min="11019" max="11019" width="13.375" style="1631" customWidth="1"/>
    <col min="11020" max="11020" width="10.125" style="1631" customWidth="1"/>
    <col min="11021" max="11021" width="32.5" style="1631" customWidth="1"/>
    <col min="11022" max="11022" width="37.375" style="1631" customWidth="1"/>
    <col min="11023" max="11023" width="12.125" style="1631" customWidth="1"/>
    <col min="11024" max="11024" width="18.125" style="1631" customWidth="1"/>
    <col min="11025" max="11025" width="16.375" style="1631" customWidth="1"/>
    <col min="11026" max="11026" width="7.125" style="1631" customWidth="1"/>
    <col min="11027" max="11028" width="9" style="1631" customWidth="1"/>
    <col min="11029" max="11264" width="8.875" style="1631" customWidth="1"/>
    <col min="11265" max="11265" width="43" style="1631" customWidth="1"/>
    <col min="11266" max="11266" width="7.125" style="1631" customWidth="1"/>
    <col min="11267" max="11267" width="13.375" style="1631" customWidth="1"/>
    <col min="11268" max="11268" width="5.125" style="1631" customWidth="1"/>
    <col min="11269" max="11269" width="43" style="1631" customWidth="1"/>
    <col min="11270" max="11270" width="9" style="1631" customWidth="1"/>
    <col min="11271" max="11271" width="13" style="1631" customWidth="1"/>
    <col min="11272" max="11272" width="19.625" style="1631" customWidth="1"/>
    <col min="11273" max="11274" width="15.875" style="1631" customWidth="1"/>
    <col min="11275" max="11275" width="13.375" style="1631" customWidth="1"/>
    <col min="11276" max="11276" width="10.125" style="1631" customWidth="1"/>
    <col min="11277" max="11277" width="32.5" style="1631" customWidth="1"/>
    <col min="11278" max="11278" width="37.375" style="1631" customWidth="1"/>
    <col min="11279" max="11279" width="12.125" style="1631" customWidth="1"/>
    <col min="11280" max="11280" width="18.125" style="1631" customWidth="1"/>
    <col min="11281" max="11281" width="16.375" style="1631" customWidth="1"/>
    <col min="11282" max="11282" width="7.125" style="1631" customWidth="1"/>
    <col min="11283" max="11284" width="9" style="1631" customWidth="1"/>
    <col min="11285" max="11520" width="8.875" style="1631" customWidth="1"/>
    <col min="11521" max="11521" width="43" style="1631" customWidth="1"/>
    <col min="11522" max="11522" width="7.125" style="1631" customWidth="1"/>
    <col min="11523" max="11523" width="13.375" style="1631" customWidth="1"/>
    <col min="11524" max="11524" width="5.125" style="1631" customWidth="1"/>
    <col min="11525" max="11525" width="43" style="1631" customWidth="1"/>
    <col min="11526" max="11526" width="9" style="1631" customWidth="1"/>
    <col min="11527" max="11527" width="13" style="1631" customWidth="1"/>
    <col min="11528" max="11528" width="19.625" style="1631" customWidth="1"/>
    <col min="11529" max="11530" width="15.875" style="1631" customWidth="1"/>
    <col min="11531" max="11531" width="13.375" style="1631" customWidth="1"/>
    <col min="11532" max="11532" width="10.125" style="1631" customWidth="1"/>
    <col min="11533" max="11533" width="32.5" style="1631" customWidth="1"/>
    <col min="11534" max="11534" width="37.375" style="1631" customWidth="1"/>
    <col min="11535" max="11535" width="12.125" style="1631" customWidth="1"/>
    <col min="11536" max="11536" width="18.125" style="1631" customWidth="1"/>
    <col min="11537" max="11537" width="16.375" style="1631" customWidth="1"/>
    <col min="11538" max="11538" width="7.125" style="1631" customWidth="1"/>
    <col min="11539" max="11540" width="9" style="1631" customWidth="1"/>
    <col min="11541" max="11776" width="8.875" style="1631" customWidth="1"/>
    <col min="11777" max="11777" width="43" style="1631" customWidth="1"/>
    <col min="11778" max="11778" width="7.125" style="1631" customWidth="1"/>
    <col min="11779" max="11779" width="13.375" style="1631" customWidth="1"/>
    <col min="11780" max="11780" width="5.125" style="1631" customWidth="1"/>
    <col min="11781" max="11781" width="43" style="1631" customWidth="1"/>
    <col min="11782" max="11782" width="9" style="1631" customWidth="1"/>
    <col min="11783" max="11783" width="13" style="1631" customWidth="1"/>
    <col min="11784" max="11784" width="19.625" style="1631" customWidth="1"/>
    <col min="11785" max="11786" width="15.875" style="1631" customWidth="1"/>
    <col min="11787" max="11787" width="13.375" style="1631" customWidth="1"/>
    <col min="11788" max="11788" width="10.125" style="1631" customWidth="1"/>
    <col min="11789" max="11789" width="32.5" style="1631" customWidth="1"/>
    <col min="11790" max="11790" width="37.375" style="1631" customWidth="1"/>
    <col min="11791" max="11791" width="12.125" style="1631" customWidth="1"/>
    <col min="11792" max="11792" width="18.125" style="1631" customWidth="1"/>
    <col min="11793" max="11793" width="16.375" style="1631" customWidth="1"/>
    <col min="11794" max="11794" width="7.125" style="1631" customWidth="1"/>
    <col min="11795" max="11796" width="9" style="1631" customWidth="1"/>
    <col min="11797" max="12032" width="8.875" style="1631" customWidth="1"/>
    <col min="12033" max="12033" width="43" style="1631" customWidth="1"/>
    <col min="12034" max="12034" width="7.125" style="1631" customWidth="1"/>
    <col min="12035" max="12035" width="13.375" style="1631" customWidth="1"/>
    <col min="12036" max="12036" width="5.125" style="1631" customWidth="1"/>
    <col min="12037" max="12037" width="43" style="1631" customWidth="1"/>
    <col min="12038" max="12038" width="9" style="1631" customWidth="1"/>
    <col min="12039" max="12039" width="13" style="1631" customWidth="1"/>
    <col min="12040" max="12040" width="19.625" style="1631" customWidth="1"/>
    <col min="12041" max="12042" width="15.875" style="1631" customWidth="1"/>
    <col min="12043" max="12043" width="13.375" style="1631" customWidth="1"/>
    <col min="12044" max="12044" width="10.125" style="1631" customWidth="1"/>
    <col min="12045" max="12045" width="32.5" style="1631" customWidth="1"/>
    <col min="12046" max="12046" width="37.375" style="1631" customWidth="1"/>
    <col min="12047" max="12047" width="12.125" style="1631" customWidth="1"/>
    <col min="12048" max="12048" width="18.125" style="1631" customWidth="1"/>
    <col min="12049" max="12049" width="16.375" style="1631" customWidth="1"/>
    <col min="12050" max="12050" width="7.125" style="1631" customWidth="1"/>
    <col min="12051" max="12052" width="9" style="1631" customWidth="1"/>
    <col min="12053" max="12288" width="8.875" style="1631" customWidth="1"/>
    <col min="12289" max="12289" width="43" style="1631" customWidth="1"/>
    <col min="12290" max="12290" width="7.125" style="1631" customWidth="1"/>
    <col min="12291" max="12291" width="13.375" style="1631" customWidth="1"/>
    <col min="12292" max="12292" width="5.125" style="1631" customWidth="1"/>
    <col min="12293" max="12293" width="43" style="1631" customWidth="1"/>
    <col min="12294" max="12294" width="9" style="1631" customWidth="1"/>
    <col min="12295" max="12295" width="13" style="1631" customWidth="1"/>
    <col min="12296" max="12296" width="19.625" style="1631" customWidth="1"/>
    <col min="12297" max="12298" width="15.875" style="1631" customWidth="1"/>
    <col min="12299" max="12299" width="13.375" style="1631" customWidth="1"/>
    <col min="12300" max="12300" width="10.125" style="1631" customWidth="1"/>
    <col min="12301" max="12301" width="32.5" style="1631" customWidth="1"/>
    <col min="12302" max="12302" width="37.375" style="1631" customWidth="1"/>
    <col min="12303" max="12303" width="12.125" style="1631" customWidth="1"/>
    <col min="12304" max="12304" width="18.125" style="1631" customWidth="1"/>
    <col min="12305" max="12305" width="16.375" style="1631" customWidth="1"/>
    <col min="12306" max="12306" width="7.125" style="1631" customWidth="1"/>
    <col min="12307" max="12308" width="9" style="1631" customWidth="1"/>
    <col min="12309" max="12544" width="8.875" style="1631" customWidth="1"/>
    <col min="12545" max="12545" width="43" style="1631" customWidth="1"/>
    <col min="12546" max="12546" width="7.125" style="1631" customWidth="1"/>
    <col min="12547" max="12547" width="13.375" style="1631" customWidth="1"/>
    <col min="12548" max="12548" width="5.125" style="1631" customWidth="1"/>
    <col min="12549" max="12549" width="43" style="1631" customWidth="1"/>
    <col min="12550" max="12550" width="9" style="1631" customWidth="1"/>
    <col min="12551" max="12551" width="13" style="1631" customWidth="1"/>
    <col min="12552" max="12552" width="19.625" style="1631" customWidth="1"/>
    <col min="12553" max="12554" width="15.875" style="1631" customWidth="1"/>
    <col min="12555" max="12555" width="13.375" style="1631" customWidth="1"/>
    <col min="12556" max="12556" width="10.125" style="1631" customWidth="1"/>
    <col min="12557" max="12557" width="32.5" style="1631" customWidth="1"/>
    <col min="12558" max="12558" width="37.375" style="1631" customWidth="1"/>
    <col min="12559" max="12559" width="12.125" style="1631" customWidth="1"/>
    <col min="12560" max="12560" width="18.125" style="1631" customWidth="1"/>
    <col min="12561" max="12561" width="16.375" style="1631" customWidth="1"/>
    <col min="12562" max="12562" width="7.125" style="1631" customWidth="1"/>
    <col min="12563" max="12564" width="9" style="1631" customWidth="1"/>
    <col min="12565" max="12800" width="8.875" style="1631" customWidth="1"/>
    <col min="12801" max="12801" width="43" style="1631" customWidth="1"/>
    <col min="12802" max="12802" width="7.125" style="1631" customWidth="1"/>
    <col min="12803" max="12803" width="13.375" style="1631" customWidth="1"/>
    <col min="12804" max="12804" width="5.125" style="1631" customWidth="1"/>
    <col min="12805" max="12805" width="43" style="1631" customWidth="1"/>
    <col min="12806" max="12806" width="9" style="1631" customWidth="1"/>
    <col min="12807" max="12807" width="13" style="1631" customWidth="1"/>
    <col min="12808" max="12808" width="19.625" style="1631" customWidth="1"/>
    <col min="12809" max="12810" width="15.875" style="1631" customWidth="1"/>
    <col min="12811" max="12811" width="13.375" style="1631" customWidth="1"/>
    <col min="12812" max="12812" width="10.125" style="1631" customWidth="1"/>
    <col min="12813" max="12813" width="32.5" style="1631" customWidth="1"/>
    <col min="12814" max="12814" width="37.375" style="1631" customWidth="1"/>
    <col min="12815" max="12815" width="12.125" style="1631" customWidth="1"/>
    <col min="12816" max="12816" width="18.125" style="1631" customWidth="1"/>
    <col min="12817" max="12817" width="16.375" style="1631" customWidth="1"/>
    <col min="12818" max="12818" width="7.125" style="1631" customWidth="1"/>
    <col min="12819" max="12820" width="9" style="1631" customWidth="1"/>
    <col min="12821" max="13056" width="8.875" style="1631" customWidth="1"/>
    <col min="13057" max="13057" width="43" style="1631" customWidth="1"/>
    <col min="13058" max="13058" width="7.125" style="1631" customWidth="1"/>
    <col min="13059" max="13059" width="13.375" style="1631" customWidth="1"/>
    <col min="13060" max="13060" width="5.125" style="1631" customWidth="1"/>
    <col min="13061" max="13061" width="43" style="1631" customWidth="1"/>
    <col min="13062" max="13062" width="9" style="1631" customWidth="1"/>
    <col min="13063" max="13063" width="13" style="1631" customWidth="1"/>
    <col min="13064" max="13064" width="19.625" style="1631" customWidth="1"/>
    <col min="13065" max="13066" width="15.875" style="1631" customWidth="1"/>
    <col min="13067" max="13067" width="13.375" style="1631" customWidth="1"/>
    <col min="13068" max="13068" width="10.125" style="1631" customWidth="1"/>
    <col min="13069" max="13069" width="32.5" style="1631" customWidth="1"/>
    <col min="13070" max="13070" width="37.375" style="1631" customWidth="1"/>
    <col min="13071" max="13071" width="12.125" style="1631" customWidth="1"/>
    <col min="13072" max="13072" width="18.125" style="1631" customWidth="1"/>
    <col min="13073" max="13073" width="16.375" style="1631" customWidth="1"/>
    <col min="13074" max="13074" width="7.125" style="1631" customWidth="1"/>
    <col min="13075" max="13076" width="9" style="1631" customWidth="1"/>
    <col min="13077" max="13312" width="8.875" style="1631" customWidth="1"/>
    <col min="13313" max="13313" width="43" style="1631" customWidth="1"/>
    <col min="13314" max="13314" width="7.125" style="1631" customWidth="1"/>
    <col min="13315" max="13315" width="13.375" style="1631" customWidth="1"/>
    <col min="13316" max="13316" width="5.125" style="1631" customWidth="1"/>
    <col min="13317" max="13317" width="43" style="1631" customWidth="1"/>
    <col min="13318" max="13318" width="9" style="1631" customWidth="1"/>
    <col min="13319" max="13319" width="13" style="1631" customWidth="1"/>
    <col min="13320" max="13320" width="19.625" style="1631" customWidth="1"/>
    <col min="13321" max="13322" width="15.875" style="1631" customWidth="1"/>
    <col min="13323" max="13323" width="13.375" style="1631" customWidth="1"/>
    <col min="13324" max="13324" width="10.125" style="1631" customWidth="1"/>
    <col min="13325" max="13325" width="32.5" style="1631" customWidth="1"/>
    <col min="13326" max="13326" width="37.375" style="1631" customWidth="1"/>
    <col min="13327" max="13327" width="12.125" style="1631" customWidth="1"/>
    <col min="13328" max="13328" width="18.125" style="1631" customWidth="1"/>
    <col min="13329" max="13329" width="16.375" style="1631" customWidth="1"/>
    <col min="13330" max="13330" width="7.125" style="1631" customWidth="1"/>
    <col min="13331" max="13332" width="9" style="1631" customWidth="1"/>
    <col min="13333" max="13568" width="8.875" style="1631" customWidth="1"/>
    <col min="13569" max="13569" width="43" style="1631" customWidth="1"/>
    <col min="13570" max="13570" width="7.125" style="1631" customWidth="1"/>
    <col min="13571" max="13571" width="13.375" style="1631" customWidth="1"/>
    <col min="13572" max="13572" width="5.125" style="1631" customWidth="1"/>
    <col min="13573" max="13573" width="43" style="1631" customWidth="1"/>
    <col min="13574" max="13574" width="9" style="1631" customWidth="1"/>
    <col min="13575" max="13575" width="13" style="1631" customWidth="1"/>
    <col min="13576" max="13576" width="19.625" style="1631" customWidth="1"/>
    <col min="13577" max="13578" width="15.875" style="1631" customWidth="1"/>
    <col min="13579" max="13579" width="13.375" style="1631" customWidth="1"/>
    <col min="13580" max="13580" width="10.125" style="1631" customWidth="1"/>
    <col min="13581" max="13581" width="32.5" style="1631" customWidth="1"/>
    <col min="13582" max="13582" width="37.375" style="1631" customWidth="1"/>
    <col min="13583" max="13583" width="12.125" style="1631" customWidth="1"/>
    <col min="13584" max="13584" width="18.125" style="1631" customWidth="1"/>
    <col min="13585" max="13585" width="16.375" style="1631" customWidth="1"/>
    <col min="13586" max="13586" width="7.125" style="1631" customWidth="1"/>
    <col min="13587" max="13588" width="9" style="1631" customWidth="1"/>
    <col min="13589" max="13824" width="8.875" style="1631" customWidth="1"/>
    <col min="13825" max="13825" width="43" style="1631" customWidth="1"/>
    <col min="13826" max="13826" width="7.125" style="1631" customWidth="1"/>
    <col min="13827" max="13827" width="13.375" style="1631" customWidth="1"/>
    <col min="13828" max="13828" width="5.125" style="1631" customWidth="1"/>
    <col min="13829" max="13829" width="43" style="1631" customWidth="1"/>
    <col min="13830" max="13830" width="9" style="1631" customWidth="1"/>
    <col min="13831" max="13831" width="13" style="1631" customWidth="1"/>
    <col min="13832" max="13832" width="19.625" style="1631" customWidth="1"/>
    <col min="13833" max="13834" width="15.875" style="1631" customWidth="1"/>
    <col min="13835" max="13835" width="13.375" style="1631" customWidth="1"/>
    <col min="13836" max="13836" width="10.125" style="1631" customWidth="1"/>
    <col min="13837" max="13837" width="32.5" style="1631" customWidth="1"/>
    <col min="13838" max="13838" width="37.375" style="1631" customWidth="1"/>
    <col min="13839" max="13839" width="12.125" style="1631" customWidth="1"/>
    <col min="13840" max="13840" width="18.125" style="1631" customWidth="1"/>
    <col min="13841" max="13841" width="16.375" style="1631" customWidth="1"/>
    <col min="13842" max="13842" width="7.125" style="1631" customWidth="1"/>
    <col min="13843" max="13844" width="9" style="1631" customWidth="1"/>
    <col min="13845" max="14080" width="8.875" style="1631" customWidth="1"/>
    <col min="14081" max="14081" width="43" style="1631" customWidth="1"/>
    <col min="14082" max="14082" width="7.125" style="1631" customWidth="1"/>
    <col min="14083" max="14083" width="13.375" style="1631" customWidth="1"/>
    <col min="14084" max="14084" width="5.125" style="1631" customWidth="1"/>
    <col min="14085" max="14085" width="43" style="1631" customWidth="1"/>
    <col min="14086" max="14086" width="9" style="1631" customWidth="1"/>
    <col min="14087" max="14087" width="13" style="1631" customWidth="1"/>
    <col min="14088" max="14088" width="19.625" style="1631" customWidth="1"/>
    <col min="14089" max="14090" width="15.875" style="1631" customWidth="1"/>
    <col min="14091" max="14091" width="13.375" style="1631" customWidth="1"/>
    <col min="14092" max="14092" width="10.125" style="1631" customWidth="1"/>
    <col min="14093" max="14093" width="32.5" style="1631" customWidth="1"/>
    <col min="14094" max="14094" width="37.375" style="1631" customWidth="1"/>
    <col min="14095" max="14095" width="12.125" style="1631" customWidth="1"/>
    <col min="14096" max="14096" width="18.125" style="1631" customWidth="1"/>
    <col min="14097" max="14097" width="16.375" style="1631" customWidth="1"/>
    <col min="14098" max="14098" width="7.125" style="1631" customWidth="1"/>
    <col min="14099" max="14100" width="9" style="1631" customWidth="1"/>
    <col min="14101" max="14336" width="8.875" style="1631" customWidth="1"/>
    <col min="14337" max="14337" width="43" style="1631" customWidth="1"/>
    <col min="14338" max="14338" width="7.125" style="1631" customWidth="1"/>
    <col min="14339" max="14339" width="13.375" style="1631" customWidth="1"/>
    <col min="14340" max="14340" width="5.125" style="1631" customWidth="1"/>
    <col min="14341" max="14341" width="43" style="1631" customWidth="1"/>
    <col min="14342" max="14342" width="9" style="1631" customWidth="1"/>
    <col min="14343" max="14343" width="13" style="1631" customWidth="1"/>
    <col min="14344" max="14344" width="19.625" style="1631" customWidth="1"/>
    <col min="14345" max="14346" width="15.875" style="1631" customWidth="1"/>
    <col min="14347" max="14347" width="13.375" style="1631" customWidth="1"/>
    <col min="14348" max="14348" width="10.125" style="1631" customWidth="1"/>
    <col min="14349" max="14349" width="32.5" style="1631" customWidth="1"/>
    <col min="14350" max="14350" width="37.375" style="1631" customWidth="1"/>
    <col min="14351" max="14351" width="12.125" style="1631" customWidth="1"/>
    <col min="14352" max="14352" width="18.125" style="1631" customWidth="1"/>
    <col min="14353" max="14353" width="16.375" style="1631" customWidth="1"/>
    <col min="14354" max="14354" width="7.125" style="1631" customWidth="1"/>
    <col min="14355" max="14356" width="9" style="1631" customWidth="1"/>
    <col min="14357" max="14592" width="8.875" style="1631" customWidth="1"/>
    <col min="14593" max="14593" width="43" style="1631" customWidth="1"/>
    <col min="14594" max="14594" width="7.125" style="1631" customWidth="1"/>
    <col min="14595" max="14595" width="13.375" style="1631" customWidth="1"/>
    <col min="14596" max="14596" width="5.125" style="1631" customWidth="1"/>
    <col min="14597" max="14597" width="43" style="1631" customWidth="1"/>
    <col min="14598" max="14598" width="9" style="1631" customWidth="1"/>
    <col min="14599" max="14599" width="13" style="1631" customWidth="1"/>
    <col min="14600" max="14600" width="19.625" style="1631" customWidth="1"/>
    <col min="14601" max="14602" width="15.875" style="1631" customWidth="1"/>
    <col min="14603" max="14603" width="13.375" style="1631" customWidth="1"/>
    <col min="14604" max="14604" width="10.125" style="1631" customWidth="1"/>
    <col min="14605" max="14605" width="32.5" style="1631" customWidth="1"/>
    <col min="14606" max="14606" width="37.375" style="1631" customWidth="1"/>
    <col min="14607" max="14607" width="12.125" style="1631" customWidth="1"/>
    <col min="14608" max="14608" width="18.125" style="1631" customWidth="1"/>
    <col min="14609" max="14609" width="16.375" style="1631" customWidth="1"/>
    <col min="14610" max="14610" width="7.125" style="1631" customWidth="1"/>
    <col min="14611" max="14612" width="9" style="1631" customWidth="1"/>
    <col min="14613" max="14848" width="8.875" style="1631" customWidth="1"/>
    <col min="14849" max="14849" width="43" style="1631" customWidth="1"/>
    <col min="14850" max="14850" width="7.125" style="1631" customWidth="1"/>
    <col min="14851" max="14851" width="13.375" style="1631" customWidth="1"/>
    <col min="14852" max="14852" width="5.125" style="1631" customWidth="1"/>
    <col min="14853" max="14853" width="43" style="1631" customWidth="1"/>
    <col min="14854" max="14854" width="9" style="1631" customWidth="1"/>
    <col min="14855" max="14855" width="13" style="1631" customWidth="1"/>
    <col min="14856" max="14856" width="19.625" style="1631" customWidth="1"/>
    <col min="14857" max="14858" width="15.875" style="1631" customWidth="1"/>
    <col min="14859" max="14859" width="13.375" style="1631" customWidth="1"/>
    <col min="14860" max="14860" width="10.125" style="1631" customWidth="1"/>
    <col min="14861" max="14861" width="32.5" style="1631" customWidth="1"/>
    <col min="14862" max="14862" width="37.375" style="1631" customWidth="1"/>
    <col min="14863" max="14863" width="12.125" style="1631" customWidth="1"/>
    <col min="14864" max="14864" width="18.125" style="1631" customWidth="1"/>
    <col min="14865" max="14865" width="16.375" style="1631" customWidth="1"/>
    <col min="14866" max="14866" width="7.125" style="1631" customWidth="1"/>
    <col min="14867" max="14868" width="9" style="1631" customWidth="1"/>
    <col min="14869" max="15104" width="8.875" style="1631" customWidth="1"/>
    <col min="15105" max="15105" width="43" style="1631" customWidth="1"/>
    <col min="15106" max="15106" width="7.125" style="1631" customWidth="1"/>
    <col min="15107" max="15107" width="13.375" style="1631" customWidth="1"/>
    <col min="15108" max="15108" width="5.125" style="1631" customWidth="1"/>
    <col min="15109" max="15109" width="43" style="1631" customWidth="1"/>
    <col min="15110" max="15110" width="9" style="1631" customWidth="1"/>
    <col min="15111" max="15111" width="13" style="1631" customWidth="1"/>
    <col min="15112" max="15112" width="19.625" style="1631" customWidth="1"/>
    <col min="15113" max="15114" width="15.875" style="1631" customWidth="1"/>
    <col min="15115" max="15115" width="13.375" style="1631" customWidth="1"/>
    <col min="15116" max="15116" width="10.125" style="1631" customWidth="1"/>
    <col min="15117" max="15117" width="32.5" style="1631" customWidth="1"/>
    <col min="15118" max="15118" width="37.375" style="1631" customWidth="1"/>
    <col min="15119" max="15119" width="12.125" style="1631" customWidth="1"/>
    <col min="15120" max="15120" width="18.125" style="1631" customWidth="1"/>
    <col min="15121" max="15121" width="16.375" style="1631" customWidth="1"/>
    <col min="15122" max="15122" width="7.125" style="1631" customWidth="1"/>
    <col min="15123" max="15124" width="9" style="1631" customWidth="1"/>
    <col min="15125" max="15360" width="8.875" style="1631" customWidth="1"/>
    <col min="15361" max="15361" width="43" style="1631" customWidth="1"/>
    <col min="15362" max="15362" width="7.125" style="1631" customWidth="1"/>
    <col min="15363" max="15363" width="13.375" style="1631" customWidth="1"/>
    <col min="15364" max="15364" width="5.125" style="1631" customWidth="1"/>
    <col min="15365" max="15365" width="43" style="1631" customWidth="1"/>
    <col min="15366" max="15366" width="9" style="1631" customWidth="1"/>
    <col min="15367" max="15367" width="13" style="1631" customWidth="1"/>
    <col min="15368" max="15368" width="19.625" style="1631" customWidth="1"/>
    <col min="15369" max="15370" width="15.875" style="1631" customWidth="1"/>
    <col min="15371" max="15371" width="13.375" style="1631" customWidth="1"/>
    <col min="15372" max="15372" width="10.125" style="1631" customWidth="1"/>
    <col min="15373" max="15373" width="32.5" style="1631" customWidth="1"/>
    <col min="15374" max="15374" width="37.375" style="1631" customWidth="1"/>
    <col min="15375" max="15375" width="12.125" style="1631" customWidth="1"/>
    <col min="15376" max="15376" width="18.125" style="1631" customWidth="1"/>
    <col min="15377" max="15377" width="16.375" style="1631" customWidth="1"/>
    <col min="15378" max="15378" width="7.125" style="1631" customWidth="1"/>
    <col min="15379" max="15380" width="9" style="1631" customWidth="1"/>
    <col min="15381" max="15616" width="8.875" style="1631" customWidth="1"/>
    <col min="15617" max="15617" width="43" style="1631" customWidth="1"/>
    <col min="15618" max="15618" width="7.125" style="1631" customWidth="1"/>
    <col min="15619" max="15619" width="13.375" style="1631" customWidth="1"/>
    <col min="15620" max="15620" width="5.125" style="1631" customWidth="1"/>
    <col min="15621" max="15621" width="43" style="1631" customWidth="1"/>
    <col min="15622" max="15622" width="9" style="1631" customWidth="1"/>
    <col min="15623" max="15623" width="13" style="1631" customWidth="1"/>
    <col min="15624" max="15624" width="19.625" style="1631" customWidth="1"/>
    <col min="15625" max="15626" width="15.875" style="1631" customWidth="1"/>
    <col min="15627" max="15627" width="13.375" style="1631" customWidth="1"/>
    <col min="15628" max="15628" width="10.125" style="1631" customWidth="1"/>
    <col min="15629" max="15629" width="32.5" style="1631" customWidth="1"/>
    <col min="15630" max="15630" width="37.375" style="1631" customWidth="1"/>
    <col min="15631" max="15631" width="12.125" style="1631" customWidth="1"/>
    <col min="15632" max="15632" width="18.125" style="1631" customWidth="1"/>
    <col min="15633" max="15633" width="16.375" style="1631" customWidth="1"/>
    <col min="15634" max="15634" width="7.125" style="1631" customWidth="1"/>
    <col min="15635" max="15636" width="9" style="1631" customWidth="1"/>
    <col min="15637" max="15872" width="8.875" style="1631" customWidth="1"/>
    <col min="15873" max="15873" width="43" style="1631" customWidth="1"/>
    <col min="15874" max="15874" width="7.125" style="1631" customWidth="1"/>
    <col min="15875" max="15875" width="13.375" style="1631" customWidth="1"/>
    <col min="15876" max="15876" width="5.125" style="1631" customWidth="1"/>
    <col min="15877" max="15877" width="43" style="1631" customWidth="1"/>
    <col min="15878" max="15878" width="9" style="1631" customWidth="1"/>
    <col min="15879" max="15879" width="13" style="1631" customWidth="1"/>
    <col min="15880" max="15880" width="19.625" style="1631" customWidth="1"/>
    <col min="15881" max="15882" width="15.875" style="1631" customWidth="1"/>
    <col min="15883" max="15883" width="13.375" style="1631" customWidth="1"/>
    <col min="15884" max="15884" width="10.125" style="1631" customWidth="1"/>
    <col min="15885" max="15885" width="32.5" style="1631" customWidth="1"/>
    <col min="15886" max="15886" width="37.375" style="1631" customWidth="1"/>
    <col min="15887" max="15887" width="12.125" style="1631" customWidth="1"/>
    <col min="15888" max="15888" width="18.125" style="1631" customWidth="1"/>
    <col min="15889" max="15889" width="16.375" style="1631" customWidth="1"/>
    <col min="15890" max="15890" width="7.125" style="1631" customWidth="1"/>
    <col min="15891" max="15892" width="9" style="1631" customWidth="1"/>
    <col min="15893" max="16128" width="8.875" style="1631" customWidth="1"/>
    <col min="16129" max="16129" width="43" style="1631" customWidth="1"/>
    <col min="16130" max="16130" width="7.125" style="1631" customWidth="1"/>
    <col min="16131" max="16131" width="13.375" style="1631" customWidth="1"/>
    <col min="16132" max="16132" width="5.125" style="1631" customWidth="1"/>
    <col min="16133" max="16133" width="43" style="1631" customWidth="1"/>
    <col min="16134" max="16134" width="9" style="1631" customWidth="1"/>
    <col min="16135" max="16135" width="13" style="1631" customWidth="1"/>
    <col min="16136" max="16136" width="19.625" style="1631" customWidth="1"/>
    <col min="16137" max="16138" width="15.875" style="1631" customWidth="1"/>
    <col min="16139" max="16139" width="13.375" style="1631" customWidth="1"/>
    <col min="16140" max="16140" width="10.125" style="1631" customWidth="1"/>
    <col min="16141" max="16141" width="32.5" style="1631" customWidth="1"/>
    <col min="16142" max="16142" width="37.375" style="1631" customWidth="1"/>
    <col min="16143" max="16143" width="12.125" style="1631" customWidth="1"/>
    <col min="16144" max="16144" width="18.125" style="1631" customWidth="1"/>
    <col min="16145" max="16145" width="16.375" style="1631" customWidth="1"/>
    <col min="16146" max="16146" width="7.125" style="1631" customWidth="1"/>
    <col min="16147" max="16148" width="9" style="1631" customWidth="1"/>
    <col min="16149" max="16384" width="8.875" style="1631" customWidth="1"/>
  </cols>
  <sheetData>
    <row r="1" spans="1:20">
      <c r="A1" s="1631" t="s">
        <v>3086</v>
      </c>
      <c r="B1" s="1631" t="s">
        <v>3087</v>
      </c>
      <c r="C1" s="1631" t="s">
        <v>3088</v>
      </c>
      <c r="D1" s="1631" t="s">
        <v>3089</v>
      </c>
      <c r="E1" s="1631" t="s">
        <v>3090</v>
      </c>
      <c r="F1" s="1631" t="s">
        <v>3091</v>
      </c>
      <c r="G1" s="1631" t="s">
        <v>3092</v>
      </c>
      <c r="H1" s="1631" t="s">
        <v>3093</v>
      </c>
      <c r="I1" s="1631" t="s">
        <v>3094</v>
      </c>
      <c r="J1" s="1631" t="s">
        <v>3095</v>
      </c>
      <c r="K1" s="1631" t="s">
        <v>3096</v>
      </c>
      <c r="L1" s="1631" t="s">
        <v>3097</v>
      </c>
      <c r="M1" s="1631" t="s">
        <v>3098</v>
      </c>
      <c r="N1" s="1631" t="s">
        <v>3099</v>
      </c>
      <c r="O1" s="1631" t="s">
        <v>3100</v>
      </c>
      <c r="P1" s="1631" t="s">
        <v>3101</v>
      </c>
      <c r="Q1" s="1631" t="s">
        <v>3102</v>
      </c>
      <c r="R1" s="1631" t="s">
        <v>3103</v>
      </c>
      <c r="S1" s="1631" t="s">
        <v>3104</v>
      </c>
      <c r="T1" s="1631" t="s">
        <v>3105</v>
      </c>
    </row>
    <row r="2" spans="1:20">
      <c r="A2" s="1631" t="s">
        <v>3106</v>
      </c>
      <c r="B2" s="1631" t="s">
        <v>3107</v>
      </c>
      <c r="C2" s="1631" t="s">
        <v>3108</v>
      </c>
      <c r="D2" s="1631" t="s">
        <v>1326</v>
      </c>
      <c r="E2" s="1631" t="s">
        <v>3106</v>
      </c>
      <c r="F2" s="1631" t="s">
        <v>3109</v>
      </c>
      <c r="G2" s="1631" t="s">
        <v>3110</v>
      </c>
      <c r="H2" s="1631" t="s">
        <v>3111</v>
      </c>
      <c r="I2" s="1631">
        <v>12884</v>
      </c>
      <c r="J2" s="1631">
        <v>29633.200000000001</v>
      </c>
      <c r="K2" s="1631" t="s">
        <v>3112</v>
      </c>
      <c r="L2" s="1631" t="s">
        <v>3113</v>
      </c>
      <c r="M2" s="1631" t="s">
        <v>3114</v>
      </c>
      <c r="N2" s="1631" t="s">
        <v>3115</v>
      </c>
      <c r="O2" s="1631">
        <v>1373</v>
      </c>
      <c r="P2" s="1631">
        <v>71.040000000000006</v>
      </c>
      <c r="Q2" s="1631">
        <v>463.32</v>
      </c>
      <c r="R2" s="1631">
        <v>0</v>
      </c>
      <c r="S2" s="1631" t="s">
        <v>3116</v>
      </c>
      <c r="T2" s="1631" t="s">
        <v>3117</v>
      </c>
    </row>
    <row r="3" spans="1:20">
      <c r="A3" s="1631" t="s">
        <v>3118</v>
      </c>
      <c r="B3" s="1631" t="s">
        <v>3107</v>
      </c>
      <c r="C3" s="1631" t="s">
        <v>3108</v>
      </c>
      <c r="D3" s="1631" t="s">
        <v>1326</v>
      </c>
      <c r="E3" s="1631" t="s">
        <v>3118</v>
      </c>
      <c r="F3" s="1631" t="s">
        <v>3109</v>
      </c>
      <c r="G3" s="1631" t="s">
        <v>3119</v>
      </c>
      <c r="H3" s="1631" t="s">
        <v>3111</v>
      </c>
      <c r="I3" s="1631">
        <v>3306</v>
      </c>
      <c r="J3" s="1631">
        <v>991.8</v>
      </c>
      <c r="K3" s="1631" t="s">
        <v>3120</v>
      </c>
      <c r="L3" s="1631" t="s">
        <v>3113</v>
      </c>
      <c r="M3" s="1631" t="s">
        <v>3114</v>
      </c>
      <c r="N3" s="1631" t="s">
        <v>3121</v>
      </c>
      <c r="O3" s="1631">
        <v>2083</v>
      </c>
      <c r="P3" s="1631">
        <v>420.04</v>
      </c>
      <c r="Q3" s="1631">
        <v>21002.22</v>
      </c>
      <c r="R3" s="1631">
        <v>0</v>
      </c>
      <c r="S3" s="1631" t="s">
        <v>3116</v>
      </c>
      <c r="T3" s="1631" t="s">
        <v>3122</v>
      </c>
    </row>
    <row r="4" spans="1:20">
      <c r="A4" s="1631" t="s">
        <v>3123</v>
      </c>
      <c r="B4" s="1631" t="s">
        <v>3107</v>
      </c>
      <c r="C4" s="1631" t="s">
        <v>3108</v>
      </c>
      <c r="D4" s="1631" t="s">
        <v>1326</v>
      </c>
      <c r="E4" s="1631" t="s">
        <v>3123</v>
      </c>
      <c r="F4" s="1631" t="s">
        <v>3109</v>
      </c>
      <c r="G4" s="1631" t="s">
        <v>3124</v>
      </c>
      <c r="H4" s="1631" t="s">
        <v>3111</v>
      </c>
      <c r="I4" s="1631">
        <v>3985</v>
      </c>
      <c r="J4" s="1631">
        <v>1992.5</v>
      </c>
      <c r="K4" s="1631" t="s">
        <v>3125</v>
      </c>
      <c r="L4" s="1631" t="s">
        <v>3113</v>
      </c>
      <c r="M4" s="1631" t="s">
        <v>3114</v>
      </c>
      <c r="N4" s="1631" t="s">
        <v>3126</v>
      </c>
      <c r="O4" s="1631">
        <v>2989</v>
      </c>
      <c r="P4" s="1631">
        <v>500.04</v>
      </c>
      <c r="Q4" s="1631">
        <v>15001.25</v>
      </c>
      <c r="R4" s="1631">
        <v>0</v>
      </c>
      <c r="S4" s="1631" t="s">
        <v>3116</v>
      </c>
      <c r="T4" s="1631" t="s">
        <v>3122</v>
      </c>
    </row>
    <row r="5" spans="1:20">
      <c r="A5" s="1631" t="s">
        <v>3127</v>
      </c>
      <c r="B5" s="1631" t="s">
        <v>3107</v>
      </c>
      <c r="C5" s="1631" t="s">
        <v>3108</v>
      </c>
      <c r="D5" s="1631" t="s">
        <v>1326</v>
      </c>
      <c r="E5" s="1631" t="s">
        <v>3127</v>
      </c>
      <c r="F5" s="1631" t="s">
        <v>3109</v>
      </c>
      <c r="G5" s="1631" t="s">
        <v>3128</v>
      </c>
      <c r="H5" s="1631" t="s">
        <v>3111</v>
      </c>
      <c r="I5" s="1631">
        <v>10609</v>
      </c>
      <c r="J5" s="1631">
        <v>41375.1</v>
      </c>
      <c r="K5" s="1631" t="s">
        <v>3129</v>
      </c>
      <c r="L5" s="1631" t="s">
        <v>3113</v>
      </c>
      <c r="M5" s="1631" t="s">
        <v>3114</v>
      </c>
      <c r="N5" s="1631" t="s">
        <v>3115</v>
      </c>
      <c r="O5" s="1631">
        <v>1735</v>
      </c>
      <c r="P5" s="1631">
        <v>109.03</v>
      </c>
      <c r="Q5" s="1631">
        <v>419.32</v>
      </c>
      <c r="R5" s="1631">
        <v>0</v>
      </c>
      <c r="S5" s="1631" t="s">
        <v>3116</v>
      </c>
      <c r="T5" s="1631" t="s">
        <v>3130</v>
      </c>
    </row>
    <row r="6" spans="1:20" s="2953" customFormat="1">
      <c r="A6" s="2953" t="s">
        <v>3131</v>
      </c>
      <c r="B6" s="2953" t="s">
        <v>3107</v>
      </c>
      <c r="C6" s="2953" t="s">
        <v>3108</v>
      </c>
      <c r="D6" s="2953" t="s">
        <v>1326</v>
      </c>
      <c r="E6" s="2953" t="s">
        <v>3131</v>
      </c>
      <c r="F6" s="2953" t="s">
        <v>3109</v>
      </c>
      <c r="G6" s="2953" t="s">
        <v>3132</v>
      </c>
      <c r="H6" s="2953" t="s">
        <v>3111</v>
      </c>
      <c r="I6" s="2953">
        <v>26674</v>
      </c>
      <c r="J6" s="2953">
        <v>26674</v>
      </c>
      <c r="K6" s="2953" t="s">
        <v>3133</v>
      </c>
      <c r="L6" s="2953" t="s">
        <v>3134</v>
      </c>
      <c r="M6" s="2953" t="s">
        <v>3135</v>
      </c>
      <c r="N6" s="2953" t="s">
        <v>3136</v>
      </c>
      <c r="O6" s="2953">
        <v>4322</v>
      </c>
      <c r="P6" s="2953">
        <v>108.02</v>
      </c>
      <c r="Q6" s="2953">
        <v>1620.29</v>
      </c>
      <c r="R6" s="2953">
        <v>0</v>
      </c>
      <c r="S6" s="2953" t="s">
        <v>3116</v>
      </c>
      <c r="T6" s="2953" t="s">
        <v>3137</v>
      </c>
    </row>
    <row r="7" spans="1:20">
      <c r="A7" s="1631" t="s">
        <v>3138</v>
      </c>
      <c r="B7" s="1631" t="s">
        <v>3107</v>
      </c>
      <c r="C7" s="1631" t="s">
        <v>3108</v>
      </c>
      <c r="D7" s="1631" t="s">
        <v>1326</v>
      </c>
      <c r="E7" s="1631" t="s">
        <v>3138</v>
      </c>
      <c r="F7" s="1631" t="s">
        <v>3109</v>
      </c>
      <c r="G7" s="1631" t="s">
        <v>3139</v>
      </c>
      <c r="H7" s="1631" t="s">
        <v>3111</v>
      </c>
      <c r="I7" s="1631">
        <v>69750</v>
      </c>
      <c r="J7" s="1631">
        <v>209250</v>
      </c>
      <c r="K7" s="1631" t="s">
        <v>3140</v>
      </c>
      <c r="L7" s="1631" t="s">
        <v>3134</v>
      </c>
      <c r="M7" s="1631" t="s">
        <v>3135</v>
      </c>
      <c r="N7" s="1631" t="s">
        <v>3141</v>
      </c>
      <c r="O7" s="1631">
        <v>33062</v>
      </c>
      <c r="P7" s="1631">
        <v>316</v>
      </c>
      <c r="Q7" s="1631">
        <v>1580.01</v>
      </c>
      <c r="R7" s="1631">
        <v>0</v>
      </c>
      <c r="S7" s="1631" t="s">
        <v>3116</v>
      </c>
      <c r="T7" s="1631" t="s">
        <v>3122</v>
      </c>
    </row>
    <row r="8" spans="1:20">
      <c r="A8" s="1631" t="s">
        <v>3142</v>
      </c>
      <c r="B8" s="1631" t="s">
        <v>3107</v>
      </c>
      <c r="C8" s="1631" t="s">
        <v>3108</v>
      </c>
      <c r="D8" s="1631" t="s">
        <v>1326</v>
      </c>
      <c r="E8" s="1631" t="s">
        <v>3142</v>
      </c>
      <c r="F8" s="1631" t="s">
        <v>3109</v>
      </c>
      <c r="G8" s="1631" t="s">
        <v>3143</v>
      </c>
      <c r="H8" s="1631" t="s">
        <v>3111</v>
      </c>
      <c r="I8" s="1631">
        <v>56641</v>
      </c>
      <c r="J8" s="1631">
        <v>169923</v>
      </c>
      <c r="K8" s="1631" t="s">
        <v>3140</v>
      </c>
      <c r="L8" s="1631" t="s">
        <v>3134</v>
      </c>
      <c r="M8" s="1631" t="s">
        <v>3135</v>
      </c>
      <c r="N8" s="1631" t="s">
        <v>3141</v>
      </c>
      <c r="O8" s="1631">
        <v>26848</v>
      </c>
      <c r="P8" s="1631">
        <v>316</v>
      </c>
      <c r="Q8" s="1631">
        <v>1580</v>
      </c>
      <c r="R8" s="1631">
        <v>0</v>
      </c>
      <c r="S8" s="1631" t="s">
        <v>3116</v>
      </c>
      <c r="T8" s="1631" t="s">
        <v>3122</v>
      </c>
    </row>
    <row r="9" spans="1:20">
      <c r="A9" s="1631" t="s">
        <v>3144</v>
      </c>
      <c r="B9" s="1631" t="s">
        <v>3107</v>
      </c>
      <c r="C9" s="1631" t="s">
        <v>3108</v>
      </c>
      <c r="D9" s="1631" t="s">
        <v>1326</v>
      </c>
      <c r="E9" s="1631" t="s">
        <v>3144</v>
      </c>
      <c r="F9" s="1631" t="s">
        <v>3109</v>
      </c>
      <c r="G9" s="1631" t="s">
        <v>3145</v>
      </c>
      <c r="H9" s="1631" t="s">
        <v>3111</v>
      </c>
      <c r="I9" s="1631">
        <v>6747</v>
      </c>
      <c r="J9" s="1631">
        <v>13494</v>
      </c>
      <c r="K9" s="1631" t="s">
        <v>3146</v>
      </c>
      <c r="L9" s="1631" t="s">
        <v>3134</v>
      </c>
      <c r="M9" s="1631" t="s">
        <v>3135</v>
      </c>
      <c r="N9" s="1631" t="s">
        <v>3136</v>
      </c>
      <c r="O9" s="1631">
        <v>2551</v>
      </c>
      <c r="P9" s="1631">
        <v>252.06</v>
      </c>
      <c r="Q9" s="1631">
        <v>1890.47</v>
      </c>
      <c r="R9" s="1631">
        <v>0</v>
      </c>
      <c r="S9" s="1631" t="s">
        <v>3116</v>
      </c>
      <c r="T9" s="1631" t="s">
        <v>3122</v>
      </c>
    </row>
    <row r="10" spans="1:20" s="2952" customFormat="1">
      <c r="A10" s="2952" t="s">
        <v>3147</v>
      </c>
      <c r="B10" s="2952" t="s">
        <v>3107</v>
      </c>
      <c r="C10" s="2952" t="s">
        <v>3108</v>
      </c>
      <c r="D10" s="2952" t="s">
        <v>1326</v>
      </c>
      <c r="E10" s="2952" t="s">
        <v>3147</v>
      </c>
      <c r="F10" s="2952" t="s">
        <v>3109</v>
      </c>
      <c r="G10" s="2952" t="s">
        <v>3148</v>
      </c>
      <c r="H10" s="2952" t="s">
        <v>3111</v>
      </c>
      <c r="I10" s="2952">
        <v>196085</v>
      </c>
      <c r="J10" s="2952">
        <v>196085</v>
      </c>
      <c r="K10" s="2952" t="s">
        <v>3133</v>
      </c>
      <c r="L10" s="2952" t="s">
        <v>3149</v>
      </c>
      <c r="M10" s="2952" t="s">
        <v>3150</v>
      </c>
      <c r="N10" s="2952" t="s">
        <v>3151</v>
      </c>
      <c r="O10" s="2952">
        <v>56179</v>
      </c>
      <c r="P10" s="2952">
        <v>191</v>
      </c>
      <c r="Q10" s="2952">
        <v>2865.03</v>
      </c>
      <c r="R10" s="2952">
        <v>0</v>
      </c>
      <c r="S10" s="2952" t="s">
        <v>3116</v>
      </c>
      <c r="T10" s="2952" t="s">
        <v>3130</v>
      </c>
    </row>
    <row r="11" spans="1:20">
      <c r="A11" s="1631" t="s">
        <v>3152</v>
      </c>
      <c r="B11" s="1631" t="s">
        <v>3107</v>
      </c>
      <c r="C11" s="1631" t="s">
        <v>3108</v>
      </c>
      <c r="D11" s="1631" t="s">
        <v>1326</v>
      </c>
      <c r="E11" s="1631" t="s">
        <v>3152</v>
      </c>
      <c r="F11" s="1631" t="s">
        <v>3109</v>
      </c>
      <c r="G11" s="1631" t="s">
        <v>3153</v>
      </c>
      <c r="H11" s="1631" t="s">
        <v>3111</v>
      </c>
      <c r="I11" s="1631">
        <v>15294</v>
      </c>
      <c r="J11" s="1631">
        <v>12235.2</v>
      </c>
      <c r="K11" s="1631" t="s">
        <v>3154</v>
      </c>
      <c r="L11" s="1631" t="s">
        <v>3149</v>
      </c>
      <c r="M11" s="1631" t="s">
        <v>3155</v>
      </c>
      <c r="N11" s="1631" t="s">
        <v>3156</v>
      </c>
      <c r="O11" s="1631">
        <v>3281</v>
      </c>
      <c r="P11" s="1631">
        <v>143.02000000000001</v>
      </c>
      <c r="Q11" s="1631">
        <v>2681.61</v>
      </c>
      <c r="R11" s="1631">
        <v>0</v>
      </c>
      <c r="S11" s="1631" t="s">
        <v>3116</v>
      </c>
      <c r="T11" s="1631" t="s">
        <v>3122</v>
      </c>
    </row>
    <row r="12" spans="1:20">
      <c r="A12" s="1631" t="s">
        <v>3152</v>
      </c>
      <c r="B12" s="1631" t="s">
        <v>3107</v>
      </c>
      <c r="C12" s="1631" t="s">
        <v>3108</v>
      </c>
      <c r="D12" s="1631" t="s">
        <v>1326</v>
      </c>
      <c r="E12" s="1631" t="s">
        <v>3152</v>
      </c>
      <c r="F12" s="1631" t="s">
        <v>3109</v>
      </c>
      <c r="G12" s="1631" t="s">
        <v>3157</v>
      </c>
      <c r="H12" s="1631" t="s">
        <v>3111</v>
      </c>
      <c r="I12" s="1631">
        <v>1188</v>
      </c>
      <c r="J12" s="1631">
        <v>2376</v>
      </c>
      <c r="K12" s="1631" t="s">
        <v>3158</v>
      </c>
      <c r="L12" s="1631" t="s">
        <v>3149</v>
      </c>
      <c r="M12" s="1631" t="s">
        <v>3159</v>
      </c>
      <c r="N12" s="1631" t="s">
        <v>3156</v>
      </c>
      <c r="O12" s="1631">
        <v>360</v>
      </c>
      <c r="P12" s="1631">
        <v>202.02</v>
      </c>
      <c r="Q12" s="1631">
        <v>1515.15</v>
      </c>
      <c r="R12" s="1631">
        <v>0</v>
      </c>
      <c r="S12" s="1631" t="s">
        <v>3116</v>
      </c>
      <c r="T12" s="1631" t="s">
        <v>3122</v>
      </c>
    </row>
    <row r="13" spans="1:20">
      <c r="A13" s="1631" t="s">
        <v>3160</v>
      </c>
      <c r="B13" s="1631" t="s">
        <v>3107</v>
      </c>
      <c r="C13" s="1631" t="s">
        <v>3108</v>
      </c>
      <c r="D13" s="1631" t="s">
        <v>1326</v>
      </c>
      <c r="E13" s="1631" t="s">
        <v>3160</v>
      </c>
      <c r="F13" s="1631" t="s">
        <v>3109</v>
      </c>
      <c r="G13" s="1631" t="s">
        <v>3161</v>
      </c>
      <c r="H13" s="1631" t="s">
        <v>3162</v>
      </c>
      <c r="I13" s="1631">
        <v>18287</v>
      </c>
      <c r="J13" s="1631">
        <v>14629.6</v>
      </c>
      <c r="K13" s="1631" t="s">
        <v>3154</v>
      </c>
      <c r="L13" s="1631" t="s">
        <v>3163</v>
      </c>
      <c r="M13" s="1631" t="s">
        <v>3164</v>
      </c>
      <c r="N13" s="1631" t="s">
        <v>3165</v>
      </c>
      <c r="O13" s="1631">
        <v>2222</v>
      </c>
      <c r="P13" s="1631">
        <v>81</v>
      </c>
      <c r="Q13" s="1631">
        <v>1518.83</v>
      </c>
      <c r="R13" s="1631">
        <v>0</v>
      </c>
      <c r="S13" s="1631" t="s">
        <v>3116</v>
      </c>
      <c r="T13" s="1631" t="s">
        <v>3130</v>
      </c>
    </row>
    <row r="14" spans="1:20">
      <c r="A14" s="1631" t="s">
        <v>3160</v>
      </c>
      <c r="B14" s="1631" t="s">
        <v>3107</v>
      </c>
      <c r="C14" s="1631" t="s">
        <v>3108</v>
      </c>
      <c r="D14" s="1631" t="s">
        <v>1326</v>
      </c>
      <c r="E14" s="1631" t="s">
        <v>3160</v>
      </c>
      <c r="F14" s="1631" t="s">
        <v>3109</v>
      </c>
      <c r="G14" s="1631" t="s">
        <v>3166</v>
      </c>
      <c r="H14" s="1631" t="s">
        <v>3162</v>
      </c>
      <c r="I14" s="1631">
        <v>12423</v>
      </c>
      <c r="J14" s="1631">
        <v>9938.4</v>
      </c>
      <c r="K14" s="1631" t="s">
        <v>3154</v>
      </c>
      <c r="L14" s="1631" t="s">
        <v>3163</v>
      </c>
      <c r="M14" s="1631" t="s">
        <v>3167</v>
      </c>
      <c r="N14" s="1631" t="s">
        <v>3165</v>
      </c>
      <c r="O14" s="1631">
        <v>1510</v>
      </c>
      <c r="P14" s="1631">
        <v>81.03</v>
      </c>
      <c r="Q14" s="1631">
        <v>1519.35</v>
      </c>
      <c r="R14" s="1631">
        <v>0</v>
      </c>
      <c r="S14" s="1631" t="s">
        <v>3116</v>
      </c>
      <c r="T14" s="1631" t="s">
        <v>3130</v>
      </c>
    </row>
    <row r="15" spans="1:20">
      <c r="A15" s="1631" t="s">
        <v>3160</v>
      </c>
      <c r="B15" s="1631" t="s">
        <v>3107</v>
      </c>
      <c r="C15" s="1631" t="s">
        <v>3108</v>
      </c>
      <c r="D15" s="1631" t="s">
        <v>1326</v>
      </c>
      <c r="E15" s="1631" t="s">
        <v>3160</v>
      </c>
      <c r="F15" s="1631" t="s">
        <v>3109</v>
      </c>
      <c r="G15" s="1631" t="s">
        <v>3168</v>
      </c>
      <c r="H15" s="1631" t="s">
        <v>3162</v>
      </c>
      <c r="I15" s="1631">
        <v>10458</v>
      </c>
      <c r="J15" s="1631">
        <v>8366.4</v>
      </c>
      <c r="K15" s="1631" t="s">
        <v>3154</v>
      </c>
      <c r="L15" s="1631" t="s">
        <v>3163</v>
      </c>
      <c r="M15" s="1631" t="s">
        <v>3169</v>
      </c>
      <c r="N15" s="1631" t="s">
        <v>3165</v>
      </c>
      <c r="O15" s="1631">
        <v>1271</v>
      </c>
      <c r="P15" s="1631">
        <v>81.02</v>
      </c>
      <c r="Q15" s="1631">
        <v>1519.17</v>
      </c>
      <c r="R15" s="1631">
        <v>0</v>
      </c>
      <c r="S15" s="1631" t="s">
        <v>3116</v>
      </c>
      <c r="T15" s="1631" t="s">
        <v>3130</v>
      </c>
    </row>
    <row r="16" spans="1:20">
      <c r="A16" s="1631" t="s">
        <v>3160</v>
      </c>
      <c r="B16" s="1631" t="s">
        <v>3107</v>
      </c>
      <c r="C16" s="1631" t="s">
        <v>3108</v>
      </c>
      <c r="D16" s="1631" t="s">
        <v>1326</v>
      </c>
      <c r="E16" s="1631" t="s">
        <v>3160</v>
      </c>
      <c r="F16" s="1631" t="s">
        <v>3109</v>
      </c>
      <c r="G16" s="1631" t="s">
        <v>3170</v>
      </c>
      <c r="H16" s="1631" t="s">
        <v>3162</v>
      </c>
      <c r="I16" s="1631">
        <v>16928</v>
      </c>
      <c r="J16" s="1631">
        <v>13542.4</v>
      </c>
      <c r="K16" s="1631" t="s">
        <v>3154</v>
      </c>
      <c r="L16" s="1631" t="s">
        <v>3163</v>
      </c>
      <c r="M16" s="1631" t="s">
        <v>3171</v>
      </c>
      <c r="N16" s="1631" t="s">
        <v>3165</v>
      </c>
      <c r="O16" s="1631">
        <v>2057</v>
      </c>
      <c r="P16" s="1631">
        <v>81.010000000000005</v>
      </c>
      <c r="Q16" s="1631">
        <v>1518.93</v>
      </c>
      <c r="R16" s="1631">
        <v>0</v>
      </c>
      <c r="S16" s="1631" t="s">
        <v>3116</v>
      </c>
      <c r="T16" s="1631" t="s">
        <v>3130</v>
      </c>
    </row>
    <row r="17" spans="1:20">
      <c r="A17" s="1631" t="s">
        <v>3172</v>
      </c>
      <c r="B17" s="1631" t="s">
        <v>3107</v>
      </c>
      <c r="C17" s="1631" t="s">
        <v>3108</v>
      </c>
      <c r="D17" s="1631" t="s">
        <v>1326</v>
      </c>
      <c r="E17" s="1631" t="s">
        <v>3172</v>
      </c>
      <c r="F17" s="1631" t="s">
        <v>3109</v>
      </c>
      <c r="G17" s="1631" t="s">
        <v>3173</v>
      </c>
      <c r="H17" s="1631" t="s">
        <v>3174</v>
      </c>
      <c r="I17" s="1631">
        <v>19029</v>
      </c>
      <c r="J17" s="1631">
        <v>38058</v>
      </c>
      <c r="K17" s="1631" t="s">
        <v>3158</v>
      </c>
      <c r="L17" s="1631" t="s">
        <v>3163</v>
      </c>
      <c r="M17" s="1631" t="s">
        <v>3175</v>
      </c>
      <c r="N17" s="1631" t="s">
        <v>3136</v>
      </c>
      <c r="O17" s="1631">
        <v>6908</v>
      </c>
      <c r="P17" s="1631">
        <v>242.02</v>
      </c>
      <c r="Q17" s="1631">
        <v>1815.11</v>
      </c>
      <c r="R17" s="1631">
        <v>0</v>
      </c>
      <c r="S17" s="1631" t="s">
        <v>3116</v>
      </c>
      <c r="T17" s="1631" t="s">
        <v>3130</v>
      </c>
    </row>
    <row r="18" spans="1:20">
      <c r="A18" s="1631" t="s">
        <v>3160</v>
      </c>
      <c r="B18" s="1631" t="s">
        <v>3107</v>
      </c>
      <c r="C18" s="1631" t="s">
        <v>3108</v>
      </c>
      <c r="D18" s="1631" t="s">
        <v>1326</v>
      </c>
      <c r="E18" s="1631" t="s">
        <v>3160</v>
      </c>
      <c r="F18" s="1631" t="s">
        <v>3109</v>
      </c>
      <c r="G18" s="1631" t="s">
        <v>3176</v>
      </c>
      <c r="H18" s="1631" t="s">
        <v>3162</v>
      </c>
      <c r="I18" s="1631">
        <v>14604</v>
      </c>
      <c r="J18" s="1631">
        <v>11683.2</v>
      </c>
      <c r="K18" s="1631" t="s">
        <v>3154</v>
      </c>
      <c r="L18" s="1631" t="s">
        <v>3163</v>
      </c>
      <c r="M18" s="1631" t="s">
        <v>3177</v>
      </c>
      <c r="N18" s="1631" t="s">
        <v>3165</v>
      </c>
      <c r="O18" s="1631">
        <v>1775</v>
      </c>
      <c r="P18" s="1631">
        <v>81.03</v>
      </c>
      <c r="Q18" s="1631">
        <v>1519.27</v>
      </c>
      <c r="R18" s="1631">
        <v>0</v>
      </c>
      <c r="S18" s="1631" t="s">
        <v>3116</v>
      </c>
      <c r="T18" s="1631" t="s">
        <v>3130</v>
      </c>
    </row>
    <row r="19" spans="1:20">
      <c r="A19" s="1631" t="s">
        <v>3178</v>
      </c>
      <c r="B19" s="1631" t="s">
        <v>3107</v>
      </c>
      <c r="C19" s="1631" t="s">
        <v>3108</v>
      </c>
      <c r="D19" s="1631" t="s">
        <v>1326</v>
      </c>
      <c r="E19" s="1631" t="s">
        <v>3178</v>
      </c>
      <c r="F19" s="1631" t="s">
        <v>3109</v>
      </c>
      <c r="G19" s="1631" t="s">
        <v>3179</v>
      </c>
      <c r="H19" s="1631" t="s">
        <v>3111</v>
      </c>
      <c r="I19" s="1631">
        <v>18264</v>
      </c>
      <c r="J19" s="1631">
        <v>36528</v>
      </c>
      <c r="K19" s="1631" t="s">
        <v>3158</v>
      </c>
      <c r="L19" s="1631" t="s">
        <v>3180</v>
      </c>
      <c r="M19" s="1631" t="s">
        <v>3181</v>
      </c>
      <c r="N19" s="1631" t="s">
        <v>3156</v>
      </c>
      <c r="O19" s="1631">
        <v>5891</v>
      </c>
      <c r="P19" s="1631">
        <v>215.03</v>
      </c>
      <c r="Q19" s="1631">
        <v>1612.74</v>
      </c>
      <c r="R19" s="1631">
        <v>0</v>
      </c>
      <c r="S19" s="1631" t="s">
        <v>3116</v>
      </c>
      <c r="T19" s="1631" t="s">
        <v>3122</v>
      </c>
    </row>
    <row r="20" spans="1:20">
      <c r="A20" s="1631" t="s">
        <v>3182</v>
      </c>
      <c r="B20" s="1631" t="s">
        <v>3107</v>
      </c>
      <c r="C20" s="1631" t="s">
        <v>3108</v>
      </c>
      <c r="D20" s="1631" t="s">
        <v>1326</v>
      </c>
      <c r="E20" s="1631" t="s">
        <v>3182</v>
      </c>
      <c r="F20" s="1631" t="s">
        <v>3109</v>
      </c>
      <c r="G20" s="1631" t="s">
        <v>3183</v>
      </c>
      <c r="H20" s="1631" t="s">
        <v>3111</v>
      </c>
      <c r="I20" s="1631">
        <v>10716</v>
      </c>
      <c r="J20" s="1631">
        <v>23575.200000000001</v>
      </c>
      <c r="K20" s="1631" t="s">
        <v>3184</v>
      </c>
      <c r="L20" s="1631" t="s">
        <v>3185</v>
      </c>
      <c r="M20" s="1631" t="s">
        <v>3186</v>
      </c>
      <c r="N20" s="1631" t="s">
        <v>3187</v>
      </c>
      <c r="O20" s="1631">
        <v>2203</v>
      </c>
      <c r="P20" s="1631">
        <v>137.05000000000001</v>
      </c>
      <c r="Q20" s="1631">
        <v>934.46</v>
      </c>
      <c r="R20" s="1631">
        <v>0</v>
      </c>
      <c r="S20" s="1631" t="s">
        <v>3116</v>
      </c>
      <c r="T20" s="1631" t="s">
        <v>3130</v>
      </c>
    </row>
    <row r="21" spans="1:20">
      <c r="A21" s="1631" t="s">
        <v>3188</v>
      </c>
      <c r="B21" s="1631" t="s">
        <v>3107</v>
      </c>
      <c r="C21" s="1631" t="s">
        <v>3108</v>
      </c>
      <c r="D21" s="1631" t="s">
        <v>1326</v>
      </c>
      <c r="E21" s="1631" t="s">
        <v>3188</v>
      </c>
      <c r="F21" s="1631" t="s">
        <v>3109</v>
      </c>
      <c r="G21" s="1631" t="s">
        <v>3189</v>
      </c>
      <c r="H21" s="1631" t="s">
        <v>3111</v>
      </c>
      <c r="I21" s="1631">
        <v>22829</v>
      </c>
      <c r="J21" s="1631">
        <v>45658</v>
      </c>
      <c r="K21" s="1631" t="s">
        <v>3158</v>
      </c>
      <c r="L21" s="1631" t="s">
        <v>3190</v>
      </c>
      <c r="M21" s="1631" t="s">
        <v>3191</v>
      </c>
      <c r="N21" s="1631" t="s">
        <v>3115</v>
      </c>
      <c r="O21" s="1631">
        <v>4829</v>
      </c>
      <c r="P21" s="1631">
        <v>141.02000000000001</v>
      </c>
      <c r="Q21" s="1631">
        <v>1057.6500000000001</v>
      </c>
      <c r="R21" s="1631">
        <v>0</v>
      </c>
      <c r="S21" s="1631" t="s">
        <v>3116</v>
      </c>
      <c r="T21" s="1631" t="s">
        <v>3192</v>
      </c>
    </row>
    <row r="22" spans="1:20">
      <c r="A22" s="1631" t="s">
        <v>3193</v>
      </c>
      <c r="B22" s="1631" t="s">
        <v>3107</v>
      </c>
      <c r="C22" s="1631" t="s">
        <v>3108</v>
      </c>
      <c r="D22" s="1631" t="s">
        <v>1326</v>
      </c>
      <c r="E22" s="1631" t="s">
        <v>3193</v>
      </c>
      <c r="F22" s="1631" t="s">
        <v>3109</v>
      </c>
      <c r="G22" s="1631" t="s">
        <v>3194</v>
      </c>
      <c r="H22" s="1631" t="s">
        <v>3111</v>
      </c>
      <c r="I22" s="1631">
        <v>2625</v>
      </c>
      <c r="J22" s="1631">
        <v>4462.5</v>
      </c>
      <c r="K22" s="1631" t="s">
        <v>3195</v>
      </c>
      <c r="L22" s="1631" t="s">
        <v>3190</v>
      </c>
      <c r="M22" s="1631" t="s">
        <v>3196</v>
      </c>
      <c r="N22" s="1631" t="s">
        <v>3197</v>
      </c>
      <c r="O22" s="1631">
        <v>540</v>
      </c>
      <c r="P22" s="1631">
        <v>137.13999999999999</v>
      </c>
      <c r="Q22" s="1631">
        <v>1210.07</v>
      </c>
      <c r="R22" s="1631">
        <v>0</v>
      </c>
      <c r="S22" s="1631" t="s">
        <v>3116</v>
      </c>
      <c r="T22" s="1631" t="s">
        <v>3130</v>
      </c>
    </row>
    <row r="23" spans="1:20">
      <c r="A23" s="1631" t="s">
        <v>3198</v>
      </c>
      <c r="B23" s="1631" t="s">
        <v>3107</v>
      </c>
      <c r="C23" s="1631" t="s">
        <v>3108</v>
      </c>
      <c r="D23" s="1631" t="s">
        <v>1326</v>
      </c>
      <c r="E23" s="1631" t="s">
        <v>3198</v>
      </c>
      <c r="F23" s="1631" t="s">
        <v>3109</v>
      </c>
      <c r="G23" s="1631" t="s">
        <v>3199</v>
      </c>
      <c r="H23" s="1631" t="s">
        <v>3111</v>
      </c>
      <c r="I23" s="1631">
        <v>24413</v>
      </c>
      <c r="J23" s="1631">
        <v>48826</v>
      </c>
      <c r="K23" s="1631" t="s">
        <v>3158</v>
      </c>
      <c r="L23" s="1631" t="s">
        <v>3190</v>
      </c>
      <c r="M23" s="1631" t="s">
        <v>3200</v>
      </c>
      <c r="N23" s="1631" t="s">
        <v>3115</v>
      </c>
      <c r="O23" s="1631">
        <v>4724</v>
      </c>
      <c r="P23" s="1631">
        <v>129</v>
      </c>
      <c r="Q23" s="1631">
        <v>967.51</v>
      </c>
      <c r="R23" s="1631">
        <v>0</v>
      </c>
      <c r="S23" s="1631" t="s">
        <v>3116</v>
      </c>
      <c r="T23" s="1631" t="s">
        <v>3192</v>
      </c>
    </row>
    <row r="24" spans="1:20">
      <c r="A24" s="1631" t="s">
        <v>3201</v>
      </c>
      <c r="B24" s="1631" t="s">
        <v>3107</v>
      </c>
      <c r="C24" s="1631" t="s">
        <v>3108</v>
      </c>
      <c r="D24" s="1631" t="s">
        <v>1326</v>
      </c>
      <c r="E24" s="1631" t="s">
        <v>3201</v>
      </c>
      <c r="F24" s="1631" t="s">
        <v>3109</v>
      </c>
      <c r="G24" s="1631" t="s">
        <v>3202</v>
      </c>
      <c r="H24" s="1631" t="s">
        <v>3111</v>
      </c>
      <c r="I24" s="1631">
        <v>45152</v>
      </c>
      <c r="J24" s="1631">
        <v>135456</v>
      </c>
      <c r="K24" s="1631" t="s">
        <v>3140</v>
      </c>
      <c r="L24" s="1631" t="s">
        <v>3190</v>
      </c>
      <c r="M24" s="1631" t="s">
        <v>3203</v>
      </c>
      <c r="N24" s="1631" t="s">
        <v>3115</v>
      </c>
      <c r="O24" s="1631">
        <v>15104</v>
      </c>
      <c r="P24" s="1631">
        <v>223.01</v>
      </c>
      <c r="Q24" s="1631">
        <v>1115.04</v>
      </c>
      <c r="R24" s="1631">
        <v>0</v>
      </c>
      <c r="S24" s="1631" t="s">
        <v>3116</v>
      </c>
      <c r="T24" s="1631" t="s">
        <v>3192</v>
      </c>
    </row>
    <row r="25" spans="1:20">
      <c r="A25" s="1631" t="s">
        <v>3204</v>
      </c>
      <c r="B25" s="1631" t="s">
        <v>3107</v>
      </c>
      <c r="C25" s="1631" t="s">
        <v>3108</v>
      </c>
      <c r="D25" s="1631" t="s">
        <v>1326</v>
      </c>
      <c r="E25" s="1631" t="s">
        <v>3204</v>
      </c>
      <c r="F25" s="1631" t="s">
        <v>3109</v>
      </c>
      <c r="G25" s="1631" t="s">
        <v>3205</v>
      </c>
      <c r="H25" s="1631" t="s">
        <v>3111</v>
      </c>
      <c r="I25" s="1631">
        <v>1348</v>
      </c>
      <c r="J25" s="1631">
        <v>471.8</v>
      </c>
      <c r="K25" s="1631" t="s">
        <v>3206</v>
      </c>
      <c r="L25" s="1631" t="s">
        <v>3207</v>
      </c>
      <c r="M25" s="1631" t="s">
        <v>3208</v>
      </c>
      <c r="N25" s="1631" t="s">
        <v>3209</v>
      </c>
      <c r="O25" s="1631">
        <v>434</v>
      </c>
      <c r="P25" s="1631">
        <v>214.64</v>
      </c>
      <c r="Q25" s="1631">
        <v>9198.7999999999993</v>
      </c>
      <c r="R25" s="1631">
        <v>42.76</v>
      </c>
      <c r="S25" s="1631" t="s">
        <v>3116</v>
      </c>
      <c r="T25" s="1631" t="s">
        <v>3137</v>
      </c>
    </row>
    <row r="26" spans="1:20" s="2953" customFormat="1">
      <c r="A26" s="2953" t="s">
        <v>3210</v>
      </c>
      <c r="B26" s="2953" t="s">
        <v>3107</v>
      </c>
      <c r="C26" s="2953" t="s">
        <v>3108</v>
      </c>
      <c r="D26" s="2953" t="s">
        <v>1326</v>
      </c>
      <c r="E26" s="2953" t="s">
        <v>3210</v>
      </c>
      <c r="F26" s="2953" t="s">
        <v>3109</v>
      </c>
      <c r="G26" s="2953" t="s">
        <v>3211</v>
      </c>
      <c r="H26" s="2953" t="s">
        <v>3162</v>
      </c>
      <c r="I26" s="2953">
        <v>26686</v>
      </c>
      <c r="J26" s="2953">
        <v>26686</v>
      </c>
      <c r="K26" s="2953" t="s">
        <v>3133</v>
      </c>
      <c r="L26" s="2953" t="s">
        <v>3212</v>
      </c>
      <c r="M26" s="2953" t="s">
        <v>3213</v>
      </c>
      <c r="N26" s="2953" t="s">
        <v>3214</v>
      </c>
      <c r="O26" s="2953">
        <v>2963</v>
      </c>
      <c r="P26" s="2953">
        <v>74.02</v>
      </c>
      <c r="Q26" s="2953">
        <v>1110.31</v>
      </c>
      <c r="R26" s="2953">
        <v>0</v>
      </c>
      <c r="S26" s="2953" t="s">
        <v>3116</v>
      </c>
      <c r="T26" s="2953" t="s">
        <v>3122</v>
      </c>
    </row>
    <row r="27" spans="1:20">
      <c r="A27" s="1631" t="s">
        <v>3215</v>
      </c>
      <c r="B27" s="1631" t="s">
        <v>3107</v>
      </c>
      <c r="C27" s="1631" t="s">
        <v>3108</v>
      </c>
      <c r="D27" s="1631" t="s">
        <v>1326</v>
      </c>
      <c r="E27" s="1631" t="s">
        <v>3215</v>
      </c>
      <c r="F27" s="1631" t="s">
        <v>3109</v>
      </c>
      <c r="G27" s="1631" t="s">
        <v>3216</v>
      </c>
      <c r="H27" s="1631" t="s">
        <v>3111</v>
      </c>
      <c r="I27" s="1631">
        <v>25237</v>
      </c>
      <c r="J27" s="1631">
        <v>58045.1</v>
      </c>
      <c r="K27" s="1631" t="s">
        <v>3217</v>
      </c>
      <c r="L27" s="1631" t="s">
        <v>3212</v>
      </c>
      <c r="M27" s="1631" t="s">
        <v>3218</v>
      </c>
      <c r="N27" s="1631" t="s">
        <v>3136</v>
      </c>
      <c r="O27" s="1631">
        <v>7231</v>
      </c>
      <c r="P27" s="1631">
        <v>191.02</v>
      </c>
      <c r="Q27" s="1631">
        <v>1245.75</v>
      </c>
      <c r="R27" s="1631">
        <v>0</v>
      </c>
      <c r="S27" s="1631" t="s">
        <v>3116</v>
      </c>
      <c r="T27" s="1631" t="s">
        <v>3130</v>
      </c>
    </row>
    <row r="28" spans="1:20">
      <c r="A28" s="1631" t="s">
        <v>3219</v>
      </c>
      <c r="B28" s="1631" t="s">
        <v>3107</v>
      </c>
      <c r="C28" s="1631" t="s">
        <v>3108</v>
      </c>
      <c r="D28" s="1631" t="s">
        <v>1326</v>
      </c>
      <c r="E28" s="1631" t="s">
        <v>3219</v>
      </c>
      <c r="F28" s="1631" t="s">
        <v>3109</v>
      </c>
      <c r="G28" s="1631" t="s">
        <v>3220</v>
      </c>
      <c r="H28" s="1631" t="s">
        <v>3174</v>
      </c>
      <c r="I28" s="1631">
        <v>5825</v>
      </c>
      <c r="J28" s="1631">
        <v>23300</v>
      </c>
      <c r="K28" s="1631" t="s">
        <v>3221</v>
      </c>
      <c r="L28" s="1631" t="s">
        <v>3212</v>
      </c>
      <c r="M28" s="1631" t="s">
        <v>3222</v>
      </c>
      <c r="N28" s="1631" t="s">
        <v>3223</v>
      </c>
      <c r="O28" s="1631">
        <v>1438</v>
      </c>
      <c r="P28" s="1631">
        <v>164.58</v>
      </c>
      <c r="Q28" s="1631">
        <v>617.16</v>
      </c>
      <c r="R28" s="1631">
        <v>2.86</v>
      </c>
      <c r="S28" s="1631" t="s">
        <v>3116</v>
      </c>
      <c r="T28" s="1631" t="s">
        <v>3117</v>
      </c>
    </row>
    <row r="29" spans="1:20" s="2953" customFormat="1">
      <c r="A29" s="2953" t="s">
        <v>3224</v>
      </c>
      <c r="B29" s="2953" t="s">
        <v>3107</v>
      </c>
      <c r="C29" s="2953" t="s">
        <v>3108</v>
      </c>
      <c r="D29" s="2953" t="s">
        <v>1326</v>
      </c>
      <c r="E29" s="2953" t="s">
        <v>3224</v>
      </c>
      <c r="F29" s="2953" t="s">
        <v>3109</v>
      </c>
      <c r="G29" s="2953" t="s">
        <v>3225</v>
      </c>
      <c r="H29" s="2953" t="s">
        <v>3174</v>
      </c>
      <c r="I29" s="2953">
        <v>38361</v>
      </c>
      <c r="J29" s="2953">
        <v>38361</v>
      </c>
      <c r="K29" s="2953" t="s">
        <v>3133</v>
      </c>
      <c r="L29" s="2953" t="s">
        <v>3212</v>
      </c>
      <c r="M29" s="2953" t="s">
        <v>3226</v>
      </c>
      <c r="N29" s="2953" t="s">
        <v>3136</v>
      </c>
      <c r="O29" s="2953">
        <v>5755</v>
      </c>
      <c r="P29" s="2953">
        <v>100.01</v>
      </c>
      <c r="Q29" s="2953">
        <v>1500.22</v>
      </c>
      <c r="R29" s="2953">
        <v>0</v>
      </c>
      <c r="S29" s="2953" t="s">
        <v>3116</v>
      </c>
      <c r="T29" s="2953" t="s">
        <v>3130</v>
      </c>
    </row>
    <row r="30" spans="1:20" s="2953" customFormat="1">
      <c r="A30" s="2953" t="s">
        <v>3227</v>
      </c>
      <c r="B30" s="2953" t="s">
        <v>3107</v>
      </c>
      <c r="C30" s="2953" t="s">
        <v>3108</v>
      </c>
      <c r="D30" s="2953" t="s">
        <v>1326</v>
      </c>
      <c r="E30" s="2953" t="s">
        <v>3227</v>
      </c>
      <c r="F30" s="2953" t="s">
        <v>3109</v>
      </c>
      <c r="G30" s="2953" t="s">
        <v>3228</v>
      </c>
      <c r="H30" s="2953" t="s">
        <v>3174</v>
      </c>
      <c r="I30" s="2953">
        <v>64201</v>
      </c>
      <c r="J30" s="2953">
        <v>64201</v>
      </c>
      <c r="K30" s="2953" t="s">
        <v>3133</v>
      </c>
      <c r="L30" s="2953" t="s">
        <v>3212</v>
      </c>
      <c r="M30" s="2953" t="s">
        <v>3229</v>
      </c>
      <c r="N30" s="2953" t="s">
        <v>3136</v>
      </c>
      <c r="O30" s="2953">
        <v>10401</v>
      </c>
      <c r="P30" s="2953">
        <v>108</v>
      </c>
      <c r="Q30" s="2953">
        <v>1620.06</v>
      </c>
      <c r="R30" s="2953">
        <v>0</v>
      </c>
      <c r="S30" s="2953" t="s">
        <v>3116</v>
      </c>
      <c r="T30" s="2953" t="s">
        <v>3122</v>
      </c>
    </row>
    <row r="31" spans="1:20">
      <c r="A31" s="1631" t="s">
        <v>3230</v>
      </c>
      <c r="B31" s="1631" t="s">
        <v>3107</v>
      </c>
      <c r="C31" s="1631" t="s">
        <v>3108</v>
      </c>
      <c r="D31" s="1631" t="s">
        <v>1326</v>
      </c>
      <c r="E31" s="1631" t="s">
        <v>3230</v>
      </c>
      <c r="F31" s="1631" t="s">
        <v>3109</v>
      </c>
      <c r="G31" s="1631" t="s">
        <v>3231</v>
      </c>
      <c r="H31" s="1631" t="s">
        <v>3162</v>
      </c>
      <c r="I31" s="1631">
        <v>63076</v>
      </c>
      <c r="J31" s="1631">
        <v>81998.8</v>
      </c>
      <c r="K31" s="1631" t="s">
        <v>3232</v>
      </c>
      <c r="L31" s="1631" t="s">
        <v>3212</v>
      </c>
      <c r="M31" s="1631" t="s">
        <v>3233</v>
      </c>
      <c r="N31" s="1631" t="s">
        <v>3234</v>
      </c>
      <c r="O31" s="1631">
        <v>12300</v>
      </c>
      <c r="P31" s="1631">
        <v>130</v>
      </c>
      <c r="Q31" s="1631">
        <v>1500.01</v>
      </c>
      <c r="R31" s="1631">
        <v>0</v>
      </c>
      <c r="S31" s="1631" t="s">
        <v>3116</v>
      </c>
      <c r="T31" s="1631" t="s">
        <v>3122</v>
      </c>
    </row>
    <row r="32" spans="1:20">
      <c r="A32" s="1631" t="s">
        <v>3235</v>
      </c>
      <c r="B32" s="1631" t="s">
        <v>3107</v>
      </c>
      <c r="C32" s="1631" t="s">
        <v>3108</v>
      </c>
      <c r="D32" s="1631" t="s">
        <v>1326</v>
      </c>
      <c r="E32" s="1631" t="s">
        <v>3235</v>
      </c>
      <c r="F32" s="1631" t="s">
        <v>3109</v>
      </c>
      <c r="G32" s="1631" t="s">
        <v>3236</v>
      </c>
      <c r="H32" s="1631" t="s">
        <v>3174</v>
      </c>
      <c r="I32" s="1631">
        <v>25090</v>
      </c>
      <c r="J32" s="1631">
        <v>42653</v>
      </c>
      <c r="K32" s="1631" t="s">
        <v>3195</v>
      </c>
      <c r="L32" s="1631" t="s">
        <v>3237</v>
      </c>
      <c r="M32" s="1631" t="s">
        <v>3238</v>
      </c>
      <c r="N32" s="1631" t="s">
        <v>3136</v>
      </c>
      <c r="O32" s="1631">
        <v>4837</v>
      </c>
      <c r="P32" s="1631">
        <v>128.52000000000001</v>
      </c>
      <c r="Q32" s="1631">
        <v>1134.03</v>
      </c>
      <c r="R32" s="1631">
        <v>0</v>
      </c>
      <c r="S32" s="1631" t="s">
        <v>3116</v>
      </c>
      <c r="T32" s="1631" t="s">
        <v>3122</v>
      </c>
    </row>
    <row r="33" spans="1:20">
      <c r="A33" s="1631" t="s">
        <v>3239</v>
      </c>
      <c r="B33" s="1631" t="s">
        <v>3107</v>
      </c>
      <c r="C33" s="1631" t="s">
        <v>3108</v>
      </c>
      <c r="D33" s="1631" t="s">
        <v>1326</v>
      </c>
      <c r="E33" s="1631" t="s">
        <v>3239</v>
      </c>
      <c r="F33" s="1631" t="s">
        <v>3109</v>
      </c>
      <c r="G33" s="1631" t="s">
        <v>3240</v>
      </c>
      <c r="H33" s="1631" t="s">
        <v>3174</v>
      </c>
      <c r="I33" s="1631">
        <v>18827</v>
      </c>
      <c r="J33" s="1631">
        <v>35771.300000000003</v>
      </c>
      <c r="K33" s="1631" t="s">
        <v>3241</v>
      </c>
      <c r="L33" s="1631" t="s">
        <v>3237</v>
      </c>
      <c r="M33" s="1631" t="s">
        <v>3242</v>
      </c>
      <c r="N33" s="1631" t="s">
        <v>3136</v>
      </c>
      <c r="O33" s="1631">
        <v>2683</v>
      </c>
      <c r="P33" s="1631">
        <v>95.01</v>
      </c>
      <c r="Q33" s="1631">
        <v>750.03</v>
      </c>
      <c r="R33" s="1631">
        <v>0</v>
      </c>
      <c r="S33" s="1631" t="s">
        <v>3116</v>
      </c>
      <c r="T33" s="1631" t="s">
        <v>3130</v>
      </c>
    </row>
    <row r="34" spans="1:20">
      <c r="A34" s="1631" t="s">
        <v>3243</v>
      </c>
      <c r="B34" s="1631" t="s">
        <v>3107</v>
      </c>
      <c r="C34" s="1631" t="s">
        <v>3108</v>
      </c>
      <c r="D34" s="1631" t="s">
        <v>1326</v>
      </c>
      <c r="E34" s="1631" t="s">
        <v>3243</v>
      </c>
      <c r="F34" s="1631" t="s">
        <v>3109</v>
      </c>
      <c r="G34" s="1631" t="s">
        <v>3244</v>
      </c>
      <c r="H34" s="1631" t="s">
        <v>3245</v>
      </c>
      <c r="I34" s="1631">
        <v>2401</v>
      </c>
      <c r="J34" s="1631">
        <v>840.35</v>
      </c>
      <c r="K34" s="1631" t="s">
        <v>3206</v>
      </c>
      <c r="L34" s="1631" t="s">
        <v>3246</v>
      </c>
      <c r="M34" s="1631" t="s">
        <v>3247</v>
      </c>
      <c r="N34" s="1631" t="s">
        <v>3248</v>
      </c>
      <c r="O34" s="1631">
        <v>397</v>
      </c>
      <c r="P34" s="1631">
        <v>110.23</v>
      </c>
      <c r="Q34" s="1631">
        <v>4724.22</v>
      </c>
      <c r="R34" s="1631">
        <v>0</v>
      </c>
      <c r="S34" s="1631" t="s">
        <v>3116</v>
      </c>
      <c r="T34" s="1631" t="s">
        <v>3137</v>
      </c>
    </row>
    <row r="35" spans="1:20">
      <c r="A35" s="1631" t="s">
        <v>3249</v>
      </c>
      <c r="B35" s="1631" t="s">
        <v>3107</v>
      </c>
      <c r="C35" s="1631" t="s">
        <v>3108</v>
      </c>
      <c r="D35" s="1631" t="s">
        <v>1326</v>
      </c>
      <c r="E35" s="1631" t="s">
        <v>3249</v>
      </c>
      <c r="F35" s="1631" t="s">
        <v>3109</v>
      </c>
      <c r="G35" s="1631" t="s">
        <v>3250</v>
      </c>
      <c r="H35" s="1631" t="s">
        <v>3162</v>
      </c>
      <c r="I35" s="1631">
        <v>80091</v>
      </c>
      <c r="J35" s="1631">
        <v>160182</v>
      </c>
      <c r="K35" s="1631" t="s">
        <v>3158</v>
      </c>
      <c r="L35" s="1631" t="s">
        <v>3251</v>
      </c>
      <c r="M35" s="1631" t="s">
        <v>3252</v>
      </c>
      <c r="N35" s="1631" t="s">
        <v>3253</v>
      </c>
      <c r="O35" s="1631">
        <v>16363</v>
      </c>
      <c r="P35" s="1631">
        <v>136.19999999999999</v>
      </c>
      <c r="Q35" s="1631">
        <v>1021.52</v>
      </c>
      <c r="R35" s="1631">
        <v>0</v>
      </c>
      <c r="S35" s="1631" t="s">
        <v>3116</v>
      </c>
      <c r="T35" s="1631" t="s">
        <v>3130</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topLeftCell="A82" workbookViewId="0">
      <selection activeCell="M93" sqref="M93"/>
    </sheetView>
  </sheetViews>
  <sheetFormatPr defaultColWidth="11" defaultRowHeight="13.5"/>
  <cols>
    <col min="1" max="1" width="43" style="1631" customWidth="1"/>
    <col min="2" max="2" width="7.125" style="1631" hidden="1" customWidth="1"/>
    <col min="3" max="3" width="13.375" style="1631" hidden="1" customWidth="1"/>
    <col min="4" max="4" width="5.125" style="1631" hidden="1" customWidth="1"/>
    <col min="5" max="5" width="43" style="1631" hidden="1" customWidth="1"/>
    <col min="6" max="6" width="9" style="1631" hidden="1" customWidth="1"/>
    <col min="7" max="7" width="14.5" style="1631" customWidth="1"/>
    <col min="8" max="8" width="12.875" style="1631" customWidth="1"/>
    <col min="9" max="10" width="15.875" style="1631" customWidth="1"/>
    <col min="11" max="11" width="14.125" style="1631" customWidth="1"/>
    <col min="12" max="12" width="15.625" style="1631" customWidth="1"/>
    <col min="13" max="13" width="31" style="1631" customWidth="1"/>
    <col min="14" max="14" width="43" style="1631" customWidth="1"/>
    <col min="15" max="15" width="12.125" style="1631" customWidth="1"/>
    <col min="16" max="16" width="18.125" style="1631" customWidth="1"/>
    <col min="17" max="17" width="16.375" style="1631" customWidth="1"/>
    <col min="18" max="18" width="7.125" style="1631" customWidth="1"/>
    <col min="19" max="20" width="9" style="1631" customWidth="1"/>
    <col min="21" max="256" width="8.875" style="1631" customWidth="1"/>
    <col min="257" max="257" width="43" style="1631" customWidth="1"/>
    <col min="258" max="258" width="7.125" style="1631" customWidth="1"/>
    <col min="259" max="259" width="13.375" style="1631" customWidth="1"/>
    <col min="260" max="260" width="5.125" style="1631" customWidth="1"/>
    <col min="261" max="261" width="43" style="1631" customWidth="1"/>
    <col min="262" max="262" width="9" style="1631" customWidth="1"/>
    <col min="263" max="263" width="14.5" style="1631" customWidth="1"/>
    <col min="264" max="264" width="12.875" style="1631" customWidth="1"/>
    <col min="265" max="266" width="15.875" style="1631" customWidth="1"/>
    <col min="267" max="267" width="14.125" style="1631" customWidth="1"/>
    <col min="268" max="268" width="10.125" style="1631" customWidth="1"/>
    <col min="269" max="269" width="31" style="1631" customWidth="1"/>
    <col min="270" max="270" width="43" style="1631" customWidth="1"/>
    <col min="271" max="271" width="12.125" style="1631" customWidth="1"/>
    <col min="272" max="272" width="18.125" style="1631" customWidth="1"/>
    <col min="273" max="273" width="16.375" style="1631" customWidth="1"/>
    <col min="274" max="274" width="7.125" style="1631" customWidth="1"/>
    <col min="275" max="276" width="9" style="1631" customWidth="1"/>
    <col min="277" max="512" width="8.875" style="1631" customWidth="1"/>
    <col min="513" max="513" width="43" style="1631" customWidth="1"/>
    <col min="514" max="514" width="7.125" style="1631" customWidth="1"/>
    <col min="515" max="515" width="13.375" style="1631" customWidth="1"/>
    <col min="516" max="516" width="5.125" style="1631" customWidth="1"/>
    <col min="517" max="517" width="43" style="1631" customWidth="1"/>
    <col min="518" max="518" width="9" style="1631" customWidth="1"/>
    <col min="519" max="519" width="14.5" style="1631" customWidth="1"/>
    <col min="520" max="520" width="12.875" style="1631" customWidth="1"/>
    <col min="521" max="522" width="15.875" style="1631" customWidth="1"/>
    <col min="523" max="523" width="14.125" style="1631" customWidth="1"/>
    <col min="524" max="524" width="10.125" style="1631" customWidth="1"/>
    <col min="525" max="525" width="31" style="1631" customWidth="1"/>
    <col min="526" max="526" width="43" style="1631" customWidth="1"/>
    <col min="527" max="527" width="12.125" style="1631" customWidth="1"/>
    <col min="528" max="528" width="18.125" style="1631" customWidth="1"/>
    <col min="529" max="529" width="16.375" style="1631" customWidth="1"/>
    <col min="530" max="530" width="7.125" style="1631" customWidth="1"/>
    <col min="531" max="532" width="9" style="1631" customWidth="1"/>
    <col min="533" max="768" width="8.875" style="1631" customWidth="1"/>
    <col min="769" max="769" width="43" style="1631" customWidth="1"/>
    <col min="770" max="770" width="7.125" style="1631" customWidth="1"/>
    <col min="771" max="771" width="13.375" style="1631" customWidth="1"/>
    <col min="772" max="772" width="5.125" style="1631" customWidth="1"/>
    <col min="773" max="773" width="43" style="1631" customWidth="1"/>
    <col min="774" max="774" width="9" style="1631" customWidth="1"/>
    <col min="775" max="775" width="14.5" style="1631" customWidth="1"/>
    <col min="776" max="776" width="12.875" style="1631" customWidth="1"/>
    <col min="777" max="778" width="15.875" style="1631" customWidth="1"/>
    <col min="779" max="779" width="14.125" style="1631" customWidth="1"/>
    <col min="780" max="780" width="10.125" style="1631" customWidth="1"/>
    <col min="781" max="781" width="31" style="1631" customWidth="1"/>
    <col min="782" max="782" width="43" style="1631" customWidth="1"/>
    <col min="783" max="783" width="12.125" style="1631" customWidth="1"/>
    <col min="784" max="784" width="18.125" style="1631" customWidth="1"/>
    <col min="785" max="785" width="16.375" style="1631" customWidth="1"/>
    <col min="786" max="786" width="7.125" style="1631" customWidth="1"/>
    <col min="787" max="788" width="9" style="1631" customWidth="1"/>
    <col min="789" max="1024" width="8.875" style="1631" customWidth="1"/>
    <col min="1025" max="1025" width="43" style="1631" customWidth="1"/>
    <col min="1026" max="1026" width="7.125" style="1631" customWidth="1"/>
    <col min="1027" max="1027" width="13.375" style="1631" customWidth="1"/>
    <col min="1028" max="1028" width="5.125" style="1631" customWidth="1"/>
    <col min="1029" max="1029" width="43" style="1631" customWidth="1"/>
    <col min="1030" max="1030" width="9" style="1631" customWidth="1"/>
    <col min="1031" max="1031" width="14.5" style="1631" customWidth="1"/>
    <col min="1032" max="1032" width="12.875" style="1631" customWidth="1"/>
    <col min="1033" max="1034" width="15.875" style="1631" customWidth="1"/>
    <col min="1035" max="1035" width="14.125" style="1631" customWidth="1"/>
    <col min="1036" max="1036" width="10.125" style="1631" customWidth="1"/>
    <col min="1037" max="1037" width="31" style="1631" customWidth="1"/>
    <col min="1038" max="1038" width="43" style="1631" customWidth="1"/>
    <col min="1039" max="1039" width="12.125" style="1631" customWidth="1"/>
    <col min="1040" max="1040" width="18.125" style="1631" customWidth="1"/>
    <col min="1041" max="1041" width="16.375" style="1631" customWidth="1"/>
    <col min="1042" max="1042" width="7.125" style="1631" customWidth="1"/>
    <col min="1043" max="1044" width="9" style="1631" customWidth="1"/>
    <col min="1045" max="1280" width="8.875" style="1631" customWidth="1"/>
    <col min="1281" max="1281" width="43" style="1631" customWidth="1"/>
    <col min="1282" max="1282" width="7.125" style="1631" customWidth="1"/>
    <col min="1283" max="1283" width="13.375" style="1631" customWidth="1"/>
    <col min="1284" max="1284" width="5.125" style="1631" customWidth="1"/>
    <col min="1285" max="1285" width="43" style="1631" customWidth="1"/>
    <col min="1286" max="1286" width="9" style="1631" customWidth="1"/>
    <col min="1287" max="1287" width="14.5" style="1631" customWidth="1"/>
    <col min="1288" max="1288" width="12.875" style="1631" customWidth="1"/>
    <col min="1289" max="1290" width="15.875" style="1631" customWidth="1"/>
    <col min="1291" max="1291" width="14.125" style="1631" customWidth="1"/>
    <col min="1292" max="1292" width="10.125" style="1631" customWidth="1"/>
    <col min="1293" max="1293" width="31" style="1631" customWidth="1"/>
    <col min="1294" max="1294" width="43" style="1631" customWidth="1"/>
    <col min="1295" max="1295" width="12.125" style="1631" customWidth="1"/>
    <col min="1296" max="1296" width="18.125" style="1631" customWidth="1"/>
    <col min="1297" max="1297" width="16.375" style="1631" customWidth="1"/>
    <col min="1298" max="1298" width="7.125" style="1631" customWidth="1"/>
    <col min="1299" max="1300" width="9" style="1631" customWidth="1"/>
    <col min="1301" max="1536" width="8.875" style="1631" customWidth="1"/>
    <col min="1537" max="1537" width="43" style="1631" customWidth="1"/>
    <col min="1538" max="1538" width="7.125" style="1631" customWidth="1"/>
    <col min="1539" max="1539" width="13.375" style="1631" customWidth="1"/>
    <col min="1540" max="1540" width="5.125" style="1631" customWidth="1"/>
    <col min="1541" max="1541" width="43" style="1631" customWidth="1"/>
    <col min="1542" max="1542" width="9" style="1631" customWidth="1"/>
    <col min="1543" max="1543" width="14.5" style="1631" customWidth="1"/>
    <col min="1544" max="1544" width="12.875" style="1631" customWidth="1"/>
    <col min="1545" max="1546" width="15.875" style="1631" customWidth="1"/>
    <col min="1547" max="1547" width="14.125" style="1631" customWidth="1"/>
    <col min="1548" max="1548" width="10.125" style="1631" customWidth="1"/>
    <col min="1549" max="1549" width="31" style="1631" customWidth="1"/>
    <col min="1550" max="1550" width="43" style="1631" customWidth="1"/>
    <col min="1551" max="1551" width="12.125" style="1631" customWidth="1"/>
    <col min="1552" max="1552" width="18.125" style="1631" customWidth="1"/>
    <col min="1553" max="1553" width="16.375" style="1631" customWidth="1"/>
    <col min="1554" max="1554" width="7.125" style="1631" customWidth="1"/>
    <col min="1555" max="1556" width="9" style="1631" customWidth="1"/>
    <col min="1557" max="1792" width="8.875" style="1631" customWidth="1"/>
    <col min="1793" max="1793" width="43" style="1631" customWidth="1"/>
    <col min="1794" max="1794" width="7.125" style="1631" customWidth="1"/>
    <col min="1795" max="1795" width="13.375" style="1631" customWidth="1"/>
    <col min="1796" max="1796" width="5.125" style="1631" customWidth="1"/>
    <col min="1797" max="1797" width="43" style="1631" customWidth="1"/>
    <col min="1798" max="1798" width="9" style="1631" customWidth="1"/>
    <col min="1799" max="1799" width="14.5" style="1631" customWidth="1"/>
    <col min="1800" max="1800" width="12.875" style="1631" customWidth="1"/>
    <col min="1801" max="1802" width="15.875" style="1631" customWidth="1"/>
    <col min="1803" max="1803" width="14.125" style="1631" customWidth="1"/>
    <col min="1804" max="1804" width="10.125" style="1631" customWidth="1"/>
    <col min="1805" max="1805" width="31" style="1631" customWidth="1"/>
    <col min="1806" max="1806" width="43" style="1631" customWidth="1"/>
    <col min="1807" max="1807" width="12.125" style="1631" customWidth="1"/>
    <col min="1808" max="1808" width="18.125" style="1631" customWidth="1"/>
    <col min="1809" max="1809" width="16.375" style="1631" customWidth="1"/>
    <col min="1810" max="1810" width="7.125" style="1631" customWidth="1"/>
    <col min="1811" max="1812" width="9" style="1631" customWidth="1"/>
    <col min="1813" max="2048" width="8.875" style="1631" customWidth="1"/>
    <col min="2049" max="2049" width="43" style="1631" customWidth="1"/>
    <col min="2050" max="2050" width="7.125" style="1631" customWidth="1"/>
    <col min="2051" max="2051" width="13.375" style="1631" customWidth="1"/>
    <col min="2052" max="2052" width="5.125" style="1631" customWidth="1"/>
    <col min="2053" max="2053" width="43" style="1631" customWidth="1"/>
    <col min="2054" max="2054" width="9" style="1631" customWidth="1"/>
    <col min="2055" max="2055" width="14.5" style="1631" customWidth="1"/>
    <col min="2056" max="2056" width="12.875" style="1631" customWidth="1"/>
    <col min="2057" max="2058" width="15.875" style="1631" customWidth="1"/>
    <col min="2059" max="2059" width="14.125" style="1631" customWidth="1"/>
    <col min="2060" max="2060" width="10.125" style="1631" customWidth="1"/>
    <col min="2061" max="2061" width="31" style="1631" customWidth="1"/>
    <col min="2062" max="2062" width="43" style="1631" customWidth="1"/>
    <col min="2063" max="2063" width="12.125" style="1631" customWidth="1"/>
    <col min="2064" max="2064" width="18.125" style="1631" customWidth="1"/>
    <col min="2065" max="2065" width="16.375" style="1631" customWidth="1"/>
    <col min="2066" max="2066" width="7.125" style="1631" customWidth="1"/>
    <col min="2067" max="2068" width="9" style="1631" customWidth="1"/>
    <col min="2069" max="2304" width="8.875" style="1631" customWidth="1"/>
    <col min="2305" max="2305" width="43" style="1631" customWidth="1"/>
    <col min="2306" max="2306" width="7.125" style="1631" customWidth="1"/>
    <col min="2307" max="2307" width="13.375" style="1631" customWidth="1"/>
    <col min="2308" max="2308" width="5.125" style="1631" customWidth="1"/>
    <col min="2309" max="2309" width="43" style="1631" customWidth="1"/>
    <col min="2310" max="2310" width="9" style="1631" customWidth="1"/>
    <col min="2311" max="2311" width="14.5" style="1631" customWidth="1"/>
    <col min="2312" max="2312" width="12.875" style="1631" customWidth="1"/>
    <col min="2313" max="2314" width="15.875" style="1631" customWidth="1"/>
    <col min="2315" max="2315" width="14.125" style="1631" customWidth="1"/>
    <col min="2316" max="2316" width="10.125" style="1631" customWidth="1"/>
    <col min="2317" max="2317" width="31" style="1631" customWidth="1"/>
    <col min="2318" max="2318" width="43" style="1631" customWidth="1"/>
    <col min="2319" max="2319" width="12.125" style="1631" customWidth="1"/>
    <col min="2320" max="2320" width="18.125" style="1631" customWidth="1"/>
    <col min="2321" max="2321" width="16.375" style="1631" customWidth="1"/>
    <col min="2322" max="2322" width="7.125" style="1631" customWidth="1"/>
    <col min="2323" max="2324" width="9" style="1631" customWidth="1"/>
    <col min="2325" max="2560" width="8.875" style="1631" customWidth="1"/>
    <col min="2561" max="2561" width="43" style="1631" customWidth="1"/>
    <col min="2562" max="2562" width="7.125" style="1631" customWidth="1"/>
    <col min="2563" max="2563" width="13.375" style="1631" customWidth="1"/>
    <col min="2564" max="2564" width="5.125" style="1631" customWidth="1"/>
    <col min="2565" max="2565" width="43" style="1631" customWidth="1"/>
    <col min="2566" max="2566" width="9" style="1631" customWidth="1"/>
    <col min="2567" max="2567" width="14.5" style="1631" customWidth="1"/>
    <col min="2568" max="2568" width="12.875" style="1631" customWidth="1"/>
    <col min="2569" max="2570" width="15.875" style="1631" customWidth="1"/>
    <col min="2571" max="2571" width="14.125" style="1631" customWidth="1"/>
    <col min="2572" max="2572" width="10.125" style="1631" customWidth="1"/>
    <col min="2573" max="2573" width="31" style="1631" customWidth="1"/>
    <col min="2574" max="2574" width="43" style="1631" customWidth="1"/>
    <col min="2575" max="2575" width="12.125" style="1631" customWidth="1"/>
    <col min="2576" max="2576" width="18.125" style="1631" customWidth="1"/>
    <col min="2577" max="2577" width="16.375" style="1631" customWidth="1"/>
    <col min="2578" max="2578" width="7.125" style="1631" customWidth="1"/>
    <col min="2579" max="2580" width="9" style="1631" customWidth="1"/>
    <col min="2581" max="2816" width="8.875" style="1631" customWidth="1"/>
    <col min="2817" max="2817" width="43" style="1631" customWidth="1"/>
    <col min="2818" max="2818" width="7.125" style="1631" customWidth="1"/>
    <col min="2819" max="2819" width="13.375" style="1631" customWidth="1"/>
    <col min="2820" max="2820" width="5.125" style="1631" customWidth="1"/>
    <col min="2821" max="2821" width="43" style="1631" customWidth="1"/>
    <col min="2822" max="2822" width="9" style="1631" customWidth="1"/>
    <col min="2823" max="2823" width="14.5" style="1631" customWidth="1"/>
    <col min="2824" max="2824" width="12.875" style="1631" customWidth="1"/>
    <col min="2825" max="2826" width="15.875" style="1631" customWidth="1"/>
    <col min="2827" max="2827" width="14.125" style="1631" customWidth="1"/>
    <col min="2828" max="2828" width="10.125" style="1631" customWidth="1"/>
    <col min="2829" max="2829" width="31" style="1631" customWidth="1"/>
    <col min="2830" max="2830" width="43" style="1631" customWidth="1"/>
    <col min="2831" max="2831" width="12.125" style="1631" customWidth="1"/>
    <col min="2832" max="2832" width="18.125" style="1631" customWidth="1"/>
    <col min="2833" max="2833" width="16.375" style="1631" customWidth="1"/>
    <col min="2834" max="2834" width="7.125" style="1631" customWidth="1"/>
    <col min="2835" max="2836" width="9" style="1631" customWidth="1"/>
    <col min="2837" max="3072" width="8.875" style="1631" customWidth="1"/>
    <col min="3073" max="3073" width="43" style="1631" customWidth="1"/>
    <col min="3074" max="3074" width="7.125" style="1631" customWidth="1"/>
    <col min="3075" max="3075" width="13.375" style="1631" customWidth="1"/>
    <col min="3076" max="3076" width="5.125" style="1631" customWidth="1"/>
    <col min="3077" max="3077" width="43" style="1631" customWidth="1"/>
    <col min="3078" max="3078" width="9" style="1631" customWidth="1"/>
    <col min="3079" max="3079" width="14.5" style="1631" customWidth="1"/>
    <col min="3080" max="3080" width="12.875" style="1631" customWidth="1"/>
    <col min="3081" max="3082" width="15.875" style="1631" customWidth="1"/>
    <col min="3083" max="3083" width="14.125" style="1631" customWidth="1"/>
    <col min="3084" max="3084" width="10.125" style="1631" customWidth="1"/>
    <col min="3085" max="3085" width="31" style="1631" customWidth="1"/>
    <col min="3086" max="3086" width="43" style="1631" customWidth="1"/>
    <col min="3087" max="3087" width="12.125" style="1631" customWidth="1"/>
    <col min="3088" max="3088" width="18.125" style="1631" customWidth="1"/>
    <col min="3089" max="3089" width="16.375" style="1631" customWidth="1"/>
    <col min="3090" max="3090" width="7.125" style="1631" customWidth="1"/>
    <col min="3091" max="3092" width="9" style="1631" customWidth="1"/>
    <col min="3093" max="3328" width="8.875" style="1631" customWidth="1"/>
    <col min="3329" max="3329" width="43" style="1631" customWidth="1"/>
    <col min="3330" max="3330" width="7.125" style="1631" customWidth="1"/>
    <col min="3331" max="3331" width="13.375" style="1631" customWidth="1"/>
    <col min="3332" max="3332" width="5.125" style="1631" customWidth="1"/>
    <col min="3333" max="3333" width="43" style="1631" customWidth="1"/>
    <col min="3334" max="3334" width="9" style="1631" customWidth="1"/>
    <col min="3335" max="3335" width="14.5" style="1631" customWidth="1"/>
    <col min="3336" max="3336" width="12.875" style="1631" customWidth="1"/>
    <col min="3337" max="3338" width="15.875" style="1631" customWidth="1"/>
    <col min="3339" max="3339" width="14.125" style="1631" customWidth="1"/>
    <col min="3340" max="3340" width="10.125" style="1631" customWidth="1"/>
    <col min="3341" max="3341" width="31" style="1631" customWidth="1"/>
    <col min="3342" max="3342" width="43" style="1631" customWidth="1"/>
    <col min="3343" max="3343" width="12.125" style="1631" customWidth="1"/>
    <col min="3344" max="3344" width="18.125" style="1631" customWidth="1"/>
    <col min="3345" max="3345" width="16.375" style="1631" customWidth="1"/>
    <col min="3346" max="3346" width="7.125" style="1631" customWidth="1"/>
    <col min="3347" max="3348" width="9" style="1631" customWidth="1"/>
    <col min="3349" max="3584" width="8.875" style="1631" customWidth="1"/>
    <col min="3585" max="3585" width="43" style="1631" customWidth="1"/>
    <col min="3586" max="3586" width="7.125" style="1631" customWidth="1"/>
    <col min="3587" max="3587" width="13.375" style="1631" customWidth="1"/>
    <col min="3588" max="3588" width="5.125" style="1631" customWidth="1"/>
    <col min="3589" max="3589" width="43" style="1631" customWidth="1"/>
    <col min="3590" max="3590" width="9" style="1631" customWidth="1"/>
    <col min="3591" max="3591" width="14.5" style="1631" customWidth="1"/>
    <col min="3592" max="3592" width="12.875" style="1631" customWidth="1"/>
    <col min="3593" max="3594" width="15.875" style="1631" customWidth="1"/>
    <col min="3595" max="3595" width="14.125" style="1631" customWidth="1"/>
    <col min="3596" max="3596" width="10.125" style="1631" customWidth="1"/>
    <col min="3597" max="3597" width="31" style="1631" customWidth="1"/>
    <col min="3598" max="3598" width="43" style="1631" customWidth="1"/>
    <col min="3599" max="3599" width="12.125" style="1631" customWidth="1"/>
    <col min="3600" max="3600" width="18.125" style="1631" customWidth="1"/>
    <col min="3601" max="3601" width="16.375" style="1631" customWidth="1"/>
    <col min="3602" max="3602" width="7.125" style="1631" customWidth="1"/>
    <col min="3603" max="3604" width="9" style="1631" customWidth="1"/>
    <col min="3605" max="3840" width="8.875" style="1631" customWidth="1"/>
    <col min="3841" max="3841" width="43" style="1631" customWidth="1"/>
    <col min="3842" max="3842" width="7.125" style="1631" customWidth="1"/>
    <col min="3843" max="3843" width="13.375" style="1631" customWidth="1"/>
    <col min="3844" max="3844" width="5.125" style="1631" customWidth="1"/>
    <col min="3845" max="3845" width="43" style="1631" customWidth="1"/>
    <col min="3846" max="3846" width="9" style="1631" customWidth="1"/>
    <col min="3847" max="3847" width="14.5" style="1631" customWidth="1"/>
    <col min="3848" max="3848" width="12.875" style="1631" customWidth="1"/>
    <col min="3849" max="3850" width="15.875" style="1631" customWidth="1"/>
    <col min="3851" max="3851" width="14.125" style="1631" customWidth="1"/>
    <col min="3852" max="3852" width="10.125" style="1631" customWidth="1"/>
    <col min="3853" max="3853" width="31" style="1631" customWidth="1"/>
    <col min="3854" max="3854" width="43" style="1631" customWidth="1"/>
    <col min="3855" max="3855" width="12.125" style="1631" customWidth="1"/>
    <col min="3856" max="3856" width="18.125" style="1631" customWidth="1"/>
    <col min="3857" max="3857" width="16.375" style="1631" customWidth="1"/>
    <col min="3858" max="3858" width="7.125" style="1631" customWidth="1"/>
    <col min="3859" max="3860" width="9" style="1631" customWidth="1"/>
    <col min="3861" max="4096" width="8.875" style="1631" customWidth="1"/>
    <col min="4097" max="4097" width="43" style="1631" customWidth="1"/>
    <col min="4098" max="4098" width="7.125" style="1631" customWidth="1"/>
    <col min="4099" max="4099" width="13.375" style="1631" customWidth="1"/>
    <col min="4100" max="4100" width="5.125" style="1631" customWidth="1"/>
    <col min="4101" max="4101" width="43" style="1631" customWidth="1"/>
    <col min="4102" max="4102" width="9" style="1631" customWidth="1"/>
    <col min="4103" max="4103" width="14.5" style="1631" customWidth="1"/>
    <col min="4104" max="4104" width="12.875" style="1631" customWidth="1"/>
    <col min="4105" max="4106" width="15.875" style="1631" customWidth="1"/>
    <col min="4107" max="4107" width="14.125" style="1631" customWidth="1"/>
    <col min="4108" max="4108" width="10.125" style="1631" customWidth="1"/>
    <col min="4109" max="4109" width="31" style="1631" customWidth="1"/>
    <col min="4110" max="4110" width="43" style="1631" customWidth="1"/>
    <col min="4111" max="4111" width="12.125" style="1631" customWidth="1"/>
    <col min="4112" max="4112" width="18.125" style="1631" customWidth="1"/>
    <col min="4113" max="4113" width="16.375" style="1631" customWidth="1"/>
    <col min="4114" max="4114" width="7.125" style="1631" customWidth="1"/>
    <col min="4115" max="4116" width="9" style="1631" customWidth="1"/>
    <col min="4117" max="4352" width="8.875" style="1631" customWidth="1"/>
    <col min="4353" max="4353" width="43" style="1631" customWidth="1"/>
    <col min="4354" max="4354" width="7.125" style="1631" customWidth="1"/>
    <col min="4355" max="4355" width="13.375" style="1631" customWidth="1"/>
    <col min="4356" max="4356" width="5.125" style="1631" customWidth="1"/>
    <col min="4357" max="4357" width="43" style="1631" customWidth="1"/>
    <col min="4358" max="4358" width="9" style="1631" customWidth="1"/>
    <col min="4359" max="4359" width="14.5" style="1631" customWidth="1"/>
    <col min="4360" max="4360" width="12.875" style="1631" customWidth="1"/>
    <col min="4361" max="4362" width="15.875" style="1631" customWidth="1"/>
    <col min="4363" max="4363" width="14.125" style="1631" customWidth="1"/>
    <col min="4364" max="4364" width="10.125" style="1631" customWidth="1"/>
    <col min="4365" max="4365" width="31" style="1631" customWidth="1"/>
    <col min="4366" max="4366" width="43" style="1631" customWidth="1"/>
    <col min="4367" max="4367" width="12.125" style="1631" customWidth="1"/>
    <col min="4368" max="4368" width="18.125" style="1631" customWidth="1"/>
    <col min="4369" max="4369" width="16.375" style="1631" customWidth="1"/>
    <col min="4370" max="4370" width="7.125" style="1631" customWidth="1"/>
    <col min="4371" max="4372" width="9" style="1631" customWidth="1"/>
    <col min="4373" max="4608" width="8.875" style="1631" customWidth="1"/>
    <col min="4609" max="4609" width="43" style="1631" customWidth="1"/>
    <col min="4610" max="4610" width="7.125" style="1631" customWidth="1"/>
    <col min="4611" max="4611" width="13.375" style="1631" customWidth="1"/>
    <col min="4612" max="4612" width="5.125" style="1631" customWidth="1"/>
    <col min="4613" max="4613" width="43" style="1631" customWidth="1"/>
    <col min="4614" max="4614" width="9" style="1631" customWidth="1"/>
    <col min="4615" max="4615" width="14.5" style="1631" customWidth="1"/>
    <col min="4616" max="4616" width="12.875" style="1631" customWidth="1"/>
    <col min="4617" max="4618" width="15.875" style="1631" customWidth="1"/>
    <col min="4619" max="4619" width="14.125" style="1631" customWidth="1"/>
    <col min="4620" max="4620" width="10.125" style="1631" customWidth="1"/>
    <col min="4621" max="4621" width="31" style="1631" customWidth="1"/>
    <col min="4622" max="4622" width="43" style="1631" customWidth="1"/>
    <col min="4623" max="4623" width="12.125" style="1631" customWidth="1"/>
    <col min="4624" max="4624" width="18.125" style="1631" customWidth="1"/>
    <col min="4625" max="4625" width="16.375" style="1631" customWidth="1"/>
    <col min="4626" max="4626" width="7.125" style="1631" customWidth="1"/>
    <col min="4627" max="4628" width="9" style="1631" customWidth="1"/>
    <col min="4629" max="4864" width="8.875" style="1631" customWidth="1"/>
    <col min="4865" max="4865" width="43" style="1631" customWidth="1"/>
    <col min="4866" max="4866" width="7.125" style="1631" customWidth="1"/>
    <col min="4867" max="4867" width="13.375" style="1631" customWidth="1"/>
    <col min="4868" max="4868" width="5.125" style="1631" customWidth="1"/>
    <col min="4869" max="4869" width="43" style="1631" customWidth="1"/>
    <col min="4870" max="4870" width="9" style="1631" customWidth="1"/>
    <col min="4871" max="4871" width="14.5" style="1631" customWidth="1"/>
    <col min="4872" max="4872" width="12.875" style="1631" customWidth="1"/>
    <col min="4873" max="4874" width="15.875" style="1631" customWidth="1"/>
    <col min="4875" max="4875" width="14.125" style="1631" customWidth="1"/>
    <col min="4876" max="4876" width="10.125" style="1631" customWidth="1"/>
    <col min="4877" max="4877" width="31" style="1631" customWidth="1"/>
    <col min="4878" max="4878" width="43" style="1631" customWidth="1"/>
    <col min="4879" max="4879" width="12.125" style="1631" customWidth="1"/>
    <col min="4880" max="4880" width="18.125" style="1631" customWidth="1"/>
    <col min="4881" max="4881" width="16.375" style="1631" customWidth="1"/>
    <col min="4882" max="4882" width="7.125" style="1631" customWidth="1"/>
    <col min="4883" max="4884" width="9" style="1631" customWidth="1"/>
    <col min="4885" max="5120" width="8.875" style="1631" customWidth="1"/>
    <col min="5121" max="5121" width="43" style="1631" customWidth="1"/>
    <col min="5122" max="5122" width="7.125" style="1631" customWidth="1"/>
    <col min="5123" max="5123" width="13.375" style="1631" customWidth="1"/>
    <col min="5124" max="5124" width="5.125" style="1631" customWidth="1"/>
    <col min="5125" max="5125" width="43" style="1631" customWidth="1"/>
    <col min="5126" max="5126" width="9" style="1631" customWidth="1"/>
    <col min="5127" max="5127" width="14.5" style="1631" customWidth="1"/>
    <col min="5128" max="5128" width="12.875" style="1631" customWidth="1"/>
    <col min="5129" max="5130" width="15.875" style="1631" customWidth="1"/>
    <col min="5131" max="5131" width="14.125" style="1631" customWidth="1"/>
    <col min="5132" max="5132" width="10.125" style="1631" customWidth="1"/>
    <col min="5133" max="5133" width="31" style="1631" customWidth="1"/>
    <col min="5134" max="5134" width="43" style="1631" customWidth="1"/>
    <col min="5135" max="5135" width="12.125" style="1631" customWidth="1"/>
    <col min="5136" max="5136" width="18.125" style="1631" customWidth="1"/>
    <col min="5137" max="5137" width="16.375" style="1631" customWidth="1"/>
    <col min="5138" max="5138" width="7.125" style="1631" customWidth="1"/>
    <col min="5139" max="5140" width="9" style="1631" customWidth="1"/>
    <col min="5141" max="5376" width="8.875" style="1631" customWidth="1"/>
    <col min="5377" max="5377" width="43" style="1631" customWidth="1"/>
    <col min="5378" max="5378" width="7.125" style="1631" customWidth="1"/>
    <col min="5379" max="5379" width="13.375" style="1631" customWidth="1"/>
    <col min="5380" max="5380" width="5.125" style="1631" customWidth="1"/>
    <col min="5381" max="5381" width="43" style="1631" customWidth="1"/>
    <col min="5382" max="5382" width="9" style="1631" customWidth="1"/>
    <col min="5383" max="5383" width="14.5" style="1631" customWidth="1"/>
    <col min="5384" max="5384" width="12.875" style="1631" customWidth="1"/>
    <col min="5385" max="5386" width="15.875" style="1631" customWidth="1"/>
    <col min="5387" max="5387" width="14.125" style="1631" customWidth="1"/>
    <col min="5388" max="5388" width="10.125" style="1631" customWidth="1"/>
    <col min="5389" max="5389" width="31" style="1631" customWidth="1"/>
    <col min="5390" max="5390" width="43" style="1631" customWidth="1"/>
    <col min="5391" max="5391" width="12.125" style="1631" customWidth="1"/>
    <col min="5392" max="5392" width="18.125" style="1631" customWidth="1"/>
    <col min="5393" max="5393" width="16.375" style="1631" customWidth="1"/>
    <col min="5394" max="5394" width="7.125" style="1631" customWidth="1"/>
    <col min="5395" max="5396" width="9" style="1631" customWidth="1"/>
    <col min="5397" max="5632" width="8.875" style="1631" customWidth="1"/>
    <col min="5633" max="5633" width="43" style="1631" customWidth="1"/>
    <col min="5634" max="5634" width="7.125" style="1631" customWidth="1"/>
    <col min="5635" max="5635" width="13.375" style="1631" customWidth="1"/>
    <col min="5636" max="5636" width="5.125" style="1631" customWidth="1"/>
    <col min="5637" max="5637" width="43" style="1631" customWidth="1"/>
    <col min="5638" max="5638" width="9" style="1631" customWidth="1"/>
    <col min="5639" max="5639" width="14.5" style="1631" customWidth="1"/>
    <col min="5640" max="5640" width="12.875" style="1631" customWidth="1"/>
    <col min="5641" max="5642" width="15.875" style="1631" customWidth="1"/>
    <col min="5643" max="5643" width="14.125" style="1631" customWidth="1"/>
    <col min="5644" max="5644" width="10.125" style="1631" customWidth="1"/>
    <col min="5645" max="5645" width="31" style="1631" customWidth="1"/>
    <col min="5646" max="5646" width="43" style="1631" customWidth="1"/>
    <col min="5647" max="5647" width="12.125" style="1631" customWidth="1"/>
    <col min="5648" max="5648" width="18.125" style="1631" customWidth="1"/>
    <col min="5649" max="5649" width="16.375" style="1631" customWidth="1"/>
    <col min="5650" max="5650" width="7.125" style="1631" customWidth="1"/>
    <col min="5651" max="5652" width="9" style="1631" customWidth="1"/>
    <col min="5653" max="5888" width="8.875" style="1631" customWidth="1"/>
    <col min="5889" max="5889" width="43" style="1631" customWidth="1"/>
    <col min="5890" max="5890" width="7.125" style="1631" customWidth="1"/>
    <col min="5891" max="5891" width="13.375" style="1631" customWidth="1"/>
    <col min="5892" max="5892" width="5.125" style="1631" customWidth="1"/>
    <col min="5893" max="5893" width="43" style="1631" customWidth="1"/>
    <col min="5894" max="5894" width="9" style="1631" customWidth="1"/>
    <col min="5895" max="5895" width="14.5" style="1631" customWidth="1"/>
    <col min="5896" max="5896" width="12.875" style="1631" customWidth="1"/>
    <col min="5897" max="5898" width="15.875" style="1631" customWidth="1"/>
    <col min="5899" max="5899" width="14.125" style="1631" customWidth="1"/>
    <col min="5900" max="5900" width="10.125" style="1631" customWidth="1"/>
    <col min="5901" max="5901" width="31" style="1631" customWidth="1"/>
    <col min="5902" max="5902" width="43" style="1631" customWidth="1"/>
    <col min="5903" max="5903" width="12.125" style="1631" customWidth="1"/>
    <col min="5904" max="5904" width="18.125" style="1631" customWidth="1"/>
    <col min="5905" max="5905" width="16.375" style="1631" customWidth="1"/>
    <col min="5906" max="5906" width="7.125" style="1631" customWidth="1"/>
    <col min="5907" max="5908" width="9" style="1631" customWidth="1"/>
    <col min="5909" max="6144" width="8.875" style="1631" customWidth="1"/>
    <col min="6145" max="6145" width="43" style="1631" customWidth="1"/>
    <col min="6146" max="6146" width="7.125" style="1631" customWidth="1"/>
    <col min="6147" max="6147" width="13.375" style="1631" customWidth="1"/>
    <col min="6148" max="6148" width="5.125" style="1631" customWidth="1"/>
    <col min="6149" max="6149" width="43" style="1631" customWidth="1"/>
    <col min="6150" max="6150" width="9" style="1631" customWidth="1"/>
    <col min="6151" max="6151" width="14.5" style="1631" customWidth="1"/>
    <col min="6152" max="6152" width="12.875" style="1631" customWidth="1"/>
    <col min="6153" max="6154" width="15.875" style="1631" customWidth="1"/>
    <col min="6155" max="6155" width="14.125" style="1631" customWidth="1"/>
    <col min="6156" max="6156" width="10.125" style="1631" customWidth="1"/>
    <col min="6157" max="6157" width="31" style="1631" customWidth="1"/>
    <col min="6158" max="6158" width="43" style="1631" customWidth="1"/>
    <col min="6159" max="6159" width="12.125" style="1631" customWidth="1"/>
    <col min="6160" max="6160" width="18.125" style="1631" customWidth="1"/>
    <col min="6161" max="6161" width="16.375" style="1631" customWidth="1"/>
    <col min="6162" max="6162" width="7.125" style="1631" customWidth="1"/>
    <col min="6163" max="6164" width="9" style="1631" customWidth="1"/>
    <col min="6165" max="6400" width="8.875" style="1631" customWidth="1"/>
    <col min="6401" max="6401" width="43" style="1631" customWidth="1"/>
    <col min="6402" max="6402" width="7.125" style="1631" customWidth="1"/>
    <col min="6403" max="6403" width="13.375" style="1631" customWidth="1"/>
    <col min="6404" max="6404" width="5.125" style="1631" customWidth="1"/>
    <col min="6405" max="6405" width="43" style="1631" customWidth="1"/>
    <col min="6406" max="6406" width="9" style="1631" customWidth="1"/>
    <col min="6407" max="6407" width="14.5" style="1631" customWidth="1"/>
    <col min="6408" max="6408" width="12.875" style="1631" customWidth="1"/>
    <col min="6409" max="6410" width="15.875" style="1631" customWidth="1"/>
    <col min="6411" max="6411" width="14.125" style="1631" customWidth="1"/>
    <col min="6412" max="6412" width="10.125" style="1631" customWidth="1"/>
    <col min="6413" max="6413" width="31" style="1631" customWidth="1"/>
    <col min="6414" max="6414" width="43" style="1631" customWidth="1"/>
    <col min="6415" max="6415" width="12.125" style="1631" customWidth="1"/>
    <col min="6416" max="6416" width="18.125" style="1631" customWidth="1"/>
    <col min="6417" max="6417" width="16.375" style="1631" customWidth="1"/>
    <col min="6418" max="6418" width="7.125" style="1631" customWidth="1"/>
    <col min="6419" max="6420" width="9" style="1631" customWidth="1"/>
    <col min="6421" max="6656" width="8.875" style="1631" customWidth="1"/>
    <col min="6657" max="6657" width="43" style="1631" customWidth="1"/>
    <col min="6658" max="6658" width="7.125" style="1631" customWidth="1"/>
    <col min="6659" max="6659" width="13.375" style="1631" customWidth="1"/>
    <col min="6660" max="6660" width="5.125" style="1631" customWidth="1"/>
    <col min="6661" max="6661" width="43" style="1631" customWidth="1"/>
    <col min="6662" max="6662" width="9" style="1631" customWidth="1"/>
    <col min="6663" max="6663" width="14.5" style="1631" customWidth="1"/>
    <col min="6664" max="6664" width="12.875" style="1631" customWidth="1"/>
    <col min="6665" max="6666" width="15.875" style="1631" customWidth="1"/>
    <col min="6667" max="6667" width="14.125" style="1631" customWidth="1"/>
    <col min="6668" max="6668" width="10.125" style="1631" customWidth="1"/>
    <col min="6669" max="6669" width="31" style="1631" customWidth="1"/>
    <col min="6670" max="6670" width="43" style="1631" customWidth="1"/>
    <col min="6671" max="6671" width="12.125" style="1631" customWidth="1"/>
    <col min="6672" max="6672" width="18.125" style="1631" customWidth="1"/>
    <col min="6673" max="6673" width="16.375" style="1631" customWidth="1"/>
    <col min="6674" max="6674" width="7.125" style="1631" customWidth="1"/>
    <col min="6675" max="6676" width="9" style="1631" customWidth="1"/>
    <col min="6677" max="6912" width="8.875" style="1631" customWidth="1"/>
    <col min="6913" max="6913" width="43" style="1631" customWidth="1"/>
    <col min="6914" max="6914" width="7.125" style="1631" customWidth="1"/>
    <col min="6915" max="6915" width="13.375" style="1631" customWidth="1"/>
    <col min="6916" max="6916" width="5.125" style="1631" customWidth="1"/>
    <col min="6917" max="6917" width="43" style="1631" customWidth="1"/>
    <col min="6918" max="6918" width="9" style="1631" customWidth="1"/>
    <col min="6919" max="6919" width="14.5" style="1631" customWidth="1"/>
    <col min="6920" max="6920" width="12.875" style="1631" customWidth="1"/>
    <col min="6921" max="6922" width="15.875" style="1631" customWidth="1"/>
    <col min="6923" max="6923" width="14.125" style="1631" customWidth="1"/>
    <col min="6924" max="6924" width="10.125" style="1631" customWidth="1"/>
    <col min="6925" max="6925" width="31" style="1631" customWidth="1"/>
    <col min="6926" max="6926" width="43" style="1631" customWidth="1"/>
    <col min="6927" max="6927" width="12.125" style="1631" customWidth="1"/>
    <col min="6928" max="6928" width="18.125" style="1631" customWidth="1"/>
    <col min="6929" max="6929" width="16.375" style="1631" customWidth="1"/>
    <col min="6930" max="6930" width="7.125" style="1631" customWidth="1"/>
    <col min="6931" max="6932" width="9" style="1631" customWidth="1"/>
    <col min="6933" max="7168" width="8.875" style="1631" customWidth="1"/>
    <col min="7169" max="7169" width="43" style="1631" customWidth="1"/>
    <col min="7170" max="7170" width="7.125" style="1631" customWidth="1"/>
    <col min="7171" max="7171" width="13.375" style="1631" customWidth="1"/>
    <col min="7172" max="7172" width="5.125" style="1631" customWidth="1"/>
    <col min="7173" max="7173" width="43" style="1631" customWidth="1"/>
    <col min="7174" max="7174" width="9" style="1631" customWidth="1"/>
    <col min="7175" max="7175" width="14.5" style="1631" customWidth="1"/>
    <col min="7176" max="7176" width="12.875" style="1631" customWidth="1"/>
    <col min="7177" max="7178" width="15.875" style="1631" customWidth="1"/>
    <col min="7179" max="7179" width="14.125" style="1631" customWidth="1"/>
    <col min="7180" max="7180" width="10.125" style="1631" customWidth="1"/>
    <col min="7181" max="7181" width="31" style="1631" customWidth="1"/>
    <col min="7182" max="7182" width="43" style="1631" customWidth="1"/>
    <col min="7183" max="7183" width="12.125" style="1631" customWidth="1"/>
    <col min="7184" max="7184" width="18.125" style="1631" customWidth="1"/>
    <col min="7185" max="7185" width="16.375" style="1631" customWidth="1"/>
    <col min="7186" max="7186" width="7.125" style="1631" customWidth="1"/>
    <col min="7187" max="7188" width="9" style="1631" customWidth="1"/>
    <col min="7189" max="7424" width="8.875" style="1631" customWidth="1"/>
    <col min="7425" max="7425" width="43" style="1631" customWidth="1"/>
    <col min="7426" max="7426" width="7.125" style="1631" customWidth="1"/>
    <col min="7427" max="7427" width="13.375" style="1631" customWidth="1"/>
    <col min="7428" max="7428" width="5.125" style="1631" customWidth="1"/>
    <col min="7429" max="7429" width="43" style="1631" customWidth="1"/>
    <col min="7430" max="7430" width="9" style="1631" customWidth="1"/>
    <col min="7431" max="7431" width="14.5" style="1631" customWidth="1"/>
    <col min="7432" max="7432" width="12.875" style="1631" customWidth="1"/>
    <col min="7433" max="7434" width="15.875" style="1631" customWidth="1"/>
    <col min="7435" max="7435" width="14.125" style="1631" customWidth="1"/>
    <col min="7436" max="7436" width="10.125" style="1631" customWidth="1"/>
    <col min="7437" max="7437" width="31" style="1631" customWidth="1"/>
    <col min="7438" max="7438" width="43" style="1631" customWidth="1"/>
    <col min="7439" max="7439" width="12.125" style="1631" customWidth="1"/>
    <col min="7440" max="7440" width="18.125" style="1631" customWidth="1"/>
    <col min="7441" max="7441" width="16.375" style="1631" customWidth="1"/>
    <col min="7442" max="7442" width="7.125" style="1631" customWidth="1"/>
    <col min="7443" max="7444" width="9" style="1631" customWidth="1"/>
    <col min="7445" max="7680" width="8.875" style="1631" customWidth="1"/>
    <col min="7681" max="7681" width="43" style="1631" customWidth="1"/>
    <col min="7682" max="7682" width="7.125" style="1631" customWidth="1"/>
    <col min="7683" max="7683" width="13.375" style="1631" customWidth="1"/>
    <col min="7684" max="7684" width="5.125" style="1631" customWidth="1"/>
    <col min="7685" max="7685" width="43" style="1631" customWidth="1"/>
    <col min="7686" max="7686" width="9" style="1631" customWidth="1"/>
    <col min="7687" max="7687" width="14.5" style="1631" customWidth="1"/>
    <col min="7688" max="7688" width="12.875" style="1631" customWidth="1"/>
    <col min="7689" max="7690" width="15.875" style="1631" customWidth="1"/>
    <col min="7691" max="7691" width="14.125" style="1631" customWidth="1"/>
    <col min="7692" max="7692" width="10.125" style="1631" customWidth="1"/>
    <col min="7693" max="7693" width="31" style="1631" customWidth="1"/>
    <col min="7694" max="7694" width="43" style="1631" customWidth="1"/>
    <col min="7695" max="7695" width="12.125" style="1631" customWidth="1"/>
    <col min="7696" max="7696" width="18.125" style="1631" customWidth="1"/>
    <col min="7697" max="7697" width="16.375" style="1631" customWidth="1"/>
    <col min="7698" max="7698" width="7.125" style="1631" customWidth="1"/>
    <col min="7699" max="7700" width="9" style="1631" customWidth="1"/>
    <col min="7701" max="7936" width="8.875" style="1631" customWidth="1"/>
    <col min="7937" max="7937" width="43" style="1631" customWidth="1"/>
    <col min="7938" max="7938" width="7.125" style="1631" customWidth="1"/>
    <col min="7939" max="7939" width="13.375" style="1631" customWidth="1"/>
    <col min="7940" max="7940" width="5.125" style="1631" customWidth="1"/>
    <col min="7941" max="7941" width="43" style="1631" customWidth="1"/>
    <col min="7942" max="7942" width="9" style="1631" customWidth="1"/>
    <col min="7943" max="7943" width="14.5" style="1631" customWidth="1"/>
    <col min="7944" max="7944" width="12.875" style="1631" customWidth="1"/>
    <col min="7945" max="7946" width="15.875" style="1631" customWidth="1"/>
    <col min="7947" max="7947" width="14.125" style="1631" customWidth="1"/>
    <col min="7948" max="7948" width="10.125" style="1631" customWidth="1"/>
    <col min="7949" max="7949" width="31" style="1631" customWidth="1"/>
    <col min="7950" max="7950" width="43" style="1631" customWidth="1"/>
    <col min="7951" max="7951" width="12.125" style="1631" customWidth="1"/>
    <col min="7952" max="7952" width="18.125" style="1631" customWidth="1"/>
    <col min="7953" max="7953" width="16.375" style="1631" customWidth="1"/>
    <col min="7954" max="7954" width="7.125" style="1631" customWidth="1"/>
    <col min="7955" max="7956" width="9" style="1631" customWidth="1"/>
    <col min="7957" max="8192" width="8.875" style="1631" customWidth="1"/>
    <col min="8193" max="8193" width="43" style="1631" customWidth="1"/>
    <col min="8194" max="8194" width="7.125" style="1631" customWidth="1"/>
    <col min="8195" max="8195" width="13.375" style="1631" customWidth="1"/>
    <col min="8196" max="8196" width="5.125" style="1631" customWidth="1"/>
    <col min="8197" max="8197" width="43" style="1631" customWidth="1"/>
    <col min="8198" max="8198" width="9" style="1631" customWidth="1"/>
    <col min="8199" max="8199" width="14.5" style="1631" customWidth="1"/>
    <col min="8200" max="8200" width="12.875" style="1631" customWidth="1"/>
    <col min="8201" max="8202" width="15.875" style="1631" customWidth="1"/>
    <col min="8203" max="8203" width="14.125" style="1631" customWidth="1"/>
    <col min="8204" max="8204" width="10.125" style="1631" customWidth="1"/>
    <col min="8205" max="8205" width="31" style="1631" customWidth="1"/>
    <col min="8206" max="8206" width="43" style="1631" customWidth="1"/>
    <col min="8207" max="8207" width="12.125" style="1631" customWidth="1"/>
    <col min="8208" max="8208" width="18.125" style="1631" customWidth="1"/>
    <col min="8209" max="8209" width="16.375" style="1631" customWidth="1"/>
    <col min="8210" max="8210" width="7.125" style="1631" customWidth="1"/>
    <col min="8211" max="8212" width="9" style="1631" customWidth="1"/>
    <col min="8213" max="8448" width="8.875" style="1631" customWidth="1"/>
    <col min="8449" max="8449" width="43" style="1631" customWidth="1"/>
    <col min="8450" max="8450" width="7.125" style="1631" customWidth="1"/>
    <col min="8451" max="8451" width="13.375" style="1631" customWidth="1"/>
    <col min="8452" max="8452" width="5.125" style="1631" customWidth="1"/>
    <col min="8453" max="8453" width="43" style="1631" customWidth="1"/>
    <col min="8454" max="8454" width="9" style="1631" customWidth="1"/>
    <col min="8455" max="8455" width="14.5" style="1631" customWidth="1"/>
    <col min="8456" max="8456" width="12.875" style="1631" customWidth="1"/>
    <col min="8457" max="8458" width="15.875" style="1631" customWidth="1"/>
    <col min="8459" max="8459" width="14.125" style="1631" customWidth="1"/>
    <col min="8460" max="8460" width="10.125" style="1631" customWidth="1"/>
    <col min="8461" max="8461" width="31" style="1631" customWidth="1"/>
    <col min="8462" max="8462" width="43" style="1631" customWidth="1"/>
    <col min="8463" max="8463" width="12.125" style="1631" customWidth="1"/>
    <col min="8464" max="8464" width="18.125" style="1631" customWidth="1"/>
    <col min="8465" max="8465" width="16.375" style="1631" customWidth="1"/>
    <col min="8466" max="8466" width="7.125" style="1631" customWidth="1"/>
    <col min="8467" max="8468" width="9" style="1631" customWidth="1"/>
    <col min="8469" max="8704" width="8.875" style="1631" customWidth="1"/>
    <col min="8705" max="8705" width="43" style="1631" customWidth="1"/>
    <col min="8706" max="8706" width="7.125" style="1631" customWidth="1"/>
    <col min="8707" max="8707" width="13.375" style="1631" customWidth="1"/>
    <col min="8708" max="8708" width="5.125" style="1631" customWidth="1"/>
    <col min="8709" max="8709" width="43" style="1631" customWidth="1"/>
    <col min="8710" max="8710" width="9" style="1631" customWidth="1"/>
    <col min="8711" max="8711" width="14.5" style="1631" customWidth="1"/>
    <col min="8712" max="8712" width="12.875" style="1631" customWidth="1"/>
    <col min="8713" max="8714" width="15.875" style="1631" customWidth="1"/>
    <col min="8715" max="8715" width="14.125" style="1631" customWidth="1"/>
    <col min="8716" max="8716" width="10.125" style="1631" customWidth="1"/>
    <col min="8717" max="8717" width="31" style="1631" customWidth="1"/>
    <col min="8718" max="8718" width="43" style="1631" customWidth="1"/>
    <col min="8719" max="8719" width="12.125" style="1631" customWidth="1"/>
    <col min="8720" max="8720" width="18.125" style="1631" customWidth="1"/>
    <col min="8721" max="8721" width="16.375" style="1631" customWidth="1"/>
    <col min="8722" max="8722" width="7.125" style="1631" customWidth="1"/>
    <col min="8723" max="8724" width="9" style="1631" customWidth="1"/>
    <col min="8725" max="8960" width="8.875" style="1631" customWidth="1"/>
    <col min="8961" max="8961" width="43" style="1631" customWidth="1"/>
    <col min="8962" max="8962" width="7.125" style="1631" customWidth="1"/>
    <col min="8963" max="8963" width="13.375" style="1631" customWidth="1"/>
    <col min="8964" max="8964" width="5.125" style="1631" customWidth="1"/>
    <col min="8965" max="8965" width="43" style="1631" customWidth="1"/>
    <col min="8966" max="8966" width="9" style="1631" customWidth="1"/>
    <col min="8967" max="8967" width="14.5" style="1631" customWidth="1"/>
    <col min="8968" max="8968" width="12.875" style="1631" customWidth="1"/>
    <col min="8969" max="8970" width="15.875" style="1631" customWidth="1"/>
    <col min="8971" max="8971" width="14.125" style="1631" customWidth="1"/>
    <col min="8972" max="8972" width="10.125" style="1631" customWidth="1"/>
    <col min="8973" max="8973" width="31" style="1631" customWidth="1"/>
    <col min="8974" max="8974" width="43" style="1631" customWidth="1"/>
    <col min="8975" max="8975" width="12.125" style="1631" customWidth="1"/>
    <col min="8976" max="8976" width="18.125" style="1631" customWidth="1"/>
    <col min="8977" max="8977" width="16.375" style="1631" customWidth="1"/>
    <col min="8978" max="8978" width="7.125" style="1631" customWidth="1"/>
    <col min="8979" max="8980" width="9" style="1631" customWidth="1"/>
    <col min="8981" max="9216" width="8.875" style="1631" customWidth="1"/>
    <col min="9217" max="9217" width="43" style="1631" customWidth="1"/>
    <col min="9218" max="9218" width="7.125" style="1631" customWidth="1"/>
    <col min="9219" max="9219" width="13.375" style="1631" customWidth="1"/>
    <col min="9220" max="9220" width="5.125" style="1631" customWidth="1"/>
    <col min="9221" max="9221" width="43" style="1631" customWidth="1"/>
    <col min="9222" max="9222" width="9" style="1631" customWidth="1"/>
    <col min="9223" max="9223" width="14.5" style="1631" customWidth="1"/>
    <col min="9224" max="9224" width="12.875" style="1631" customWidth="1"/>
    <col min="9225" max="9226" width="15.875" style="1631" customWidth="1"/>
    <col min="9227" max="9227" width="14.125" style="1631" customWidth="1"/>
    <col min="9228" max="9228" width="10.125" style="1631" customWidth="1"/>
    <col min="9229" max="9229" width="31" style="1631" customWidth="1"/>
    <col min="9230" max="9230" width="43" style="1631" customWidth="1"/>
    <col min="9231" max="9231" width="12.125" style="1631" customWidth="1"/>
    <col min="9232" max="9232" width="18.125" style="1631" customWidth="1"/>
    <col min="9233" max="9233" width="16.375" style="1631" customWidth="1"/>
    <col min="9234" max="9234" width="7.125" style="1631" customWidth="1"/>
    <col min="9235" max="9236" width="9" style="1631" customWidth="1"/>
    <col min="9237" max="9472" width="8.875" style="1631" customWidth="1"/>
    <col min="9473" max="9473" width="43" style="1631" customWidth="1"/>
    <col min="9474" max="9474" width="7.125" style="1631" customWidth="1"/>
    <col min="9475" max="9475" width="13.375" style="1631" customWidth="1"/>
    <col min="9476" max="9476" width="5.125" style="1631" customWidth="1"/>
    <col min="9477" max="9477" width="43" style="1631" customWidth="1"/>
    <col min="9478" max="9478" width="9" style="1631" customWidth="1"/>
    <col min="9479" max="9479" width="14.5" style="1631" customWidth="1"/>
    <col min="9480" max="9480" width="12.875" style="1631" customWidth="1"/>
    <col min="9481" max="9482" width="15.875" style="1631" customWidth="1"/>
    <col min="9483" max="9483" width="14.125" style="1631" customWidth="1"/>
    <col min="9484" max="9484" width="10.125" style="1631" customWidth="1"/>
    <col min="9485" max="9485" width="31" style="1631" customWidth="1"/>
    <col min="9486" max="9486" width="43" style="1631" customWidth="1"/>
    <col min="9487" max="9487" width="12.125" style="1631" customWidth="1"/>
    <col min="9488" max="9488" width="18.125" style="1631" customWidth="1"/>
    <col min="9489" max="9489" width="16.375" style="1631" customWidth="1"/>
    <col min="9490" max="9490" width="7.125" style="1631" customWidth="1"/>
    <col min="9491" max="9492" width="9" style="1631" customWidth="1"/>
    <col min="9493" max="9728" width="8.875" style="1631" customWidth="1"/>
    <col min="9729" max="9729" width="43" style="1631" customWidth="1"/>
    <col min="9730" max="9730" width="7.125" style="1631" customWidth="1"/>
    <col min="9731" max="9731" width="13.375" style="1631" customWidth="1"/>
    <col min="9732" max="9732" width="5.125" style="1631" customWidth="1"/>
    <col min="9733" max="9733" width="43" style="1631" customWidth="1"/>
    <col min="9734" max="9734" width="9" style="1631" customWidth="1"/>
    <col min="9735" max="9735" width="14.5" style="1631" customWidth="1"/>
    <col min="9736" max="9736" width="12.875" style="1631" customWidth="1"/>
    <col min="9737" max="9738" width="15.875" style="1631" customWidth="1"/>
    <col min="9739" max="9739" width="14.125" style="1631" customWidth="1"/>
    <col min="9740" max="9740" width="10.125" style="1631" customWidth="1"/>
    <col min="9741" max="9741" width="31" style="1631" customWidth="1"/>
    <col min="9742" max="9742" width="43" style="1631" customWidth="1"/>
    <col min="9743" max="9743" width="12.125" style="1631" customWidth="1"/>
    <col min="9744" max="9744" width="18.125" style="1631" customWidth="1"/>
    <col min="9745" max="9745" width="16.375" style="1631" customWidth="1"/>
    <col min="9746" max="9746" width="7.125" style="1631" customWidth="1"/>
    <col min="9747" max="9748" width="9" style="1631" customWidth="1"/>
    <col min="9749" max="9984" width="8.875" style="1631" customWidth="1"/>
    <col min="9985" max="9985" width="43" style="1631" customWidth="1"/>
    <col min="9986" max="9986" width="7.125" style="1631" customWidth="1"/>
    <col min="9987" max="9987" width="13.375" style="1631" customWidth="1"/>
    <col min="9988" max="9988" width="5.125" style="1631" customWidth="1"/>
    <col min="9989" max="9989" width="43" style="1631" customWidth="1"/>
    <col min="9990" max="9990" width="9" style="1631" customWidth="1"/>
    <col min="9991" max="9991" width="14.5" style="1631" customWidth="1"/>
    <col min="9992" max="9992" width="12.875" style="1631" customWidth="1"/>
    <col min="9993" max="9994" width="15.875" style="1631" customWidth="1"/>
    <col min="9995" max="9995" width="14.125" style="1631" customWidth="1"/>
    <col min="9996" max="9996" width="10.125" style="1631" customWidth="1"/>
    <col min="9997" max="9997" width="31" style="1631" customWidth="1"/>
    <col min="9998" max="9998" width="43" style="1631" customWidth="1"/>
    <col min="9999" max="9999" width="12.125" style="1631" customWidth="1"/>
    <col min="10000" max="10000" width="18.125" style="1631" customWidth="1"/>
    <col min="10001" max="10001" width="16.375" style="1631" customWidth="1"/>
    <col min="10002" max="10002" width="7.125" style="1631" customWidth="1"/>
    <col min="10003" max="10004" width="9" style="1631" customWidth="1"/>
    <col min="10005" max="10240" width="8.875" style="1631" customWidth="1"/>
    <col min="10241" max="10241" width="43" style="1631" customWidth="1"/>
    <col min="10242" max="10242" width="7.125" style="1631" customWidth="1"/>
    <col min="10243" max="10243" width="13.375" style="1631" customWidth="1"/>
    <col min="10244" max="10244" width="5.125" style="1631" customWidth="1"/>
    <col min="10245" max="10245" width="43" style="1631" customWidth="1"/>
    <col min="10246" max="10246" width="9" style="1631" customWidth="1"/>
    <col min="10247" max="10247" width="14.5" style="1631" customWidth="1"/>
    <col min="10248" max="10248" width="12.875" style="1631" customWidth="1"/>
    <col min="10249" max="10250" width="15.875" style="1631" customWidth="1"/>
    <col min="10251" max="10251" width="14.125" style="1631" customWidth="1"/>
    <col min="10252" max="10252" width="10.125" style="1631" customWidth="1"/>
    <col min="10253" max="10253" width="31" style="1631" customWidth="1"/>
    <col min="10254" max="10254" width="43" style="1631" customWidth="1"/>
    <col min="10255" max="10255" width="12.125" style="1631" customWidth="1"/>
    <col min="10256" max="10256" width="18.125" style="1631" customWidth="1"/>
    <col min="10257" max="10257" width="16.375" style="1631" customWidth="1"/>
    <col min="10258" max="10258" width="7.125" style="1631" customWidth="1"/>
    <col min="10259" max="10260" width="9" style="1631" customWidth="1"/>
    <col min="10261" max="10496" width="8.875" style="1631" customWidth="1"/>
    <col min="10497" max="10497" width="43" style="1631" customWidth="1"/>
    <col min="10498" max="10498" width="7.125" style="1631" customWidth="1"/>
    <col min="10499" max="10499" width="13.375" style="1631" customWidth="1"/>
    <col min="10500" max="10500" width="5.125" style="1631" customWidth="1"/>
    <col min="10501" max="10501" width="43" style="1631" customWidth="1"/>
    <col min="10502" max="10502" width="9" style="1631" customWidth="1"/>
    <col min="10503" max="10503" width="14.5" style="1631" customWidth="1"/>
    <col min="10504" max="10504" width="12.875" style="1631" customWidth="1"/>
    <col min="10505" max="10506" width="15.875" style="1631" customWidth="1"/>
    <col min="10507" max="10507" width="14.125" style="1631" customWidth="1"/>
    <col min="10508" max="10508" width="10.125" style="1631" customWidth="1"/>
    <col min="10509" max="10509" width="31" style="1631" customWidth="1"/>
    <col min="10510" max="10510" width="43" style="1631" customWidth="1"/>
    <col min="10511" max="10511" width="12.125" style="1631" customWidth="1"/>
    <col min="10512" max="10512" width="18.125" style="1631" customWidth="1"/>
    <col min="10513" max="10513" width="16.375" style="1631" customWidth="1"/>
    <col min="10514" max="10514" width="7.125" style="1631" customWidth="1"/>
    <col min="10515" max="10516" width="9" style="1631" customWidth="1"/>
    <col min="10517" max="10752" width="8.875" style="1631" customWidth="1"/>
    <col min="10753" max="10753" width="43" style="1631" customWidth="1"/>
    <col min="10754" max="10754" width="7.125" style="1631" customWidth="1"/>
    <col min="10755" max="10755" width="13.375" style="1631" customWidth="1"/>
    <col min="10756" max="10756" width="5.125" style="1631" customWidth="1"/>
    <col min="10757" max="10757" width="43" style="1631" customWidth="1"/>
    <col min="10758" max="10758" width="9" style="1631" customWidth="1"/>
    <col min="10759" max="10759" width="14.5" style="1631" customWidth="1"/>
    <col min="10760" max="10760" width="12.875" style="1631" customWidth="1"/>
    <col min="10761" max="10762" width="15.875" style="1631" customWidth="1"/>
    <col min="10763" max="10763" width="14.125" style="1631" customWidth="1"/>
    <col min="10764" max="10764" width="10.125" style="1631" customWidth="1"/>
    <col min="10765" max="10765" width="31" style="1631" customWidth="1"/>
    <col min="10766" max="10766" width="43" style="1631" customWidth="1"/>
    <col min="10767" max="10767" width="12.125" style="1631" customWidth="1"/>
    <col min="10768" max="10768" width="18.125" style="1631" customWidth="1"/>
    <col min="10769" max="10769" width="16.375" style="1631" customWidth="1"/>
    <col min="10770" max="10770" width="7.125" style="1631" customWidth="1"/>
    <col min="10771" max="10772" width="9" style="1631" customWidth="1"/>
    <col min="10773" max="11008" width="8.875" style="1631" customWidth="1"/>
    <col min="11009" max="11009" width="43" style="1631" customWidth="1"/>
    <col min="11010" max="11010" width="7.125" style="1631" customWidth="1"/>
    <col min="11011" max="11011" width="13.375" style="1631" customWidth="1"/>
    <col min="11012" max="11012" width="5.125" style="1631" customWidth="1"/>
    <col min="11013" max="11013" width="43" style="1631" customWidth="1"/>
    <col min="11014" max="11014" width="9" style="1631" customWidth="1"/>
    <col min="11015" max="11015" width="14.5" style="1631" customWidth="1"/>
    <col min="11016" max="11016" width="12.875" style="1631" customWidth="1"/>
    <col min="11017" max="11018" width="15.875" style="1631" customWidth="1"/>
    <col min="11019" max="11019" width="14.125" style="1631" customWidth="1"/>
    <col min="11020" max="11020" width="10.125" style="1631" customWidth="1"/>
    <col min="11021" max="11021" width="31" style="1631" customWidth="1"/>
    <col min="11022" max="11022" width="43" style="1631" customWidth="1"/>
    <col min="11023" max="11023" width="12.125" style="1631" customWidth="1"/>
    <col min="11024" max="11024" width="18.125" style="1631" customWidth="1"/>
    <col min="11025" max="11025" width="16.375" style="1631" customWidth="1"/>
    <col min="11026" max="11026" width="7.125" style="1631" customWidth="1"/>
    <col min="11027" max="11028" width="9" style="1631" customWidth="1"/>
    <col min="11029" max="11264" width="8.875" style="1631" customWidth="1"/>
    <col min="11265" max="11265" width="43" style="1631" customWidth="1"/>
    <col min="11266" max="11266" width="7.125" style="1631" customWidth="1"/>
    <col min="11267" max="11267" width="13.375" style="1631" customWidth="1"/>
    <col min="11268" max="11268" width="5.125" style="1631" customWidth="1"/>
    <col min="11269" max="11269" width="43" style="1631" customWidth="1"/>
    <col min="11270" max="11270" width="9" style="1631" customWidth="1"/>
    <col min="11271" max="11271" width="14.5" style="1631" customWidth="1"/>
    <col min="11272" max="11272" width="12.875" style="1631" customWidth="1"/>
    <col min="11273" max="11274" width="15.875" style="1631" customWidth="1"/>
    <col min="11275" max="11275" width="14.125" style="1631" customWidth="1"/>
    <col min="11276" max="11276" width="10.125" style="1631" customWidth="1"/>
    <col min="11277" max="11277" width="31" style="1631" customWidth="1"/>
    <col min="11278" max="11278" width="43" style="1631" customWidth="1"/>
    <col min="11279" max="11279" width="12.125" style="1631" customWidth="1"/>
    <col min="11280" max="11280" width="18.125" style="1631" customWidth="1"/>
    <col min="11281" max="11281" width="16.375" style="1631" customWidth="1"/>
    <col min="11282" max="11282" width="7.125" style="1631" customWidth="1"/>
    <col min="11283" max="11284" width="9" style="1631" customWidth="1"/>
    <col min="11285" max="11520" width="8.875" style="1631" customWidth="1"/>
    <col min="11521" max="11521" width="43" style="1631" customWidth="1"/>
    <col min="11522" max="11522" width="7.125" style="1631" customWidth="1"/>
    <col min="11523" max="11523" width="13.375" style="1631" customWidth="1"/>
    <col min="11524" max="11524" width="5.125" style="1631" customWidth="1"/>
    <col min="11525" max="11525" width="43" style="1631" customWidth="1"/>
    <col min="11526" max="11526" width="9" style="1631" customWidth="1"/>
    <col min="11527" max="11527" width="14.5" style="1631" customWidth="1"/>
    <col min="11528" max="11528" width="12.875" style="1631" customWidth="1"/>
    <col min="11529" max="11530" width="15.875" style="1631" customWidth="1"/>
    <col min="11531" max="11531" width="14.125" style="1631" customWidth="1"/>
    <col min="11532" max="11532" width="10.125" style="1631" customWidth="1"/>
    <col min="11533" max="11533" width="31" style="1631" customWidth="1"/>
    <col min="11534" max="11534" width="43" style="1631" customWidth="1"/>
    <col min="11535" max="11535" width="12.125" style="1631" customWidth="1"/>
    <col min="11536" max="11536" width="18.125" style="1631" customWidth="1"/>
    <col min="11537" max="11537" width="16.375" style="1631" customWidth="1"/>
    <col min="11538" max="11538" width="7.125" style="1631" customWidth="1"/>
    <col min="11539" max="11540" width="9" style="1631" customWidth="1"/>
    <col min="11541" max="11776" width="8.875" style="1631" customWidth="1"/>
    <col min="11777" max="11777" width="43" style="1631" customWidth="1"/>
    <col min="11778" max="11778" width="7.125" style="1631" customWidth="1"/>
    <col min="11779" max="11779" width="13.375" style="1631" customWidth="1"/>
    <col min="11780" max="11780" width="5.125" style="1631" customWidth="1"/>
    <col min="11781" max="11781" width="43" style="1631" customWidth="1"/>
    <col min="11782" max="11782" width="9" style="1631" customWidth="1"/>
    <col min="11783" max="11783" width="14.5" style="1631" customWidth="1"/>
    <col min="11784" max="11784" width="12.875" style="1631" customWidth="1"/>
    <col min="11785" max="11786" width="15.875" style="1631" customWidth="1"/>
    <col min="11787" max="11787" width="14.125" style="1631" customWidth="1"/>
    <col min="11788" max="11788" width="10.125" style="1631" customWidth="1"/>
    <col min="11789" max="11789" width="31" style="1631" customWidth="1"/>
    <col min="11790" max="11790" width="43" style="1631" customWidth="1"/>
    <col min="11791" max="11791" width="12.125" style="1631" customWidth="1"/>
    <col min="11792" max="11792" width="18.125" style="1631" customWidth="1"/>
    <col min="11793" max="11793" width="16.375" style="1631" customWidth="1"/>
    <col min="11794" max="11794" width="7.125" style="1631" customWidth="1"/>
    <col min="11795" max="11796" width="9" style="1631" customWidth="1"/>
    <col min="11797" max="12032" width="8.875" style="1631" customWidth="1"/>
    <col min="12033" max="12033" width="43" style="1631" customWidth="1"/>
    <col min="12034" max="12034" width="7.125" style="1631" customWidth="1"/>
    <col min="12035" max="12035" width="13.375" style="1631" customWidth="1"/>
    <col min="12036" max="12036" width="5.125" style="1631" customWidth="1"/>
    <col min="12037" max="12037" width="43" style="1631" customWidth="1"/>
    <col min="12038" max="12038" width="9" style="1631" customWidth="1"/>
    <col min="12039" max="12039" width="14.5" style="1631" customWidth="1"/>
    <col min="12040" max="12040" width="12.875" style="1631" customWidth="1"/>
    <col min="12041" max="12042" width="15.875" style="1631" customWidth="1"/>
    <col min="12043" max="12043" width="14.125" style="1631" customWidth="1"/>
    <col min="12044" max="12044" width="10.125" style="1631" customWidth="1"/>
    <col min="12045" max="12045" width="31" style="1631" customWidth="1"/>
    <col min="12046" max="12046" width="43" style="1631" customWidth="1"/>
    <col min="12047" max="12047" width="12.125" style="1631" customWidth="1"/>
    <col min="12048" max="12048" width="18.125" style="1631" customWidth="1"/>
    <col min="12049" max="12049" width="16.375" style="1631" customWidth="1"/>
    <col min="12050" max="12050" width="7.125" style="1631" customWidth="1"/>
    <col min="12051" max="12052" width="9" style="1631" customWidth="1"/>
    <col min="12053" max="12288" width="8.875" style="1631" customWidth="1"/>
    <col min="12289" max="12289" width="43" style="1631" customWidth="1"/>
    <col min="12290" max="12290" width="7.125" style="1631" customWidth="1"/>
    <col min="12291" max="12291" width="13.375" style="1631" customWidth="1"/>
    <col min="12292" max="12292" width="5.125" style="1631" customWidth="1"/>
    <col min="12293" max="12293" width="43" style="1631" customWidth="1"/>
    <col min="12294" max="12294" width="9" style="1631" customWidth="1"/>
    <col min="12295" max="12295" width="14.5" style="1631" customWidth="1"/>
    <col min="12296" max="12296" width="12.875" style="1631" customWidth="1"/>
    <col min="12297" max="12298" width="15.875" style="1631" customWidth="1"/>
    <col min="12299" max="12299" width="14.125" style="1631" customWidth="1"/>
    <col min="12300" max="12300" width="10.125" style="1631" customWidth="1"/>
    <col min="12301" max="12301" width="31" style="1631" customWidth="1"/>
    <col min="12302" max="12302" width="43" style="1631" customWidth="1"/>
    <col min="12303" max="12303" width="12.125" style="1631" customWidth="1"/>
    <col min="12304" max="12304" width="18.125" style="1631" customWidth="1"/>
    <col min="12305" max="12305" width="16.375" style="1631" customWidth="1"/>
    <col min="12306" max="12306" width="7.125" style="1631" customWidth="1"/>
    <col min="12307" max="12308" width="9" style="1631" customWidth="1"/>
    <col min="12309" max="12544" width="8.875" style="1631" customWidth="1"/>
    <col min="12545" max="12545" width="43" style="1631" customWidth="1"/>
    <col min="12546" max="12546" width="7.125" style="1631" customWidth="1"/>
    <col min="12547" max="12547" width="13.375" style="1631" customWidth="1"/>
    <col min="12548" max="12548" width="5.125" style="1631" customWidth="1"/>
    <col min="12549" max="12549" width="43" style="1631" customWidth="1"/>
    <col min="12550" max="12550" width="9" style="1631" customWidth="1"/>
    <col min="12551" max="12551" width="14.5" style="1631" customWidth="1"/>
    <col min="12552" max="12552" width="12.875" style="1631" customWidth="1"/>
    <col min="12553" max="12554" width="15.875" style="1631" customWidth="1"/>
    <col min="12555" max="12555" width="14.125" style="1631" customWidth="1"/>
    <col min="12556" max="12556" width="10.125" style="1631" customWidth="1"/>
    <col min="12557" max="12557" width="31" style="1631" customWidth="1"/>
    <col min="12558" max="12558" width="43" style="1631" customWidth="1"/>
    <col min="12559" max="12559" width="12.125" style="1631" customWidth="1"/>
    <col min="12560" max="12560" width="18.125" style="1631" customWidth="1"/>
    <col min="12561" max="12561" width="16.375" style="1631" customWidth="1"/>
    <col min="12562" max="12562" width="7.125" style="1631" customWidth="1"/>
    <col min="12563" max="12564" width="9" style="1631" customWidth="1"/>
    <col min="12565" max="12800" width="8.875" style="1631" customWidth="1"/>
    <col min="12801" max="12801" width="43" style="1631" customWidth="1"/>
    <col min="12802" max="12802" width="7.125" style="1631" customWidth="1"/>
    <col min="12803" max="12803" width="13.375" style="1631" customWidth="1"/>
    <col min="12804" max="12804" width="5.125" style="1631" customWidth="1"/>
    <col min="12805" max="12805" width="43" style="1631" customWidth="1"/>
    <col min="12806" max="12806" width="9" style="1631" customWidth="1"/>
    <col min="12807" max="12807" width="14.5" style="1631" customWidth="1"/>
    <col min="12808" max="12808" width="12.875" style="1631" customWidth="1"/>
    <col min="12809" max="12810" width="15.875" style="1631" customWidth="1"/>
    <col min="12811" max="12811" width="14.125" style="1631" customWidth="1"/>
    <col min="12812" max="12812" width="10.125" style="1631" customWidth="1"/>
    <col min="12813" max="12813" width="31" style="1631" customWidth="1"/>
    <col min="12814" max="12814" width="43" style="1631" customWidth="1"/>
    <col min="12815" max="12815" width="12.125" style="1631" customWidth="1"/>
    <col min="12816" max="12816" width="18.125" style="1631" customWidth="1"/>
    <col min="12817" max="12817" width="16.375" style="1631" customWidth="1"/>
    <col min="12818" max="12818" width="7.125" style="1631" customWidth="1"/>
    <col min="12819" max="12820" width="9" style="1631" customWidth="1"/>
    <col min="12821" max="13056" width="8.875" style="1631" customWidth="1"/>
    <col min="13057" max="13057" width="43" style="1631" customWidth="1"/>
    <col min="13058" max="13058" width="7.125" style="1631" customWidth="1"/>
    <col min="13059" max="13059" width="13.375" style="1631" customWidth="1"/>
    <col min="13060" max="13060" width="5.125" style="1631" customWidth="1"/>
    <col min="13061" max="13061" width="43" style="1631" customWidth="1"/>
    <col min="13062" max="13062" width="9" style="1631" customWidth="1"/>
    <col min="13063" max="13063" width="14.5" style="1631" customWidth="1"/>
    <col min="13064" max="13064" width="12.875" style="1631" customWidth="1"/>
    <col min="13065" max="13066" width="15.875" style="1631" customWidth="1"/>
    <col min="13067" max="13067" width="14.125" style="1631" customWidth="1"/>
    <col min="13068" max="13068" width="10.125" style="1631" customWidth="1"/>
    <col min="13069" max="13069" width="31" style="1631" customWidth="1"/>
    <col min="13070" max="13070" width="43" style="1631" customWidth="1"/>
    <col min="13071" max="13071" width="12.125" style="1631" customWidth="1"/>
    <col min="13072" max="13072" width="18.125" style="1631" customWidth="1"/>
    <col min="13073" max="13073" width="16.375" style="1631" customWidth="1"/>
    <col min="13074" max="13074" width="7.125" style="1631" customWidth="1"/>
    <col min="13075" max="13076" width="9" style="1631" customWidth="1"/>
    <col min="13077" max="13312" width="8.875" style="1631" customWidth="1"/>
    <col min="13313" max="13313" width="43" style="1631" customWidth="1"/>
    <col min="13314" max="13314" width="7.125" style="1631" customWidth="1"/>
    <col min="13315" max="13315" width="13.375" style="1631" customWidth="1"/>
    <col min="13316" max="13316" width="5.125" style="1631" customWidth="1"/>
    <col min="13317" max="13317" width="43" style="1631" customWidth="1"/>
    <col min="13318" max="13318" width="9" style="1631" customWidth="1"/>
    <col min="13319" max="13319" width="14.5" style="1631" customWidth="1"/>
    <col min="13320" max="13320" width="12.875" style="1631" customWidth="1"/>
    <col min="13321" max="13322" width="15.875" style="1631" customWidth="1"/>
    <col min="13323" max="13323" width="14.125" style="1631" customWidth="1"/>
    <col min="13324" max="13324" width="10.125" style="1631" customWidth="1"/>
    <col min="13325" max="13325" width="31" style="1631" customWidth="1"/>
    <col min="13326" max="13326" width="43" style="1631" customWidth="1"/>
    <col min="13327" max="13327" width="12.125" style="1631" customWidth="1"/>
    <col min="13328" max="13328" width="18.125" style="1631" customWidth="1"/>
    <col min="13329" max="13329" width="16.375" style="1631" customWidth="1"/>
    <col min="13330" max="13330" width="7.125" style="1631" customWidth="1"/>
    <col min="13331" max="13332" width="9" style="1631" customWidth="1"/>
    <col min="13333" max="13568" width="8.875" style="1631" customWidth="1"/>
    <col min="13569" max="13569" width="43" style="1631" customWidth="1"/>
    <col min="13570" max="13570" width="7.125" style="1631" customWidth="1"/>
    <col min="13571" max="13571" width="13.375" style="1631" customWidth="1"/>
    <col min="13572" max="13572" width="5.125" style="1631" customWidth="1"/>
    <col min="13573" max="13573" width="43" style="1631" customWidth="1"/>
    <col min="13574" max="13574" width="9" style="1631" customWidth="1"/>
    <col min="13575" max="13575" width="14.5" style="1631" customWidth="1"/>
    <col min="13576" max="13576" width="12.875" style="1631" customWidth="1"/>
    <col min="13577" max="13578" width="15.875" style="1631" customWidth="1"/>
    <col min="13579" max="13579" width="14.125" style="1631" customWidth="1"/>
    <col min="13580" max="13580" width="10.125" style="1631" customWidth="1"/>
    <col min="13581" max="13581" width="31" style="1631" customWidth="1"/>
    <col min="13582" max="13582" width="43" style="1631" customWidth="1"/>
    <col min="13583" max="13583" width="12.125" style="1631" customWidth="1"/>
    <col min="13584" max="13584" width="18.125" style="1631" customWidth="1"/>
    <col min="13585" max="13585" width="16.375" style="1631" customWidth="1"/>
    <col min="13586" max="13586" width="7.125" style="1631" customWidth="1"/>
    <col min="13587" max="13588" width="9" style="1631" customWidth="1"/>
    <col min="13589" max="13824" width="8.875" style="1631" customWidth="1"/>
    <col min="13825" max="13825" width="43" style="1631" customWidth="1"/>
    <col min="13826" max="13826" width="7.125" style="1631" customWidth="1"/>
    <col min="13827" max="13827" width="13.375" style="1631" customWidth="1"/>
    <col min="13828" max="13828" width="5.125" style="1631" customWidth="1"/>
    <col min="13829" max="13829" width="43" style="1631" customWidth="1"/>
    <col min="13830" max="13830" width="9" style="1631" customWidth="1"/>
    <col min="13831" max="13831" width="14.5" style="1631" customWidth="1"/>
    <col min="13832" max="13832" width="12.875" style="1631" customWidth="1"/>
    <col min="13833" max="13834" width="15.875" style="1631" customWidth="1"/>
    <col min="13835" max="13835" width="14.125" style="1631" customWidth="1"/>
    <col min="13836" max="13836" width="10.125" style="1631" customWidth="1"/>
    <col min="13837" max="13837" width="31" style="1631" customWidth="1"/>
    <col min="13838" max="13838" width="43" style="1631" customWidth="1"/>
    <col min="13839" max="13839" width="12.125" style="1631" customWidth="1"/>
    <col min="13840" max="13840" width="18.125" style="1631" customWidth="1"/>
    <col min="13841" max="13841" width="16.375" style="1631" customWidth="1"/>
    <col min="13842" max="13842" width="7.125" style="1631" customWidth="1"/>
    <col min="13843" max="13844" width="9" style="1631" customWidth="1"/>
    <col min="13845" max="14080" width="8.875" style="1631" customWidth="1"/>
    <col min="14081" max="14081" width="43" style="1631" customWidth="1"/>
    <col min="14082" max="14082" width="7.125" style="1631" customWidth="1"/>
    <col min="14083" max="14083" width="13.375" style="1631" customWidth="1"/>
    <col min="14084" max="14084" width="5.125" style="1631" customWidth="1"/>
    <col min="14085" max="14085" width="43" style="1631" customWidth="1"/>
    <col min="14086" max="14086" width="9" style="1631" customWidth="1"/>
    <col min="14087" max="14087" width="14.5" style="1631" customWidth="1"/>
    <col min="14088" max="14088" width="12.875" style="1631" customWidth="1"/>
    <col min="14089" max="14090" width="15.875" style="1631" customWidth="1"/>
    <col min="14091" max="14091" width="14.125" style="1631" customWidth="1"/>
    <col min="14092" max="14092" width="10.125" style="1631" customWidth="1"/>
    <col min="14093" max="14093" width="31" style="1631" customWidth="1"/>
    <col min="14094" max="14094" width="43" style="1631" customWidth="1"/>
    <col min="14095" max="14095" width="12.125" style="1631" customWidth="1"/>
    <col min="14096" max="14096" width="18.125" style="1631" customWidth="1"/>
    <col min="14097" max="14097" width="16.375" style="1631" customWidth="1"/>
    <col min="14098" max="14098" width="7.125" style="1631" customWidth="1"/>
    <col min="14099" max="14100" width="9" style="1631" customWidth="1"/>
    <col min="14101" max="14336" width="8.875" style="1631" customWidth="1"/>
    <col min="14337" max="14337" width="43" style="1631" customWidth="1"/>
    <col min="14338" max="14338" width="7.125" style="1631" customWidth="1"/>
    <col min="14339" max="14339" width="13.375" style="1631" customWidth="1"/>
    <col min="14340" max="14340" width="5.125" style="1631" customWidth="1"/>
    <col min="14341" max="14341" width="43" style="1631" customWidth="1"/>
    <col min="14342" max="14342" width="9" style="1631" customWidth="1"/>
    <col min="14343" max="14343" width="14.5" style="1631" customWidth="1"/>
    <col min="14344" max="14344" width="12.875" style="1631" customWidth="1"/>
    <col min="14345" max="14346" width="15.875" style="1631" customWidth="1"/>
    <col min="14347" max="14347" width="14.125" style="1631" customWidth="1"/>
    <col min="14348" max="14348" width="10.125" style="1631" customWidth="1"/>
    <col min="14349" max="14349" width="31" style="1631" customWidth="1"/>
    <col min="14350" max="14350" width="43" style="1631" customWidth="1"/>
    <col min="14351" max="14351" width="12.125" style="1631" customWidth="1"/>
    <col min="14352" max="14352" width="18.125" style="1631" customWidth="1"/>
    <col min="14353" max="14353" width="16.375" style="1631" customWidth="1"/>
    <col min="14354" max="14354" width="7.125" style="1631" customWidth="1"/>
    <col min="14355" max="14356" width="9" style="1631" customWidth="1"/>
    <col min="14357" max="14592" width="8.875" style="1631" customWidth="1"/>
    <col min="14593" max="14593" width="43" style="1631" customWidth="1"/>
    <col min="14594" max="14594" width="7.125" style="1631" customWidth="1"/>
    <col min="14595" max="14595" width="13.375" style="1631" customWidth="1"/>
    <col min="14596" max="14596" width="5.125" style="1631" customWidth="1"/>
    <col min="14597" max="14597" width="43" style="1631" customWidth="1"/>
    <col min="14598" max="14598" width="9" style="1631" customWidth="1"/>
    <col min="14599" max="14599" width="14.5" style="1631" customWidth="1"/>
    <col min="14600" max="14600" width="12.875" style="1631" customWidth="1"/>
    <col min="14601" max="14602" width="15.875" style="1631" customWidth="1"/>
    <col min="14603" max="14603" width="14.125" style="1631" customWidth="1"/>
    <col min="14604" max="14604" width="10.125" style="1631" customWidth="1"/>
    <col min="14605" max="14605" width="31" style="1631" customWidth="1"/>
    <col min="14606" max="14606" width="43" style="1631" customWidth="1"/>
    <col min="14607" max="14607" width="12.125" style="1631" customWidth="1"/>
    <col min="14608" max="14608" width="18.125" style="1631" customWidth="1"/>
    <col min="14609" max="14609" width="16.375" style="1631" customWidth="1"/>
    <col min="14610" max="14610" width="7.125" style="1631" customWidth="1"/>
    <col min="14611" max="14612" width="9" style="1631" customWidth="1"/>
    <col min="14613" max="14848" width="8.875" style="1631" customWidth="1"/>
    <col min="14849" max="14849" width="43" style="1631" customWidth="1"/>
    <col min="14850" max="14850" width="7.125" style="1631" customWidth="1"/>
    <col min="14851" max="14851" width="13.375" style="1631" customWidth="1"/>
    <col min="14852" max="14852" width="5.125" style="1631" customWidth="1"/>
    <col min="14853" max="14853" width="43" style="1631" customWidth="1"/>
    <col min="14854" max="14854" width="9" style="1631" customWidth="1"/>
    <col min="14855" max="14855" width="14.5" style="1631" customWidth="1"/>
    <col min="14856" max="14856" width="12.875" style="1631" customWidth="1"/>
    <col min="14857" max="14858" width="15.875" style="1631" customWidth="1"/>
    <col min="14859" max="14859" width="14.125" style="1631" customWidth="1"/>
    <col min="14860" max="14860" width="10.125" style="1631" customWidth="1"/>
    <col min="14861" max="14861" width="31" style="1631" customWidth="1"/>
    <col min="14862" max="14862" width="43" style="1631" customWidth="1"/>
    <col min="14863" max="14863" width="12.125" style="1631" customWidth="1"/>
    <col min="14864" max="14864" width="18.125" style="1631" customWidth="1"/>
    <col min="14865" max="14865" width="16.375" style="1631" customWidth="1"/>
    <col min="14866" max="14866" width="7.125" style="1631" customWidth="1"/>
    <col min="14867" max="14868" width="9" style="1631" customWidth="1"/>
    <col min="14869" max="15104" width="8.875" style="1631" customWidth="1"/>
    <col min="15105" max="15105" width="43" style="1631" customWidth="1"/>
    <col min="15106" max="15106" width="7.125" style="1631" customWidth="1"/>
    <col min="15107" max="15107" width="13.375" style="1631" customWidth="1"/>
    <col min="15108" max="15108" width="5.125" style="1631" customWidth="1"/>
    <col min="15109" max="15109" width="43" style="1631" customWidth="1"/>
    <col min="15110" max="15110" width="9" style="1631" customWidth="1"/>
    <col min="15111" max="15111" width="14.5" style="1631" customWidth="1"/>
    <col min="15112" max="15112" width="12.875" style="1631" customWidth="1"/>
    <col min="15113" max="15114" width="15.875" style="1631" customWidth="1"/>
    <col min="15115" max="15115" width="14.125" style="1631" customWidth="1"/>
    <col min="15116" max="15116" width="10.125" style="1631" customWidth="1"/>
    <col min="15117" max="15117" width="31" style="1631" customWidth="1"/>
    <col min="15118" max="15118" width="43" style="1631" customWidth="1"/>
    <col min="15119" max="15119" width="12.125" style="1631" customWidth="1"/>
    <col min="15120" max="15120" width="18.125" style="1631" customWidth="1"/>
    <col min="15121" max="15121" width="16.375" style="1631" customWidth="1"/>
    <col min="15122" max="15122" width="7.125" style="1631" customWidth="1"/>
    <col min="15123" max="15124" width="9" style="1631" customWidth="1"/>
    <col min="15125" max="15360" width="8.875" style="1631" customWidth="1"/>
    <col min="15361" max="15361" width="43" style="1631" customWidth="1"/>
    <col min="15362" max="15362" width="7.125" style="1631" customWidth="1"/>
    <col min="15363" max="15363" width="13.375" style="1631" customWidth="1"/>
    <col min="15364" max="15364" width="5.125" style="1631" customWidth="1"/>
    <col min="15365" max="15365" width="43" style="1631" customWidth="1"/>
    <col min="15366" max="15366" width="9" style="1631" customWidth="1"/>
    <col min="15367" max="15367" width="14.5" style="1631" customWidth="1"/>
    <col min="15368" max="15368" width="12.875" style="1631" customWidth="1"/>
    <col min="15369" max="15370" width="15.875" style="1631" customWidth="1"/>
    <col min="15371" max="15371" width="14.125" style="1631" customWidth="1"/>
    <col min="15372" max="15372" width="10.125" style="1631" customWidth="1"/>
    <col min="15373" max="15373" width="31" style="1631" customWidth="1"/>
    <col min="15374" max="15374" width="43" style="1631" customWidth="1"/>
    <col min="15375" max="15375" width="12.125" style="1631" customWidth="1"/>
    <col min="15376" max="15376" width="18.125" style="1631" customWidth="1"/>
    <col min="15377" max="15377" width="16.375" style="1631" customWidth="1"/>
    <col min="15378" max="15378" width="7.125" style="1631" customWidth="1"/>
    <col min="15379" max="15380" width="9" style="1631" customWidth="1"/>
    <col min="15381" max="15616" width="8.875" style="1631" customWidth="1"/>
    <col min="15617" max="15617" width="43" style="1631" customWidth="1"/>
    <col min="15618" max="15618" width="7.125" style="1631" customWidth="1"/>
    <col min="15619" max="15619" width="13.375" style="1631" customWidth="1"/>
    <col min="15620" max="15620" width="5.125" style="1631" customWidth="1"/>
    <col min="15621" max="15621" width="43" style="1631" customWidth="1"/>
    <col min="15622" max="15622" width="9" style="1631" customWidth="1"/>
    <col min="15623" max="15623" width="14.5" style="1631" customWidth="1"/>
    <col min="15624" max="15624" width="12.875" style="1631" customWidth="1"/>
    <col min="15625" max="15626" width="15.875" style="1631" customWidth="1"/>
    <col min="15627" max="15627" width="14.125" style="1631" customWidth="1"/>
    <col min="15628" max="15628" width="10.125" style="1631" customWidth="1"/>
    <col min="15629" max="15629" width="31" style="1631" customWidth="1"/>
    <col min="15630" max="15630" width="43" style="1631" customWidth="1"/>
    <col min="15631" max="15631" width="12.125" style="1631" customWidth="1"/>
    <col min="15632" max="15632" width="18.125" style="1631" customWidth="1"/>
    <col min="15633" max="15633" width="16.375" style="1631" customWidth="1"/>
    <col min="15634" max="15634" width="7.125" style="1631" customWidth="1"/>
    <col min="15635" max="15636" width="9" style="1631" customWidth="1"/>
    <col min="15637" max="15872" width="8.875" style="1631" customWidth="1"/>
    <col min="15873" max="15873" width="43" style="1631" customWidth="1"/>
    <col min="15874" max="15874" width="7.125" style="1631" customWidth="1"/>
    <col min="15875" max="15875" width="13.375" style="1631" customWidth="1"/>
    <col min="15876" max="15876" width="5.125" style="1631" customWidth="1"/>
    <col min="15877" max="15877" width="43" style="1631" customWidth="1"/>
    <col min="15878" max="15878" width="9" style="1631" customWidth="1"/>
    <col min="15879" max="15879" width="14.5" style="1631" customWidth="1"/>
    <col min="15880" max="15880" width="12.875" style="1631" customWidth="1"/>
    <col min="15881" max="15882" width="15.875" style="1631" customWidth="1"/>
    <col min="15883" max="15883" width="14.125" style="1631" customWidth="1"/>
    <col min="15884" max="15884" width="10.125" style="1631" customWidth="1"/>
    <col min="15885" max="15885" width="31" style="1631" customWidth="1"/>
    <col min="15886" max="15886" width="43" style="1631" customWidth="1"/>
    <col min="15887" max="15887" width="12.125" style="1631" customWidth="1"/>
    <col min="15888" max="15888" width="18.125" style="1631" customWidth="1"/>
    <col min="15889" max="15889" width="16.375" style="1631" customWidth="1"/>
    <col min="15890" max="15890" width="7.125" style="1631" customWidth="1"/>
    <col min="15891" max="15892" width="9" style="1631" customWidth="1"/>
    <col min="15893" max="16128" width="8.875" style="1631" customWidth="1"/>
    <col min="16129" max="16129" width="43" style="1631" customWidth="1"/>
    <col min="16130" max="16130" width="7.125" style="1631" customWidth="1"/>
    <col min="16131" max="16131" width="13.375" style="1631" customWidth="1"/>
    <col min="16132" max="16132" width="5.125" style="1631" customWidth="1"/>
    <col min="16133" max="16133" width="43" style="1631" customWidth="1"/>
    <col min="16134" max="16134" width="9" style="1631" customWidth="1"/>
    <col min="16135" max="16135" width="14.5" style="1631" customWidth="1"/>
    <col min="16136" max="16136" width="12.875" style="1631" customWidth="1"/>
    <col min="16137" max="16138" width="15.875" style="1631" customWidth="1"/>
    <col min="16139" max="16139" width="14.125" style="1631" customWidth="1"/>
    <col min="16140" max="16140" width="10.125" style="1631" customWidth="1"/>
    <col min="16141" max="16141" width="31" style="1631" customWidth="1"/>
    <col min="16142" max="16142" width="43" style="1631" customWidth="1"/>
    <col min="16143" max="16143" width="12.125" style="1631" customWidth="1"/>
    <col min="16144" max="16144" width="18.125" style="1631" customWidth="1"/>
    <col min="16145" max="16145" width="16.375" style="1631" customWidth="1"/>
    <col min="16146" max="16146" width="7.125" style="1631" customWidth="1"/>
    <col min="16147" max="16148" width="9" style="1631" customWidth="1"/>
    <col min="16149" max="16384" width="8.875" style="1631" customWidth="1"/>
  </cols>
  <sheetData>
    <row r="1" spans="1:20">
      <c r="A1" s="1631" t="s">
        <v>3086</v>
      </c>
      <c r="B1" s="1631" t="s">
        <v>3087</v>
      </c>
      <c r="C1" s="1631" t="s">
        <v>3088</v>
      </c>
      <c r="D1" s="1631" t="s">
        <v>3089</v>
      </c>
      <c r="E1" s="1631" t="s">
        <v>3090</v>
      </c>
      <c r="F1" s="1631" t="s">
        <v>3091</v>
      </c>
      <c r="G1" s="1631" t="s">
        <v>3092</v>
      </c>
      <c r="H1" s="1631" t="s">
        <v>3093</v>
      </c>
      <c r="I1" s="1631" t="s">
        <v>3094</v>
      </c>
      <c r="J1" s="1631" t="s">
        <v>3095</v>
      </c>
      <c r="K1" s="1631" t="s">
        <v>3096</v>
      </c>
      <c r="L1" s="1631" t="s">
        <v>3097</v>
      </c>
      <c r="M1" s="1631" t="s">
        <v>3098</v>
      </c>
      <c r="N1" s="1631" t="s">
        <v>3099</v>
      </c>
      <c r="O1" s="1631" t="s">
        <v>3100</v>
      </c>
      <c r="P1" s="1631" t="s">
        <v>3101</v>
      </c>
      <c r="Q1" s="1631" t="s">
        <v>3102</v>
      </c>
      <c r="R1" s="1631" t="s">
        <v>3103</v>
      </c>
      <c r="S1" s="1631" t="s">
        <v>3104</v>
      </c>
      <c r="T1" s="1631" t="s">
        <v>3105</v>
      </c>
    </row>
    <row r="2" spans="1:20">
      <c r="A2" s="1631" t="s">
        <v>3255</v>
      </c>
      <c r="B2" s="1631" t="s">
        <v>3107</v>
      </c>
      <c r="C2" s="1631" t="s">
        <v>3108</v>
      </c>
      <c r="D2" s="1631" t="s">
        <v>1326</v>
      </c>
      <c r="E2" s="1631" t="s">
        <v>3255</v>
      </c>
      <c r="F2" s="1631" t="s">
        <v>3109</v>
      </c>
      <c r="G2" s="1631" t="s">
        <v>3256</v>
      </c>
      <c r="H2" s="1631" t="s">
        <v>3111</v>
      </c>
      <c r="I2" s="1631">
        <v>716</v>
      </c>
      <c r="J2" s="1631">
        <v>214.8</v>
      </c>
      <c r="K2" s="1631" t="s">
        <v>3120</v>
      </c>
      <c r="L2" s="1631" t="s">
        <v>3257</v>
      </c>
      <c r="M2" s="1631" t="s">
        <v>3258</v>
      </c>
      <c r="N2" s="1631" t="s">
        <v>3259</v>
      </c>
      <c r="O2" s="1631">
        <v>172</v>
      </c>
      <c r="P2" s="1631">
        <v>160.15</v>
      </c>
      <c r="Q2" s="1631">
        <v>8007.44</v>
      </c>
      <c r="R2" s="1631">
        <v>0</v>
      </c>
      <c r="S2" s="1631" t="s">
        <v>3116</v>
      </c>
      <c r="T2" s="1631" t="s">
        <v>3192</v>
      </c>
    </row>
    <row r="3" spans="1:20">
      <c r="A3" s="1631" t="s">
        <v>3260</v>
      </c>
      <c r="B3" s="1631" t="s">
        <v>3107</v>
      </c>
      <c r="C3" s="1631" t="s">
        <v>3108</v>
      </c>
      <c r="D3" s="1631" t="s">
        <v>1326</v>
      </c>
      <c r="E3" s="1631" t="s">
        <v>3260</v>
      </c>
      <c r="F3" s="1631" t="s">
        <v>3109</v>
      </c>
      <c r="G3" s="1631" t="s">
        <v>3261</v>
      </c>
      <c r="H3" s="1631" t="s">
        <v>3111</v>
      </c>
      <c r="I3" s="1631">
        <v>130701</v>
      </c>
      <c r="J3" s="1631">
        <v>156841.20000000001</v>
      </c>
      <c r="K3" s="1631" t="s">
        <v>3262</v>
      </c>
      <c r="L3" s="1631" t="s">
        <v>3263</v>
      </c>
      <c r="M3" s="1631" t="s">
        <v>3264</v>
      </c>
      <c r="N3" s="1631" t="s">
        <v>3265</v>
      </c>
      <c r="O3" s="1631">
        <v>23919</v>
      </c>
      <c r="P3" s="1631">
        <v>122</v>
      </c>
      <c r="Q3" s="1631">
        <v>1525.04</v>
      </c>
      <c r="R3" s="1631">
        <v>0</v>
      </c>
      <c r="S3" s="1631" t="s">
        <v>3116</v>
      </c>
      <c r="T3" s="1631" t="s">
        <v>3122</v>
      </c>
    </row>
    <row r="4" spans="1:20">
      <c r="A4" s="1631" t="s">
        <v>3106</v>
      </c>
      <c r="B4" s="1631" t="s">
        <v>3107</v>
      </c>
      <c r="C4" s="1631" t="s">
        <v>3108</v>
      </c>
      <c r="D4" s="1631" t="s">
        <v>1326</v>
      </c>
      <c r="E4" s="1631" t="s">
        <v>3106</v>
      </c>
      <c r="F4" s="1631" t="s">
        <v>3109</v>
      </c>
      <c r="G4" s="1631" t="s">
        <v>3110</v>
      </c>
      <c r="H4" s="1631" t="s">
        <v>3111</v>
      </c>
      <c r="I4" s="1631">
        <v>12884</v>
      </c>
      <c r="J4" s="1631">
        <v>29633.200000000001</v>
      </c>
      <c r="K4" s="1631" t="s">
        <v>3112</v>
      </c>
      <c r="L4" s="1631" t="s">
        <v>3113</v>
      </c>
      <c r="M4" s="1631" t="s">
        <v>3114</v>
      </c>
      <c r="N4" s="1631" t="s">
        <v>3115</v>
      </c>
      <c r="O4" s="1631">
        <v>1373</v>
      </c>
      <c r="P4" s="1631">
        <v>71.040000000000006</v>
      </c>
      <c r="Q4" s="1631">
        <v>463.32</v>
      </c>
      <c r="R4" s="1631">
        <v>0</v>
      </c>
      <c r="S4" s="1631" t="s">
        <v>3116</v>
      </c>
      <c r="T4" s="1631" t="s">
        <v>3117</v>
      </c>
    </row>
    <row r="5" spans="1:20">
      <c r="A5" s="1631" t="s">
        <v>3118</v>
      </c>
      <c r="B5" s="1631" t="s">
        <v>3107</v>
      </c>
      <c r="C5" s="1631" t="s">
        <v>3108</v>
      </c>
      <c r="D5" s="1631" t="s">
        <v>1326</v>
      </c>
      <c r="E5" s="1631" t="s">
        <v>3118</v>
      </c>
      <c r="F5" s="1631" t="s">
        <v>3109</v>
      </c>
      <c r="G5" s="1631" t="s">
        <v>3119</v>
      </c>
      <c r="H5" s="1631" t="s">
        <v>3111</v>
      </c>
      <c r="I5" s="1631">
        <v>3306</v>
      </c>
      <c r="J5" s="1631">
        <v>991.8</v>
      </c>
      <c r="K5" s="1631" t="s">
        <v>3120</v>
      </c>
      <c r="L5" s="1631" t="s">
        <v>3113</v>
      </c>
      <c r="M5" s="1631" t="s">
        <v>3114</v>
      </c>
      <c r="N5" s="1631" t="s">
        <v>3121</v>
      </c>
      <c r="O5" s="1631">
        <v>2083</v>
      </c>
      <c r="P5" s="1631">
        <v>420.04</v>
      </c>
      <c r="Q5" s="1631">
        <v>21002.22</v>
      </c>
      <c r="R5" s="1631">
        <v>0</v>
      </c>
      <c r="S5" s="1631" t="s">
        <v>3116</v>
      </c>
      <c r="T5" s="1631" t="s">
        <v>3122</v>
      </c>
    </row>
    <row r="6" spans="1:20">
      <c r="A6" s="1631" t="s">
        <v>3266</v>
      </c>
      <c r="B6" s="1631" t="s">
        <v>3107</v>
      </c>
      <c r="C6" s="1631" t="s">
        <v>3108</v>
      </c>
      <c r="D6" s="1631" t="s">
        <v>1326</v>
      </c>
      <c r="E6" s="1631" t="s">
        <v>3266</v>
      </c>
      <c r="F6" s="1631" t="s">
        <v>3109</v>
      </c>
      <c r="G6" s="1631" t="s">
        <v>3267</v>
      </c>
      <c r="H6" s="1631" t="s">
        <v>3111</v>
      </c>
      <c r="I6" s="1631">
        <v>49260</v>
      </c>
      <c r="J6" s="1631">
        <v>147780</v>
      </c>
      <c r="K6" s="1631" t="s">
        <v>3268</v>
      </c>
      <c r="L6" s="1631" t="s">
        <v>3113</v>
      </c>
      <c r="M6" s="1631" t="s">
        <v>3114</v>
      </c>
      <c r="N6" s="1631" t="s">
        <v>3197</v>
      </c>
      <c r="O6" s="1631">
        <v>30148</v>
      </c>
      <c r="P6" s="1631">
        <v>408.01</v>
      </c>
      <c r="Q6" s="1631">
        <v>2040.05</v>
      </c>
      <c r="R6" s="1631">
        <v>0</v>
      </c>
      <c r="S6" s="1631" t="s">
        <v>3116</v>
      </c>
      <c r="T6" s="1631" t="s">
        <v>3130</v>
      </c>
    </row>
    <row r="7" spans="1:20">
      <c r="A7" s="1631" t="s">
        <v>3269</v>
      </c>
      <c r="B7" s="1631" t="s">
        <v>3107</v>
      </c>
      <c r="C7" s="1631" t="s">
        <v>3108</v>
      </c>
      <c r="D7" s="1631" t="s">
        <v>1326</v>
      </c>
      <c r="E7" s="1631" t="s">
        <v>3269</v>
      </c>
      <c r="F7" s="1631" t="s">
        <v>3109</v>
      </c>
      <c r="G7" s="1631" t="s">
        <v>3270</v>
      </c>
      <c r="H7" s="1631" t="s">
        <v>3271</v>
      </c>
      <c r="I7" s="1631">
        <v>49460</v>
      </c>
      <c r="J7" s="1631">
        <v>59352</v>
      </c>
      <c r="K7" s="1631" t="s">
        <v>3262</v>
      </c>
      <c r="L7" s="1631" t="s">
        <v>3113</v>
      </c>
      <c r="M7" s="1631" t="s">
        <v>3114</v>
      </c>
      <c r="N7" s="1631" t="s">
        <v>3272</v>
      </c>
      <c r="O7" s="1631">
        <v>12910</v>
      </c>
      <c r="P7" s="1631">
        <v>174.01</v>
      </c>
      <c r="Q7" s="1631">
        <v>2175.15</v>
      </c>
      <c r="R7" s="1631">
        <v>0</v>
      </c>
      <c r="S7" s="1631" t="s">
        <v>3116</v>
      </c>
      <c r="T7" s="1631" t="s">
        <v>3192</v>
      </c>
    </row>
    <row r="8" spans="1:20">
      <c r="A8" s="1631" t="s">
        <v>3123</v>
      </c>
      <c r="B8" s="1631" t="s">
        <v>3107</v>
      </c>
      <c r="C8" s="1631" t="s">
        <v>3108</v>
      </c>
      <c r="D8" s="1631" t="s">
        <v>1326</v>
      </c>
      <c r="E8" s="1631" t="s">
        <v>3123</v>
      </c>
      <c r="F8" s="1631" t="s">
        <v>3109</v>
      </c>
      <c r="G8" s="1631" t="s">
        <v>3124</v>
      </c>
      <c r="H8" s="1631" t="s">
        <v>3111</v>
      </c>
      <c r="I8" s="1631">
        <v>3985</v>
      </c>
      <c r="J8" s="1631">
        <v>1992.5</v>
      </c>
      <c r="K8" s="1631" t="s">
        <v>3125</v>
      </c>
      <c r="L8" s="1631" t="s">
        <v>3113</v>
      </c>
      <c r="M8" s="1631" t="s">
        <v>3114</v>
      </c>
      <c r="N8" s="1631" t="s">
        <v>3126</v>
      </c>
      <c r="O8" s="1631">
        <v>2989</v>
      </c>
      <c r="P8" s="1631">
        <v>500.04</v>
      </c>
      <c r="Q8" s="1631">
        <v>15001.25</v>
      </c>
      <c r="R8" s="1631">
        <v>0</v>
      </c>
      <c r="S8" s="1631" t="s">
        <v>3116</v>
      </c>
      <c r="T8" s="1631" t="s">
        <v>3122</v>
      </c>
    </row>
    <row r="9" spans="1:20" s="2953" customFormat="1">
      <c r="A9" s="2953" t="s">
        <v>3273</v>
      </c>
      <c r="B9" s="2953" t="s">
        <v>3107</v>
      </c>
      <c r="C9" s="2953" t="s">
        <v>3108</v>
      </c>
      <c r="D9" s="2953" t="s">
        <v>1326</v>
      </c>
      <c r="E9" s="2953" t="s">
        <v>3273</v>
      </c>
      <c r="F9" s="2953" t="s">
        <v>3109</v>
      </c>
      <c r="G9" s="2953" t="s">
        <v>3274</v>
      </c>
      <c r="H9" s="2953" t="s">
        <v>3111</v>
      </c>
      <c r="I9" s="2953">
        <v>9438</v>
      </c>
      <c r="J9" s="2953">
        <v>10381.799999999999</v>
      </c>
      <c r="K9" s="2953" t="s">
        <v>3275</v>
      </c>
      <c r="L9" s="2953" t="s">
        <v>3113</v>
      </c>
      <c r="M9" s="2953" t="s">
        <v>3114</v>
      </c>
      <c r="N9" s="2953" t="s">
        <v>3276</v>
      </c>
      <c r="O9" s="2953">
        <v>1898</v>
      </c>
      <c r="P9" s="2953">
        <v>134.07</v>
      </c>
      <c r="Q9" s="2953">
        <v>1828.2</v>
      </c>
      <c r="R9" s="2953">
        <v>0</v>
      </c>
      <c r="S9" s="2953" t="s">
        <v>3116</v>
      </c>
      <c r="T9" s="2953" t="s">
        <v>3122</v>
      </c>
    </row>
    <row r="10" spans="1:20">
      <c r="A10" s="1631" t="s">
        <v>3127</v>
      </c>
      <c r="B10" s="1631" t="s">
        <v>3107</v>
      </c>
      <c r="C10" s="1631" t="s">
        <v>3108</v>
      </c>
      <c r="D10" s="1631" t="s">
        <v>1326</v>
      </c>
      <c r="E10" s="1631" t="s">
        <v>3127</v>
      </c>
      <c r="F10" s="1631" t="s">
        <v>3109</v>
      </c>
      <c r="G10" s="1631" t="s">
        <v>3128</v>
      </c>
      <c r="H10" s="1631" t="s">
        <v>3111</v>
      </c>
      <c r="I10" s="1631">
        <v>10609</v>
      </c>
      <c r="J10" s="1631">
        <v>41375.1</v>
      </c>
      <c r="K10" s="1631" t="s">
        <v>3129</v>
      </c>
      <c r="L10" s="1631" t="s">
        <v>3113</v>
      </c>
      <c r="M10" s="1631" t="s">
        <v>3114</v>
      </c>
      <c r="N10" s="1631" t="s">
        <v>3115</v>
      </c>
      <c r="O10" s="1631">
        <v>1735</v>
      </c>
      <c r="P10" s="1631">
        <v>109.03</v>
      </c>
      <c r="Q10" s="1631">
        <v>419.32</v>
      </c>
      <c r="R10" s="1631">
        <v>0</v>
      </c>
      <c r="S10" s="1631" t="s">
        <v>3116</v>
      </c>
      <c r="T10" s="1631" t="s">
        <v>3130</v>
      </c>
    </row>
    <row r="11" spans="1:20">
      <c r="A11" s="1631" t="s">
        <v>3277</v>
      </c>
      <c r="B11" s="1631" t="s">
        <v>3107</v>
      </c>
      <c r="C11" s="1631" t="s">
        <v>3108</v>
      </c>
      <c r="D11" s="1631" t="s">
        <v>1326</v>
      </c>
      <c r="E11" s="1631" t="s">
        <v>3277</v>
      </c>
      <c r="F11" s="1631" t="s">
        <v>3109</v>
      </c>
      <c r="G11" s="1631" t="s">
        <v>3278</v>
      </c>
      <c r="H11" s="1631" t="s">
        <v>3111</v>
      </c>
      <c r="I11" s="1631">
        <v>2447</v>
      </c>
      <c r="J11" s="1631">
        <v>734.1</v>
      </c>
      <c r="K11" s="1631" t="s">
        <v>3279</v>
      </c>
      <c r="L11" s="1631" t="s">
        <v>3280</v>
      </c>
      <c r="M11" s="1631" t="s">
        <v>3281</v>
      </c>
      <c r="N11" s="1631" t="s">
        <v>3259</v>
      </c>
      <c r="O11" s="1631">
        <v>606</v>
      </c>
      <c r="P11" s="1631">
        <v>165.1</v>
      </c>
      <c r="Q11" s="1631">
        <v>8255.01</v>
      </c>
      <c r="R11" s="1631">
        <v>0</v>
      </c>
      <c r="S11" s="1631" t="s">
        <v>3116</v>
      </c>
      <c r="T11" s="1631" t="s">
        <v>3192</v>
      </c>
    </row>
    <row r="12" spans="1:20">
      <c r="A12" s="1631" t="s">
        <v>3282</v>
      </c>
      <c r="B12" s="1631" t="s">
        <v>3107</v>
      </c>
      <c r="C12" s="1631" t="s">
        <v>3108</v>
      </c>
      <c r="D12" s="1631" t="s">
        <v>1326</v>
      </c>
      <c r="E12" s="1631" t="s">
        <v>3282</v>
      </c>
      <c r="F12" s="1631" t="s">
        <v>3109</v>
      </c>
      <c r="G12" s="1631" t="s">
        <v>3283</v>
      </c>
      <c r="H12" s="1631" t="s">
        <v>3111</v>
      </c>
      <c r="I12" s="1631">
        <v>2894</v>
      </c>
      <c r="J12" s="1631">
        <v>868.2</v>
      </c>
      <c r="K12" s="1631" t="s">
        <v>3279</v>
      </c>
      <c r="L12" s="1631" t="s">
        <v>3284</v>
      </c>
      <c r="M12" s="1631" t="s">
        <v>3285</v>
      </c>
      <c r="N12" s="1631" t="s">
        <v>3286</v>
      </c>
      <c r="O12" s="1631">
        <v>1458</v>
      </c>
      <c r="P12" s="1631">
        <v>335.87</v>
      </c>
      <c r="Q12" s="1631">
        <v>16793.36</v>
      </c>
      <c r="R12" s="1631">
        <v>115.04</v>
      </c>
      <c r="S12" s="1631" t="s">
        <v>3116</v>
      </c>
      <c r="T12" s="1631" t="s">
        <v>3122</v>
      </c>
    </row>
    <row r="13" spans="1:20" s="2953" customFormat="1">
      <c r="A13" s="2953" t="s">
        <v>3287</v>
      </c>
      <c r="B13" s="2953" t="s">
        <v>3107</v>
      </c>
      <c r="C13" s="2953" t="s">
        <v>3108</v>
      </c>
      <c r="D13" s="2953" t="s">
        <v>1326</v>
      </c>
      <c r="E13" s="2953" t="s">
        <v>3287</v>
      </c>
      <c r="F13" s="2953" t="s">
        <v>3109</v>
      </c>
      <c r="G13" s="2953" t="s">
        <v>3288</v>
      </c>
      <c r="H13" s="2953" t="s">
        <v>3111</v>
      </c>
      <c r="I13" s="2953">
        <v>3742</v>
      </c>
      <c r="J13" s="2953">
        <v>3742</v>
      </c>
      <c r="K13" s="2953" t="s">
        <v>3133</v>
      </c>
      <c r="L13" s="2953" t="s">
        <v>3284</v>
      </c>
      <c r="M13" s="2953" t="s">
        <v>3285</v>
      </c>
      <c r="N13" s="2953" t="s">
        <v>3289</v>
      </c>
      <c r="O13" s="2953">
        <v>500</v>
      </c>
      <c r="P13" s="2953">
        <v>89.08</v>
      </c>
      <c r="Q13" s="2953">
        <v>1336.18</v>
      </c>
      <c r="R13" s="2953">
        <v>0</v>
      </c>
      <c r="S13" s="2953" t="s">
        <v>3116</v>
      </c>
      <c r="T13" s="2953" t="s">
        <v>3122</v>
      </c>
    </row>
    <row r="14" spans="1:20" s="2953" customFormat="1">
      <c r="A14" s="2953" t="s">
        <v>3287</v>
      </c>
      <c r="B14" s="2953" t="s">
        <v>3107</v>
      </c>
      <c r="C14" s="2953" t="s">
        <v>3108</v>
      </c>
      <c r="D14" s="2953" t="s">
        <v>1326</v>
      </c>
      <c r="E14" s="2953" t="s">
        <v>3287</v>
      </c>
      <c r="F14" s="2953" t="s">
        <v>3109</v>
      </c>
      <c r="G14" s="2953" t="s">
        <v>3290</v>
      </c>
      <c r="H14" s="2953" t="s">
        <v>3111</v>
      </c>
      <c r="I14" s="2953">
        <v>16074</v>
      </c>
      <c r="J14" s="2953">
        <v>16074</v>
      </c>
      <c r="K14" s="2953" t="s">
        <v>3133</v>
      </c>
      <c r="L14" s="2953" t="s">
        <v>3284</v>
      </c>
      <c r="M14" s="2953" t="s">
        <v>3285</v>
      </c>
      <c r="N14" s="2953" t="s">
        <v>3289</v>
      </c>
      <c r="O14" s="2953">
        <v>2146</v>
      </c>
      <c r="P14" s="2953">
        <v>89.01</v>
      </c>
      <c r="Q14" s="2953">
        <v>1335.07</v>
      </c>
      <c r="R14" s="2953">
        <v>0</v>
      </c>
      <c r="S14" s="2953" t="s">
        <v>3116</v>
      </c>
      <c r="T14" s="2953" t="s">
        <v>3122</v>
      </c>
    </row>
    <row r="15" spans="1:20" s="2953" customFormat="1">
      <c r="A15" s="2953" t="s">
        <v>3287</v>
      </c>
      <c r="B15" s="2953" t="s">
        <v>3107</v>
      </c>
      <c r="C15" s="2953" t="s">
        <v>3108</v>
      </c>
      <c r="D15" s="2953" t="s">
        <v>1326</v>
      </c>
      <c r="E15" s="2953" t="s">
        <v>3287</v>
      </c>
      <c r="F15" s="2953" t="s">
        <v>3109</v>
      </c>
      <c r="G15" s="2953" t="s">
        <v>3291</v>
      </c>
      <c r="H15" s="2953" t="s">
        <v>3111</v>
      </c>
      <c r="I15" s="2953">
        <v>48278.96</v>
      </c>
      <c r="J15" s="2953">
        <v>48278.96</v>
      </c>
      <c r="K15" s="2953" t="s">
        <v>3133</v>
      </c>
      <c r="L15" s="2953" t="s">
        <v>3284</v>
      </c>
      <c r="M15" s="2953" t="s">
        <v>3285</v>
      </c>
      <c r="N15" s="2953" t="s">
        <v>3289</v>
      </c>
      <c r="O15" s="2953">
        <v>6446</v>
      </c>
      <c r="P15" s="2953">
        <v>89.01</v>
      </c>
      <c r="Q15" s="2953">
        <v>1335.16</v>
      </c>
      <c r="R15" s="2953">
        <v>0</v>
      </c>
      <c r="S15" s="2953" t="s">
        <v>3116</v>
      </c>
      <c r="T15" s="2953" t="s">
        <v>3122</v>
      </c>
    </row>
    <row r="16" spans="1:20">
      <c r="A16" s="1631" t="s">
        <v>3292</v>
      </c>
      <c r="B16" s="1631" t="s">
        <v>3107</v>
      </c>
      <c r="C16" s="1631" t="s">
        <v>3108</v>
      </c>
      <c r="D16" s="1631" t="s">
        <v>1326</v>
      </c>
      <c r="E16" s="1631" t="s">
        <v>3292</v>
      </c>
      <c r="F16" s="1631" t="s">
        <v>3109</v>
      </c>
      <c r="G16" s="1631" t="s">
        <v>3293</v>
      </c>
      <c r="H16" s="1631" t="s">
        <v>3111</v>
      </c>
      <c r="I16" s="1631">
        <v>3247</v>
      </c>
      <c r="J16" s="1631">
        <v>519.52</v>
      </c>
      <c r="K16" s="1631">
        <v>0.16</v>
      </c>
      <c r="L16" s="1631" t="s">
        <v>3294</v>
      </c>
      <c r="M16" s="1631" t="s">
        <v>3295</v>
      </c>
      <c r="N16" s="1631" t="s">
        <v>3296</v>
      </c>
      <c r="O16" s="1631">
        <v>205</v>
      </c>
      <c r="P16" s="1631">
        <v>42.09</v>
      </c>
      <c r="Q16" s="1631">
        <v>3945.94</v>
      </c>
      <c r="R16" s="1631">
        <v>0</v>
      </c>
      <c r="S16" s="1631" t="s">
        <v>3116</v>
      </c>
      <c r="T16" s="1631" t="s">
        <v>3137</v>
      </c>
    </row>
    <row r="17" spans="1:20" s="3011" customFormat="1">
      <c r="A17" s="3013" t="s">
        <v>3546</v>
      </c>
      <c r="B17" s="3011" t="s">
        <v>3107</v>
      </c>
      <c r="C17" s="3011" t="s">
        <v>3108</v>
      </c>
      <c r="D17" s="3011" t="s">
        <v>1326</v>
      </c>
      <c r="E17" s="3011" t="s">
        <v>3297</v>
      </c>
      <c r="F17" s="3011" t="s">
        <v>3109</v>
      </c>
      <c r="G17" s="3013" t="s">
        <v>3545</v>
      </c>
      <c r="H17" s="3011" t="s">
        <v>3111</v>
      </c>
      <c r="I17" s="3011">
        <v>35776</v>
      </c>
      <c r="J17" s="3011">
        <v>41857.919999999998</v>
      </c>
      <c r="K17" s="3011" t="s">
        <v>3298</v>
      </c>
      <c r="L17" s="3011" t="s">
        <v>3299</v>
      </c>
      <c r="M17" s="3011" t="s">
        <v>3300</v>
      </c>
      <c r="N17" s="3013" t="s">
        <v>3547</v>
      </c>
      <c r="O17" s="3011">
        <v>12665</v>
      </c>
      <c r="P17" s="3011">
        <v>236.01</v>
      </c>
      <c r="Q17" s="3011">
        <v>3025.71</v>
      </c>
      <c r="R17" s="3011">
        <v>0</v>
      </c>
      <c r="S17" s="3011" t="s">
        <v>3116</v>
      </c>
      <c r="T17" s="3011" t="s">
        <v>3122</v>
      </c>
    </row>
    <row r="18" spans="1:20" s="2953" customFormat="1">
      <c r="A18" s="2953" t="s">
        <v>3131</v>
      </c>
      <c r="B18" s="2953" t="s">
        <v>3107</v>
      </c>
      <c r="C18" s="2953" t="s">
        <v>3108</v>
      </c>
      <c r="D18" s="2953" t="s">
        <v>1326</v>
      </c>
      <c r="E18" s="2953" t="s">
        <v>3131</v>
      </c>
      <c r="F18" s="2953" t="s">
        <v>3109</v>
      </c>
      <c r="G18" s="2953" t="s">
        <v>3132</v>
      </c>
      <c r="H18" s="2953" t="s">
        <v>3111</v>
      </c>
      <c r="I18" s="2953">
        <v>26674</v>
      </c>
      <c r="J18" s="2953">
        <v>26674</v>
      </c>
      <c r="K18" s="2953" t="s">
        <v>3133</v>
      </c>
      <c r="L18" s="2953" t="s">
        <v>3134</v>
      </c>
      <c r="M18" s="2953" t="s">
        <v>3135</v>
      </c>
      <c r="N18" s="2953" t="s">
        <v>3136</v>
      </c>
      <c r="O18" s="2953">
        <v>4322</v>
      </c>
      <c r="P18" s="2953">
        <v>108.02</v>
      </c>
      <c r="Q18" s="2953">
        <v>1620.29</v>
      </c>
      <c r="R18" s="2953">
        <v>0</v>
      </c>
      <c r="S18" s="2953" t="s">
        <v>3116</v>
      </c>
      <c r="T18" s="2953" t="s">
        <v>3137</v>
      </c>
    </row>
    <row r="19" spans="1:20">
      <c r="A19" s="1631" t="s">
        <v>3301</v>
      </c>
      <c r="B19" s="1631" t="s">
        <v>3107</v>
      </c>
      <c r="C19" s="1631" t="s">
        <v>3108</v>
      </c>
      <c r="D19" s="1631" t="s">
        <v>1326</v>
      </c>
      <c r="E19" s="1631" t="s">
        <v>3301</v>
      </c>
      <c r="F19" s="1631" t="s">
        <v>3109</v>
      </c>
      <c r="G19" s="1631" t="s">
        <v>3302</v>
      </c>
      <c r="H19" s="1631" t="s">
        <v>3111</v>
      </c>
      <c r="I19" s="1631">
        <v>37556</v>
      </c>
      <c r="J19" s="1631">
        <v>150224</v>
      </c>
      <c r="K19" s="1631" t="s">
        <v>3221</v>
      </c>
      <c r="L19" s="1631" t="s">
        <v>3134</v>
      </c>
      <c r="M19" s="1631" t="s">
        <v>3135</v>
      </c>
      <c r="N19" s="1631" t="s">
        <v>3303</v>
      </c>
      <c r="O19" s="1631">
        <v>18309</v>
      </c>
      <c r="P19" s="1631">
        <v>325.01</v>
      </c>
      <c r="Q19" s="1631">
        <v>1218.77</v>
      </c>
      <c r="R19" s="1631">
        <v>0</v>
      </c>
      <c r="S19" s="1631" t="s">
        <v>3116</v>
      </c>
      <c r="T19" s="1631" t="s">
        <v>3122</v>
      </c>
    </row>
    <row r="20" spans="1:20">
      <c r="A20" s="1631" t="s">
        <v>3304</v>
      </c>
      <c r="B20" s="1631" t="s">
        <v>3107</v>
      </c>
      <c r="C20" s="1631" t="s">
        <v>3108</v>
      </c>
      <c r="D20" s="1631" t="s">
        <v>1326</v>
      </c>
      <c r="E20" s="1631" t="s">
        <v>3304</v>
      </c>
      <c r="F20" s="1631" t="s">
        <v>3109</v>
      </c>
      <c r="G20" s="1631" t="s">
        <v>3305</v>
      </c>
      <c r="H20" s="1631" t="s">
        <v>3111</v>
      </c>
      <c r="I20" s="1631">
        <v>20287</v>
      </c>
      <c r="J20" s="1631">
        <v>60861</v>
      </c>
      <c r="K20" s="1631" t="s">
        <v>3140</v>
      </c>
      <c r="L20" s="1631" t="s">
        <v>3134</v>
      </c>
      <c r="M20" s="1631" t="s">
        <v>3135</v>
      </c>
      <c r="N20" s="1631" t="s">
        <v>3306</v>
      </c>
      <c r="O20" s="1631">
        <v>12294</v>
      </c>
      <c r="P20" s="1631">
        <v>404</v>
      </c>
      <c r="Q20" s="1631">
        <v>2020</v>
      </c>
      <c r="R20" s="1631">
        <v>0</v>
      </c>
      <c r="S20" s="1631" t="s">
        <v>3116</v>
      </c>
      <c r="T20" s="1631" t="s">
        <v>3122</v>
      </c>
    </row>
    <row r="21" spans="1:20">
      <c r="A21" s="1631" t="s">
        <v>3138</v>
      </c>
      <c r="B21" s="1631" t="s">
        <v>3107</v>
      </c>
      <c r="C21" s="1631" t="s">
        <v>3108</v>
      </c>
      <c r="D21" s="1631" t="s">
        <v>1326</v>
      </c>
      <c r="E21" s="1631" t="s">
        <v>3138</v>
      </c>
      <c r="F21" s="1631" t="s">
        <v>3109</v>
      </c>
      <c r="G21" s="1631" t="s">
        <v>3139</v>
      </c>
      <c r="H21" s="1631" t="s">
        <v>3111</v>
      </c>
      <c r="I21" s="1631">
        <v>69750</v>
      </c>
      <c r="J21" s="1631">
        <v>209250</v>
      </c>
      <c r="K21" s="1631" t="s">
        <v>3140</v>
      </c>
      <c r="L21" s="1631" t="s">
        <v>3134</v>
      </c>
      <c r="M21" s="1631" t="s">
        <v>3135</v>
      </c>
      <c r="N21" s="1631" t="s">
        <v>3141</v>
      </c>
      <c r="O21" s="1631">
        <v>33062</v>
      </c>
      <c r="P21" s="1631">
        <v>316</v>
      </c>
      <c r="Q21" s="1631">
        <v>1580.01</v>
      </c>
      <c r="R21" s="1631">
        <v>0</v>
      </c>
      <c r="S21" s="1631" t="s">
        <v>3116</v>
      </c>
      <c r="T21" s="1631" t="s">
        <v>3122</v>
      </c>
    </row>
    <row r="22" spans="1:20">
      <c r="A22" s="1631" t="s">
        <v>3142</v>
      </c>
      <c r="B22" s="1631" t="s">
        <v>3107</v>
      </c>
      <c r="C22" s="1631" t="s">
        <v>3108</v>
      </c>
      <c r="D22" s="1631" t="s">
        <v>1326</v>
      </c>
      <c r="E22" s="1631" t="s">
        <v>3142</v>
      </c>
      <c r="F22" s="1631" t="s">
        <v>3109</v>
      </c>
      <c r="G22" s="1631" t="s">
        <v>3143</v>
      </c>
      <c r="H22" s="1631" t="s">
        <v>3111</v>
      </c>
      <c r="I22" s="1631">
        <v>56641</v>
      </c>
      <c r="J22" s="1631">
        <v>169923</v>
      </c>
      <c r="K22" s="1631" t="s">
        <v>3140</v>
      </c>
      <c r="L22" s="1631" t="s">
        <v>3134</v>
      </c>
      <c r="M22" s="1631" t="s">
        <v>3135</v>
      </c>
      <c r="N22" s="1631" t="s">
        <v>3141</v>
      </c>
      <c r="O22" s="1631">
        <v>26848</v>
      </c>
      <c r="P22" s="1631">
        <v>316</v>
      </c>
      <c r="Q22" s="1631">
        <v>1580</v>
      </c>
      <c r="R22" s="1631">
        <v>0</v>
      </c>
      <c r="S22" s="1631" t="s">
        <v>3116</v>
      </c>
      <c r="T22" s="1631" t="s">
        <v>3122</v>
      </c>
    </row>
    <row r="23" spans="1:20">
      <c r="A23" s="1631" t="s">
        <v>3144</v>
      </c>
      <c r="B23" s="1631" t="s">
        <v>3107</v>
      </c>
      <c r="C23" s="1631" t="s">
        <v>3108</v>
      </c>
      <c r="D23" s="1631" t="s">
        <v>1326</v>
      </c>
      <c r="E23" s="1631" t="s">
        <v>3144</v>
      </c>
      <c r="F23" s="1631" t="s">
        <v>3109</v>
      </c>
      <c r="G23" s="1631" t="s">
        <v>3145</v>
      </c>
      <c r="H23" s="1631" t="s">
        <v>3111</v>
      </c>
      <c r="I23" s="1631">
        <v>6747</v>
      </c>
      <c r="J23" s="1631">
        <v>13494</v>
      </c>
      <c r="K23" s="1631" t="s">
        <v>3146</v>
      </c>
      <c r="L23" s="1631" t="s">
        <v>3134</v>
      </c>
      <c r="M23" s="1631" t="s">
        <v>3135</v>
      </c>
      <c r="N23" s="1631" t="s">
        <v>3136</v>
      </c>
      <c r="O23" s="1631">
        <v>2551</v>
      </c>
      <c r="P23" s="1631">
        <v>252.06</v>
      </c>
      <c r="Q23" s="1631">
        <v>1890.47</v>
      </c>
      <c r="R23" s="1631">
        <v>0</v>
      </c>
      <c r="S23" s="1631" t="s">
        <v>3116</v>
      </c>
      <c r="T23" s="1631" t="s">
        <v>3122</v>
      </c>
    </row>
    <row r="24" spans="1:20" s="2954" customFormat="1">
      <c r="A24" s="2954" t="s">
        <v>3147</v>
      </c>
      <c r="B24" s="2954" t="s">
        <v>3107</v>
      </c>
      <c r="C24" s="2954" t="s">
        <v>3108</v>
      </c>
      <c r="D24" s="2954" t="s">
        <v>1326</v>
      </c>
      <c r="E24" s="2954" t="s">
        <v>3147</v>
      </c>
      <c r="F24" s="2954" t="s">
        <v>3109</v>
      </c>
      <c r="G24" s="2954" t="s">
        <v>3148</v>
      </c>
      <c r="H24" s="2954" t="s">
        <v>3111</v>
      </c>
      <c r="I24" s="2954">
        <v>196085</v>
      </c>
      <c r="J24" s="2954">
        <v>196085</v>
      </c>
      <c r="K24" s="2954" t="s">
        <v>3133</v>
      </c>
      <c r="L24" s="2954" t="s">
        <v>3149</v>
      </c>
      <c r="M24" s="2954" t="s">
        <v>3150</v>
      </c>
      <c r="N24" s="2954" t="s">
        <v>3151</v>
      </c>
      <c r="O24" s="2954">
        <v>56179</v>
      </c>
      <c r="P24" s="2954">
        <v>191</v>
      </c>
      <c r="Q24" s="2954">
        <v>2865.03</v>
      </c>
      <c r="R24" s="2954">
        <v>0</v>
      </c>
      <c r="S24" s="2954" t="s">
        <v>3116</v>
      </c>
      <c r="T24" s="2954" t="s">
        <v>3130</v>
      </c>
    </row>
    <row r="25" spans="1:20" s="3012" customFormat="1">
      <c r="A25" s="3012" t="s">
        <v>3152</v>
      </c>
      <c r="B25" s="3012" t="s">
        <v>3107</v>
      </c>
      <c r="C25" s="3012" t="s">
        <v>3108</v>
      </c>
      <c r="D25" s="3012" t="s">
        <v>1326</v>
      </c>
      <c r="E25" s="3012" t="s">
        <v>3152</v>
      </c>
      <c r="F25" s="3012" t="s">
        <v>3109</v>
      </c>
      <c r="G25" s="3012" t="s">
        <v>3548</v>
      </c>
      <c r="H25" s="3012" t="s">
        <v>3111</v>
      </c>
      <c r="I25" s="3012">
        <v>15294</v>
      </c>
      <c r="J25" s="3012">
        <v>12235.2</v>
      </c>
      <c r="K25" s="3012" t="s">
        <v>3154</v>
      </c>
      <c r="L25" s="3012" t="s">
        <v>3149</v>
      </c>
      <c r="M25" s="3012" t="s">
        <v>3155</v>
      </c>
      <c r="N25" s="3012" t="s">
        <v>3156</v>
      </c>
      <c r="O25" s="3012">
        <v>3281</v>
      </c>
      <c r="P25" s="3012">
        <v>143.02000000000001</v>
      </c>
      <c r="Q25" s="3012">
        <v>2681.61</v>
      </c>
      <c r="R25" s="3012">
        <v>0</v>
      </c>
      <c r="S25" s="3012" t="s">
        <v>3116</v>
      </c>
      <c r="T25" s="3012" t="s">
        <v>3122</v>
      </c>
    </row>
    <row r="26" spans="1:20">
      <c r="A26" s="1631" t="s">
        <v>3152</v>
      </c>
      <c r="B26" s="1631" t="s">
        <v>3107</v>
      </c>
      <c r="C26" s="1631" t="s">
        <v>3108</v>
      </c>
      <c r="D26" s="1631" t="s">
        <v>1326</v>
      </c>
      <c r="E26" s="1631" t="s">
        <v>3152</v>
      </c>
      <c r="F26" s="1631" t="s">
        <v>3109</v>
      </c>
      <c r="G26" s="1631" t="s">
        <v>3157</v>
      </c>
      <c r="H26" s="1631" t="s">
        <v>3111</v>
      </c>
      <c r="I26" s="1631">
        <v>1188</v>
      </c>
      <c r="J26" s="1631">
        <v>2376</v>
      </c>
      <c r="K26" s="1631" t="s">
        <v>3158</v>
      </c>
      <c r="L26" s="1631" t="s">
        <v>3149</v>
      </c>
      <c r="M26" s="1631" t="s">
        <v>3159</v>
      </c>
      <c r="N26" s="1631" t="s">
        <v>3156</v>
      </c>
      <c r="O26" s="1631">
        <v>360</v>
      </c>
      <c r="P26" s="1631">
        <v>202.02</v>
      </c>
      <c r="Q26" s="1631">
        <v>1515.15</v>
      </c>
      <c r="R26" s="1631">
        <v>0</v>
      </c>
      <c r="S26" s="1631" t="s">
        <v>3116</v>
      </c>
      <c r="T26" s="1631" t="s">
        <v>3122</v>
      </c>
    </row>
    <row r="27" spans="1:20" s="2953" customFormat="1">
      <c r="A27" s="2953" t="s">
        <v>3307</v>
      </c>
      <c r="B27" s="2953" t="s">
        <v>3107</v>
      </c>
      <c r="C27" s="2953" t="s">
        <v>3108</v>
      </c>
      <c r="D27" s="2953" t="s">
        <v>1326</v>
      </c>
      <c r="E27" s="2953" t="s">
        <v>3307</v>
      </c>
      <c r="F27" s="2953" t="s">
        <v>3109</v>
      </c>
      <c r="G27" s="2953" t="s">
        <v>3308</v>
      </c>
      <c r="H27" s="2953" t="s">
        <v>3111</v>
      </c>
      <c r="I27" s="2953">
        <v>81124</v>
      </c>
      <c r="J27" s="2953">
        <v>105461.2</v>
      </c>
      <c r="K27" s="2953" t="s">
        <v>3232</v>
      </c>
      <c r="L27" s="2953" t="s">
        <v>3309</v>
      </c>
      <c r="M27" s="2953" t="s">
        <v>3310</v>
      </c>
      <c r="N27" s="2953" t="s">
        <v>3311</v>
      </c>
      <c r="O27" s="2953">
        <v>16793</v>
      </c>
      <c r="P27" s="2953">
        <v>138</v>
      </c>
      <c r="Q27" s="2953">
        <v>1592.33</v>
      </c>
      <c r="R27" s="2953">
        <v>0</v>
      </c>
      <c r="S27" s="2953" t="s">
        <v>3116</v>
      </c>
      <c r="T27" s="2953" t="s">
        <v>3137</v>
      </c>
    </row>
    <row r="28" spans="1:20">
      <c r="A28" s="1631" t="s">
        <v>3312</v>
      </c>
      <c r="B28" s="1631" t="s">
        <v>3107</v>
      </c>
      <c r="C28" s="1631" t="s">
        <v>3108</v>
      </c>
      <c r="D28" s="1631" t="s">
        <v>1326</v>
      </c>
      <c r="E28" s="1631" t="s">
        <v>3312</v>
      </c>
      <c r="F28" s="1631" t="s">
        <v>3109</v>
      </c>
      <c r="G28" s="1631" t="s">
        <v>3313</v>
      </c>
      <c r="H28" s="1631" t="s">
        <v>3111</v>
      </c>
      <c r="I28" s="1631">
        <v>3502</v>
      </c>
      <c r="J28" s="1631">
        <v>1050.5999999999999</v>
      </c>
      <c r="K28" s="1631" t="s">
        <v>3279</v>
      </c>
      <c r="L28" s="1631" t="s">
        <v>3314</v>
      </c>
      <c r="M28" s="1631" t="s">
        <v>3315</v>
      </c>
      <c r="N28" s="1631" t="s">
        <v>3316</v>
      </c>
      <c r="O28" s="1631">
        <v>946</v>
      </c>
      <c r="P28" s="1631">
        <v>180.09</v>
      </c>
      <c r="Q28" s="1631">
        <v>9004.3700000000008</v>
      </c>
      <c r="R28" s="1631" t="s">
        <v>1326</v>
      </c>
      <c r="S28" s="1631" t="s">
        <v>3116</v>
      </c>
      <c r="T28" s="1631" t="s">
        <v>3122</v>
      </c>
    </row>
    <row r="29" spans="1:20" s="2953" customFormat="1">
      <c r="A29" s="2953" t="s">
        <v>3317</v>
      </c>
      <c r="B29" s="2953" t="s">
        <v>3107</v>
      </c>
      <c r="C29" s="2953" t="s">
        <v>3108</v>
      </c>
      <c r="D29" s="2953" t="s">
        <v>1326</v>
      </c>
      <c r="E29" s="2953" t="s">
        <v>3317</v>
      </c>
      <c r="F29" s="2953" t="s">
        <v>3109</v>
      </c>
      <c r="G29" s="2953" t="s">
        <v>3318</v>
      </c>
      <c r="H29" s="2953" t="s">
        <v>3111</v>
      </c>
      <c r="I29" s="2953">
        <v>55222.95</v>
      </c>
      <c r="J29" s="2953">
        <v>55222.95</v>
      </c>
      <c r="K29" s="2953" t="s">
        <v>3133</v>
      </c>
      <c r="L29" s="2953" t="s">
        <v>3314</v>
      </c>
      <c r="M29" s="2953" t="s">
        <v>3319</v>
      </c>
      <c r="N29" s="2953" t="s">
        <v>3289</v>
      </c>
      <c r="O29" s="2953">
        <v>7538</v>
      </c>
      <c r="P29" s="2953">
        <v>91</v>
      </c>
      <c r="Q29" s="2953">
        <v>1365</v>
      </c>
      <c r="R29" s="2953" t="s">
        <v>1326</v>
      </c>
      <c r="S29" s="2953" t="s">
        <v>3116</v>
      </c>
      <c r="T29" s="2953" t="s">
        <v>3122</v>
      </c>
    </row>
    <row r="30" spans="1:20">
      <c r="A30" s="1631" t="s">
        <v>3304</v>
      </c>
      <c r="B30" s="1631" t="s">
        <v>3107</v>
      </c>
      <c r="C30" s="1631" t="s">
        <v>3108</v>
      </c>
      <c r="D30" s="1631" t="s">
        <v>1326</v>
      </c>
      <c r="E30" s="1631" t="s">
        <v>3304</v>
      </c>
      <c r="F30" s="1631" t="s">
        <v>3109</v>
      </c>
      <c r="G30" s="1631" t="s">
        <v>3320</v>
      </c>
      <c r="H30" s="1631" t="s">
        <v>3111</v>
      </c>
      <c r="I30" s="1631">
        <v>7713</v>
      </c>
      <c r="J30" s="1631">
        <v>2313.9</v>
      </c>
      <c r="K30" s="1631" t="s">
        <v>3279</v>
      </c>
      <c r="L30" s="1631" t="s">
        <v>3314</v>
      </c>
      <c r="M30" s="1631" t="s">
        <v>3321</v>
      </c>
      <c r="N30" s="1631" t="s">
        <v>3322</v>
      </c>
      <c r="O30" s="1631">
        <v>2661</v>
      </c>
      <c r="P30" s="1631">
        <v>230</v>
      </c>
      <c r="Q30" s="1631">
        <v>11500.05</v>
      </c>
      <c r="R30" s="1631" t="s">
        <v>1326</v>
      </c>
      <c r="S30" s="1631" t="s">
        <v>3116</v>
      </c>
      <c r="T30" s="1631" t="s">
        <v>3192</v>
      </c>
    </row>
    <row r="31" spans="1:20">
      <c r="A31" s="1631" t="s">
        <v>3323</v>
      </c>
      <c r="B31" s="1631" t="s">
        <v>3107</v>
      </c>
      <c r="C31" s="1631" t="s">
        <v>3108</v>
      </c>
      <c r="D31" s="1631" t="s">
        <v>1326</v>
      </c>
      <c r="E31" s="1631" t="s">
        <v>3323</v>
      </c>
      <c r="F31" s="1631" t="s">
        <v>3109</v>
      </c>
      <c r="G31" s="1631" t="s">
        <v>3324</v>
      </c>
      <c r="H31" s="1631" t="s">
        <v>3111</v>
      </c>
      <c r="I31" s="1631">
        <v>13669</v>
      </c>
      <c r="J31" s="1631">
        <v>19136.599999999999</v>
      </c>
      <c r="K31" s="1631" t="s">
        <v>3325</v>
      </c>
      <c r="L31" s="1631" t="s">
        <v>3326</v>
      </c>
      <c r="M31" s="1631" t="s">
        <v>3327</v>
      </c>
      <c r="N31" s="1631" t="s">
        <v>3328</v>
      </c>
      <c r="O31" s="1631">
        <v>1846</v>
      </c>
      <c r="P31" s="1631">
        <v>90.03</v>
      </c>
      <c r="Q31" s="1631">
        <v>964.63</v>
      </c>
      <c r="R31" s="1631">
        <v>0</v>
      </c>
      <c r="S31" s="1631" t="s">
        <v>3116</v>
      </c>
      <c r="T31" s="1631" t="s">
        <v>3192</v>
      </c>
    </row>
    <row r="32" spans="1:20" s="2953" customFormat="1">
      <c r="A32" s="2953" t="s">
        <v>3323</v>
      </c>
      <c r="B32" s="2953" t="s">
        <v>3107</v>
      </c>
      <c r="C32" s="2953" t="s">
        <v>3108</v>
      </c>
      <c r="D32" s="2953" t="s">
        <v>1326</v>
      </c>
      <c r="E32" s="2953" t="s">
        <v>3323</v>
      </c>
      <c r="F32" s="2953" t="s">
        <v>3109</v>
      </c>
      <c r="G32" s="2953" t="s">
        <v>3329</v>
      </c>
      <c r="H32" s="2953" t="s">
        <v>3111</v>
      </c>
      <c r="I32" s="2953">
        <v>14366</v>
      </c>
      <c r="J32" s="2953">
        <v>14366</v>
      </c>
      <c r="K32" s="2953" t="s">
        <v>3330</v>
      </c>
      <c r="L32" s="2953" t="s">
        <v>3326</v>
      </c>
      <c r="M32" s="2953" t="s">
        <v>3327</v>
      </c>
      <c r="N32" s="2953" t="s">
        <v>3328</v>
      </c>
      <c r="O32" s="2953">
        <v>1078</v>
      </c>
      <c r="P32" s="2953">
        <v>50.03</v>
      </c>
      <c r="Q32" s="2953">
        <v>750.37</v>
      </c>
      <c r="R32" s="2953">
        <v>0</v>
      </c>
      <c r="S32" s="2953" t="s">
        <v>3116</v>
      </c>
      <c r="T32" s="2953" t="s">
        <v>3192</v>
      </c>
    </row>
    <row r="33" spans="1:20" s="3011" customFormat="1">
      <c r="A33" s="3013" t="s">
        <v>3533</v>
      </c>
      <c r="B33" s="3011" t="s">
        <v>3107</v>
      </c>
      <c r="C33" s="3011" t="s">
        <v>3108</v>
      </c>
      <c r="D33" s="3011" t="s">
        <v>1326</v>
      </c>
      <c r="E33" s="3011" t="s">
        <v>3323</v>
      </c>
      <c r="F33" s="3011" t="s">
        <v>3109</v>
      </c>
      <c r="G33" s="3013" t="s">
        <v>3549</v>
      </c>
      <c r="H33" s="3011" t="s">
        <v>3111</v>
      </c>
      <c r="I33" s="3011">
        <v>28470</v>
      </c>
      <c r="J33" s="3011">
        <v>8541</v>
      </c>
      <c r="K33" s="3011" t="s">
        <v>3120</v>
      </c>
      <c r="L33" s="3011" t="s">
        <v>3326</v>
      </c>
      <c r="M33" s="3011" t="s">
        <v>3327</v>
      </c>
      <c r="N33" s="3011" t="s">
        <v>3328</v>
      </c>
      <c r="O33" s="3011">
        <v>2136</v>
      </c>
      <c r="P33" s="3011">
        <v>50.02</v>
      </c>
      <c r="Q33" s="3011">
        <v>2500.88</v>
      </c>
      <c r="R33" s="3011">
        <v>0</v>
      </c>
      <c r="S33" s="3011" t="s">
        <v>3116</v>
      </c>
      <c r="T33" s="3011" t="s">
        <v>3192</v>
      </c>
    </row>
    <row r="34" spans="1:20">
      <c r="A34" s="1631" t="s">
        <v>3323</v>
      </c>
      <c r="B34" s="1631" t="s">
        <v>3107</v>
      </c>
      <c r="C34" s="1631" t="s">
        <v>3108</v>
      </c>
      <c r="D34" s="1631" t="s">
        <v>1326</v>
      </c>
      <c r="E34" s="1631" t="s">
        <v>3323</v>
      </c>
      <c r="F34" s="1631" t="s">
        <v>3109</v>
      </c>
      <c r="G34" s="1631" t="s">
        <v>3331</v>
      </c>
      <c r="H34" s="1631" t="s">
        <v>3111</v>
      </c>
      <c r="I34" s="1631">
        <v>13887</v>
      </c>
      <c r="J34" s="1631">
        <v>19441.8</v>
      </c>
      <c r="K34" s="1631" t="s">
        <v>3325</v>
      </c>
      <c r="L34" s="1631" t="s">
        <v>3326</v>
      </c>
      <c r="M34" s="1631" t="s">
        <v>3327</v>
      </c>
      <c r="N34" s="1631" t="s">
        <v>3328</v>
      </c>
      <c r="O34" s="1631">
        <v>1875</v>
      </c>
      <c r="P34" s="1631">
        <v>90.01</v>
      </c>
      <c r="Q34" s="1631">
        <v>964.41</v>
      </c>
      <c r="R34" s="1631">
        <v>0</v>
      </c>
      <c r="S34" s="1631" t="s">
        <v>3116</v>
      </c>
      <c r="T34" s="1631" t="s">
        <v>3192</v>
      </c>
    </row>
    <row r="35" spans="1:20">
      <c r="A35" s="1631" t="s">
        <v>3332</v>
      </c>
      <c r="B35" s="1631" t="s">
        <v>3107</v>
      </c>
      <c r="C35" s="1631" t="s">
        <v>3108</v>
      </c>
      <c r="D35" s="1631" t="s">
        <v>1326</v>
      </c>
      <c r="E35" s="1631" t="s">
        <v>3332</v>
      </c>
      <c r="F35" s="1631" t="s">
        <v>3109</v>
      </c>
      <c r="G35" s="1631" t="s">
        <v>3333</v>
      </c>
      <c r="H35" s="1631" t="s">
        <v>3111</v>
      </c>
      <c r="I35" s="1631">
        <v>4129</v>
      </c>
      <c r="J35" s="1631">
        <v>1238.7</v>
      </c>
      <c r="K35" s="1631" t="s">
        <v>3120</v>
      </c>
      <c r="L35" s="1631" t="s">
        <v>3326</v>
      </c>
      <c r="M35" s="1631" t="s">
        <v>3327</v>
      </c>
      <c r="N35" s="1631" t="s">
        <v>3334</v>
      </c>
      <c r="O35" s="1631">
        <v>991</v>
      </c>
      <c r="P35" s="1631">
        <v>160.01</v>
      </c>
      <c r="Q35" s="1631">
        <v>8000.31</v>
      </c>
      <c r="R35" s="1631">
        <v>0</v>
      </c>
      <c r="S35" s="1631" t="s">
        <v>3116</v>
      </c>
      <c r="T35" s="1631" t="s">
        <v>3137</v>
      </c>
    </row>
    <row r="36" spans="1:20" s="2953" customFormat="1">
      <c r="A36" s="2953" t="s">
        <v>3160</v>
      </c>
      <c r="B36" s="2953" t="s">
        <v>3107</v>
      </c>
      <c r="C36" s="2953" t="s">
        <v>3108</v>
      </c>
      <c r="D36" s="2953" t="s">
        <v>1326</v>
      </c>
      <c r="E36" s="2953" t="s">
        <v>3160</v>
      </c>
      <c r="F36" s="2953" t="s">
        <v>3109</v>
      </c>
      <c r="G36" s="2953" t="s">
        <v>3161</v>
      </c>
      <c r="H36" s="2953" t="s">
        <v>3162</v>
      </c>
      <c r="I36" s="2953">
        <v>18287</v>
      </c>
      <c r="J36" s="2953">
        <v>14629.6</v>
      </c>
      <c r="K36" s="2953" t="s">
        <v>3154</v>
      </c>
      <c r="L36" s="2953" t="s">
        <v>3163</v>
      </c>
      <c r="M36" s="2953" t="s">
        <v>3164</v>
      </c>
      <c r="N36" s="2953" t="s">
        <v>3165</v>
      </c>
      <c r="O36" s="2953">
        <v>2222</v>
      </c>
      <c r="P36" s="2953">
        <v>81</v>
      </c>
      <c r="Q36" s="2953">
        <v>1518.83</v>
      </c>
      <c r="R36" s="2953">
        <v>0</v>
      </c>
      <c r="S36" s="2953" t="s">
        <v>3116</v>
      </c>
      <c r="T36" s="2953" t="s">
        <v>3130</v>
      </c>
    </row>
    <row r="37" spans="1:20">
      <c r="A37" s="1631" t="s">
        <v>3335</v>
      </c>
      <c r="B37" s="1631" t="s">
        <v>3107</v>
      </c>
      <c r="C37" s="1631" t="s">
        <v>3108</v>
      </c>
      <c r="D37" s="1631" t="s">
        <v>1326</v>
      </c>
      <c r="E37" s="1631" t="s">
        <v>3335</v>
      </c>
      <c r="F37" s="1631" t="s">
        <v>3109</v>
      </c>
      <c r="G37" s="1631" t="s">
        <v>3336</v>
      </c>
      <c r="H37" s="1631" t="s">
        <v>3111</v>
      </c>
      <c r="I37" s="1631">
        <v>9805</v>
      </c>
      <c r="J37" s="1631">
        <v>2451.25</v>
      </c>
      <c r="K37" s="1631" t="s">
        <v>3337</v>
      </c>
      <c r="L37" s="1631" t="s">
        <v>3163</v>
      </c>
      <c r="M37" s="1631" t="s">
        <v>3338</v>
      </c>
      <c r="N37" s="1631" t="s">
        <v>3339</v>
      </c>
      <c r="O37" s="1631">
        <v>898</v>
      </c>
      <c r="P37" s="1631">
        <v>61.06</v>
      </c>
      <c r="Q37" s="1631">
        <v>3663.44</v>
      </c>
      <c r="R37" s="1631">
        <v>0</v>
      </c>
      <c r="S37" s="1631" t="s">
        <v>3116</v>
      </c>
      <c r="T37" s="1631" t="s">
        <v>3130</v>
      </c>
    </row>
    <row r="38" spans="1:20">
      <c r="A38" s="1631" t="s">
        <v>3340</v>
      </c>
      <c r="B38" s="1631" t="s">
        <v>3107</v>
      </c>
      <c r="C38" s="1631" t="s">
        <v>3108</v>
      </c>
      <c r="D38" s="1631" t="s">
        <v>1326</v>
      </c>
      <c r="E38" s="1631" t="s">
        <v>3340</v>
      </c>
      <c r="F38" s="1631" t="s">
        <v>3109</v>
      </c>
      <c r="G38" s="1631" t="s">
        <v>3341</v>
      </c>
      <c r="H38" s="1631" t="s">
        <v>3111</v>
      </c>
      <c r="I38" s="1631">
        <v>38292.49</v>
      </c>
      <c r="J38" s="1631">
        <v>68926.48</v>
      </c>
      <c r="K38" s="1631" t="s">
        <v>3342</v>
      </c>
      <c r="L38" s="1631" t="s">
        <v>3163</v>
      </c>
      <c r="M38" s="1631" t="s">
        <v>3338</v>
      </c>
      <c r="N38" s="1631" t="s">
        <v>3343</v>
      </c>
      <c r="O38" s="1631">
        <v>8731</v>
      </c>
      <c r="P38" s="1631">
        <v>152.01</v>
      </c>
      <c r="Q38" s="1631">
        <v>1266.71</v>
      </c>
      <c r="R38" s="1631">
        <v>0</v>
      </c>
      <c r="S38" s="1631" t="s">
        <v>3116</v>
      </c>
      <c r="T38" s="1631" t="s">
        <v>3122</v>
      </c>
    </row>
    <row r="39" spans="1:20" s="2953" customFormat="1">
      <c r="A39" s="2953" t="s">
        <v>3160</v>
      </c>
      <c r="B39" s="2953" t="s">
        <v>3107</v>
      </c>
      <c r="C39" s="2953" t="s">
        <v>3108</v>
      </c>
      <c r="D39" s="2953" t="s">
        <v>1326</v>
      </c>
      <c r="E39" s="2953" t="s">
        <v>3160</v>
      </c>
      <c r="F39" s="2953" t="s">
        <v>3109</v>
      </c>
      <c r="G39" s="2953" t="s">
        <v>3166</v>
      </c>
      <c r="H39" s="2953" t="s">
        <v>3162</v>
      </c>
      <c r="I39" s="2953">
        <v>12423</v>
      </c>
      <c r="J39" s="2953">
        <v>9938.4</v>
      </c>
      <c r="K39" s="2953" t="s">
        <v>3154</v>
      </c>
      <c r="L39" s="2953" t="s">
        <v>3163</v>
      </c>
      <c r="M39" s="2953" t="s">
        <v>3167</v>
      </c>
      <c r="N39" s="2953" t="s">
        <v>3165</v>
      </c>
      <c r="O39" s="2953">
        <v>1510</v>
      </c>
      <c r="P39" s="2953">
        <v>81.03</v>
      </c>
      <c r="Q39" s="2953">
        <v>1519.35</v>
      </c>
      <c r="R39" s="2953">
        <v>0</v>
      </c>
      <c r="S39" s="2953" t="s">
        <v>3116</v>
      </c>
      <c r="T39" s="2953" t="s">
        <v>3130</v>
      </c>
    </row>
    <row r="40" spans="1:20" s="2953" customFormat="1">
      <c r="A40" s="2953" t="s">
        <v>3160</v>
      </c>
      <c r="B40" s="2953" t="s">
        <v>3107</v>
      </c>
      <c r="C40" s="2953" t="s">
        <v>3108</v>
      </c>
      <c r="D40" s="2953" t="s">
        <v>1326</v>
      </c>
      <c r="E40" s="2953" t="s">
        <v>3160</v>
      </c>
      <c r="F40" s="2953" t="s">
        <v>3109</v>
      </c>
      <c r="G40" s="2953" t="s">
        <v>3168</v>
      </c>
      <c r="H40" s="2953" t="s">
        <v>3162</v>
      </c>
      <c r="I40" s="2953">
        <v>10458</v>
      </c>
      <c r="J40" s="2953">
        <v>8366.4</v>
      </c>
      <c r="K40" s="2953" t="s">
        <v>3154</v>
      </c>
      <c r="L40" s="2953" t="s">
        <v>3163</v>
      </c>
      <c r="M40" s="2953" t="s">
        <v>3169</v>
      </c>
      <c r="N40" s="2953" t="s">
        <v>3165</v>
      </c>
      <c r="O40" s="2953">
        <v>1271</v>
      </c>
      <c r="P40" s="2953">
        <v>81.02</v>
      </c>
      <c r="Q40" s="2953">
        <v>1519.17</v>
      </c>
      <c r="R40" s="2953">
        <v>0</v>
      </c>
      <c r="S40" s="2953" t="s">
        <v>3116</v>
      </c>
      <c r="T40" s="2953" t="s">
        <v>3130</v>
      </c>
    </row>
    <row r="41" spans="1:20" s="2953" customFormat="1">
      <c r="A41" s="2953" t="s">
        <v>3344</v>
      </c>
      <c r="B41" s="2953" t="s">
        <v>3107</v>
      </c>
      <c r="C41" s="2953" t="s">
        <v>3108</v>
      </c>
      <c r="D41" s="2953" t="s">
        <v>1326</v>
      </c>
      <c r="E41" s="2953" t="s">
        <v>3344</v>
      </c>
      <c r="F41" s="2953" t="s">
        <v>3109</v>
      </c>
      <c r="G41" s="2953" t="s">
        <v>3345</v>
      </c>
      <c r="H41" s="2953" t="s">
        <v>3111</v>
      </c>
      <c r="I41" s="2953">
        <v>1094</v>
      </c>
      <c r="J41" s="2953">
        <v>908.02</v>
      </c>
      <c r="K41" s="2953" t="s">
        <v>3346</v>
      </c>
      <c r="L41" s="2953" t="s">
        <v>3163</v>
      </c>
      <c r="M41" s="2953" t="s">
        <v>3338</v>
      </c>
      <c r="N41" s="2953" t="s">
        <v>3347</v>
      </c>
      <c r="O41" s="2953">
        <v>50</v>
      </c>
      <c r="P41" s="2953">
        <v>30.47</v>
      </c>
      <c r="Q41" s="2953">
        <v>550.64</v>
      </c>
      <c r="R41" s="2953">
        <v>0</v>
      </c>
      <c r="S41" s="2953" t="s">
        <v>3348</v>
      </c>
      <c r="T41" s="2953" t="s">
        <v>3117</v>
      </c>
    </row>
    <row r="42" spans="1:20" s="2953" customFormat="1">
      <c r="A42" s="2953" t="s">
        <v>3160</v>
      </c>
      <c r="B42" s="2953" t="s">
        <v>3107</v>
      </c>
      <c r="C42" s="2953" t="s">
        <v>3108</v>
      </c>
      <c r="D42" s="2953" t="s">
        <v>1326</v>
      </c>
      <c r="E42" s="2953" t="s">
        <v>3160</v>
      </c>
      <c r="F42" s="2953" t="s">
        <v>3109</v>
      </c>
      <c r="G42" s="2953" t="s">
        <v>3170</v>
      </c>
      <c r="H42" s="2953" t="s">
        <v>3162</v>
      </c>
      <c r="I42" s="2953">
        <v>16928</v>
      </c>
      <c r="J42" s="2953">
        <v>13542.4</v>
      </c>
      <c r="K42" s="2953" t="s">
        <v>3154</v>
      </c>
      <c r="L42" s="2953" t="s">
        <v>3163</v>
      </c>
      <c r="M42" s="2953" t="s">
        <v>3171</v>
      </c>
      <c r="N42" s="2953" t="s">
        <v>3165</v>
      </c>
      <c r="O42" s="2953">
        <v>2057</v>
      </c>
      <c r="P42" s="2953">
        <v>81.010000000000005</v>
      </c>
      <c r="Q42" s="2953">
        <v>1518.93</v>
      </c>
      <c r="R42" s="2953">
        <v>0</v>
      </c>
      <c r="S42" s="2953" t="s">
        <v>3116</v>
      </c>
      <c r="T42" s="2953" t="s">
        <v>3130</v>
      </c>
    </row>
    <row r="43" spans="1:20">
      <c r="A43" s="1631" t="s">
        <v>3172</v>
      </c>
      <c r="B43" s="1631" t="s">
        <v>3107</v>
      </c>
      <c r="C43" s="1631" t="s">
        <v>3108</v>
      </c>
      <c r="D43" s="1631" t="s">
        <v>1326</v>
      </c>
      <c r="E43" s="1631" t="s">
        <v>3172</v>
      </c>
      <c r="F43" s="1631" t="s">
        <v>3109</v>
      </c>
      <c r="G43" s="1631" t="s">
        <v>3173</v>
      </c>
      <c r="H43" s="1631" t="s">
        <v>3174</v>
      </c>
      <c r="I43" s="1631">
        <v>19029</v>
      </c>
      <c r="J43" s="1631">
        <v>38058</v>
      </c>
      <c r="K43" s="1631" t="s">
        <v>3158</v>
      </c>
      <c r="L43" s="1631" t="s">
        <v>3163</v>
      </c>
      <c r="M43" s="1631" t="s">
        <v>3175</v>
      </c>
      <c r="N43" s="1631" t="s">
        <v>3136</v>
      </c>
      <c r="O43" s="1631">
        <v>6908</v>
      </c>
      <c r="P43" s="1631">
        <v>242.02</v>
      </c>
      <c r="Q43" s="1631">
        <v>1815.11</v>
      </c>
      <c r="R43" s="1631">
        <v>0</v>
      </c>
      <c r="S43" s="1631" t="s">
        <v>3116</v>
      </c>
      <c r="T43" s="1631" t="s">
        <v>3130</v>
      </c>
    </row>
    <row r="44" spans="1:20" s="2953" customFormat="1">
      <c r="A44" s="2953" t="s">
        <v>3160</v>
      </c>
      <c r="B44" s="2953" t="s">
        <v>3107</v>
      </c>
      <c r="C44" s="2953" t="s">
        <v>3108</v>
      </c>
      <c r="D44" s="2953" t="s">
        <v>1326</v>
      </c>
      <c r="E44" s="2953" t="s">
        <v>3160</v>
      </c>
      <c r="F44" s="2953" t="s">
        <v>3109</v>
      </c>
      <c r="G44" s="2953" t="s">
        <v>3176</v>
      </c>
      <c r="H44" s="2953" t="s">
        <v>3162</v>
      </c>
      <c r="I44" s="2953">
        <v>14604</v>
      </c>
      <c r="J44" s="2953">
        <v>11683.2</v>
      </c>
      <c r="K44" s="2953" t="s">
        <v>3154</v>
      </c>
      <c r="L44" s="2953" t="s">
        <v>3163</v>
      </c>
      <c r="M44" s="2953" t="s">
        <v>3177</v>
      </c>
      <c r="N44" s="2953" t="s">
        <v>3165</v>
      </c>
      <c r="O44" s="2953">
        <v>1775</v>
      </c>
      <c r="P44" s="2953">
        <v>81.03</v>
      </c>
      <c r="Q44" s="2953">
        <v>1519.27</v>
      </c>
      <c r="R44" s="2953">
        <v>0</v>
      </c>
      <c r="S44" s="2953" t="s">
        <v>3116</v>
      </c>
      <c r="T44" s="2953" t="s">
        <v>3130</v>
      </c>
    </row>
    <row r="45" spans="1:20">
      <c r="A45" s="1631" t="s">
        <v>3340</v>
      </c>
      <c r="B45" s="1631" t="s">
        <v>3107</v>
      </c>
      <c r="C45" s="1631" t="s">
        <v>3108</v>
      </c>
      <c r="D45" s="1631" t="s">
        <v>1326</v>
      </c>
      <c r="E45" s="1631" t="s">
        <v>3340</v>
      </c>
      <c r="F45" s="1631" t="s">
        <v>3109</v>
      </c>
      <c r="G45" s="1631" t="s">
        <v>3341</v>
      </c>
      <c r="H45" s="1631" t="s">
        <v>1372</v>
      </c>
      <c r="I45" s="1631">
        <v>38292.49</v>
      </c>
      <c r="J45" s="1631">
        <v>68926.48</v>
      </c>
      <c r="K45" s="1631" t="s">
        <v>3349</v>
      </c>
      <c r="L45" s="1631" t="s">
        <v>3350</v>
      </c>
      <c r="M45" s="1631" t="s">
        <v>3351</v>
      </c>
      <c r="N45" s="1631" t="s">
        <v>3343</v>
      </c>
      <c r="O45" s="1631">
        <v>8731</v>
      </c>
      <c r="P45" s="1631">
        <v>152.01</v>
      </c>
      <c r="Q45" s="1631">
        <v>1266.71</v>
      </c>
      <c r="R45" s="1631">
        <v>0</v>
      </c>
      <c r="S45" s="1631">
        <v>40</v>
      </c>
      <c r="T45" s="1631" t="s">
        <v>3122</v>
      </c>
    </row>
    <row r="46" spans="1:20">
      <c r="A46" s="1631" t="s">
        <v>3335</v>
      </c>
      <c r="B46" s="1631" t="s">
        <v>3107</v>
      </c>
      <c r="C46" s="1631" t="s">
        <v>3108</v>
      </c>
      <c r="D46" s="1631" t="s">
        <v>1326</v>
      </c>
      <c r="E46" s="1631" t="s">
        <v>3335</v>
      </c>
      <c r="F46" s="1631" t="s">
        <v>3109</v>
      </c>
      <c r="G46" s="1631" t="s">
        <v>3336</v>
      </c>
      <c r="H46" s="1631" t="s">
        <v>3352</v>
      </c>
      <c r="I46" s="1631">
        <v>9805</v>
      </c>
      <c r="J46" s="1631">
        <v>2451.25</v>
      </c>
      <c r="K46" s="1631" t="s">
        <v>3353</v>
      </c>
      <c r="L46" s="1631" t="s">
        <v>3350</v>
      </c>
      <c r="M46" s="1631" t="s">
        <v>3351</v>
      </c>
      <c r="N46" s="1631" t="s">
        <v>3339</v>
      </c>
      <c r="O46" s="1631">
        <v>898</v>
      </c>
      <c r="P46" s="1631">
        <v>61.06</v>
      </c>
      <c r="Q46" s="1631">
        <v>3663.44</v>
      </c>
      <c r="R46" s="1631">
        <v>0</v>
      </c>
      <c r="S46" s="1631">
        <v>40</v>
      </c>
      <c r="T46" s="1631" t="s">
        <v>3130</v>
      </c>
    </row>
    <row r="47" spans="1:20">
      <c r="A47" s="1631" t="s">
        <v>3178</v>
      </c>
      <c r="B47" s="1631" t="s">
        <v>3107</v>
      </c>
      <c r="C47" s="1631" t="s">
        <v>3108</v>
      </c>
      <c r="D47" s="1631" t="s">
        <v>1326</v>
      </c>
      <c r="E47" s="1631" t="s">
        <v>3178</v>
      </c>
      <c r="F47" s="1631" t="s">
        <v>3109</v>
      </c>
      <c r="G47" s="1631" t="s">
        <v>3179</v>
      </c>
      <c r="H47" s="1631" t="s">
        <v>3111</v>
      </c>
      <c r="I47" s="1631">
        <v>18264</v>
      </c>
      <c r="J47" s="1631">
        <v>36528</v>
      </c>
      <c r="K47" s="1631" t="s">
        <v>3158</v>
      </c>
      <c r="L47" s="1631" t="s">
        <v>3180</v>
      </c>
      <c r="M47" s="1631" t="s">
        <v>3181</v>
      </c>
      <c r="N47" s="1631" t="s">
        <v>3156</v>
      </c>
      <c r="O47" s="1631">
        <v>5891</v>
      </c>
      <c r="P47" s="1631">
        <v>215.03</v>
      </c>
      <c r="Q47" s="1631">
        <v>1612.74</v>
      </c>
      <c r="R47" s="1631">
        <v>0</v>
      </c>
      <c r="S47" s="1631" t="s">
        <v>3116</v>
      </c>
      <c r="T47" s="1631" t="s">
        <v>3122</v>
      </c>
    </row>
    <row r="48" spans="1:20">
      <c r="A48" s="1631" t="s">
        <v>3354</v>
      </c>
      <c r="B48" s="1631" t="s">
        <v>3107</v>
      </c>
      <c r="C48" s="1631" t="s">
        <v>3108</v>
      </c>
      <c r="D48" s="1631" t="s">
        <v>1326</v>
      </c>
      <c r="E48" s="1631" t="s">
        <v>3354</v>
      </c>
      <c r="F48" s="1631" t="s">
        <v>3109</v>
      </c>
      <c r="G48" s="1631" t="s">
        <v>3355</v>
      </c>
      <c r="H48" s="1631" t="s">
        <v>3111</v>
      </c>
      <c r="I48" s="1631">
        <v>5020</v>
      </c>
      <c r="J48" s="1631">
        <v>1506</v>
      </c>
      <c r="K48" s="1631" t="s">
        <v>3279</v>
      </c>
      <c r="L48" s="1631" t="s">
        <v>3356</v>
      </c>
      <c r="M48" s="1631" t="s">
        <v>3357</v>
      </c>
      <c r="N48" s="1631" t="s">
        <v>3358</v>
      </c>
      <c r="O48" s="1631">
        <v>1138</v>
      </c>
      <c r="P48" s="1631">
        <v>151.13</v>
      </c>
      <c r="Q48" s="1631">
        <v>7556.43</v>
      </c>
      <c r="R48" s="1631">
        <v>0</v>
      </c>
      <c r="S48" s="1631" t="s">
        <v>3116</v>
      </c>
      <c r="T48" s="1631" t="s">
        <v>3122</v>
      </c>
    </row>
    <row r="49" spans="1:20">
      <c r="A49" s="1631" t="s">
        <v>3359</v>
      </c>
      <c r="B49" s="1631" t="s">
        <v>3107</v>
      </c>
      <c r="C49" s="1631" t="s">
        <v>3108</v>
      </c>
      <c r="D49" s="1631" t="s">
        <v>1326</v>
      </c>
      <c r="E49" s="1631" t="s">
        <v>3359</v>
      </c>
      <c r="F49" s="1631" t="s">
        <v>3109</v>
      </c>
      <c r="G49" s="1631" t="s">
        <v>3360</v>
      </c>
      <c r="H49" s="1631" t="s">
        <v>3111</v>
      </c>
      <c r="I49" s="1631">
        <v>5291</v>
      </c>
      <c r="J49" s="1631">
        <v>1587.3</v>
      </c>
      <c r="K49" s="1631" t="s">
        <v>3279</v>
      </c>
      <c r="L49" s="1631" t="s">
        <v>3361</v>
      </c>
      <c r="M49" s="1631" t="s">
        <v>3362</v>
      </c>
      <c r="N49" s="1631" t="s">
        <v>3363</v>
      </c>
      <c r="O49" s="1631">
        <v>1191</v>
      </c>
      <c r="P49" s="1631">
        <v>150.07</v>
      </c>
      <c r="Q49" s="1631">
        <v>7503.31</v>
      </c>
      <c r="R49" s="1631">
        <v>0</v>
      </c>
      <c r="S49" s="1631" t="s">
        <v>3116</v>
      </c>
      <c r="T49" s="1631" t="s">
        <v>3192</v>
      </c>
    </row>
    <row r="50" spans="1:20">
      <c r="A50" s="1631" t="s">
        <v>3182</v>
      </c>
      <c r="B50" s="1631" t="s">
        <v>3107</v>
      </c>
      <c r="C50" s="1631" t="s">
        <v>3108</v>
      </c>
      <c r="D50" s="1631" t="s">
        <v>1326</v>
      </c>
      <c r="E50" s="1631" t="s">
        <v>3182</v>
      </c>
      <c r="F50" s="1631" t="s">
        <v>3109</v>
      </c>
      <c r="G50" s="1631" t="s">
        <v>3183</v>
      </c>
      <c r="H50" s="1631" t="s">
        <v>3111</v>
      </c>
      <c r="I50" s="1631">
        <v>10716</v>
      </c>
      <c r="J50" s="1631">
        <v>23575.200000000001</v>
      </c>
      <c r="K50" s="1631" t="s">
        <v>3184</v>
      </c>
      <c r="L50" s="1631" t="s">
        <v>3185</v>
      </c>
      <c r="M50" s="1631" t="s">
        <v>3186</v>
      </c>
      <c r="N50" s="1631" t="s">
        <v>3187</v>
      </c>
      <c r="O50" s="1631">
        <v>2203</v>
      </c>
      <c r="P50" s="1631">
        <v>137.05000000000001</v>
      </c>
      <c r="Q50" s="1631">
        <v>934.46</v>
      </c>
      <c r="R50" s="1631">
        <v>0</v>
      </c>
      <c r="S50" s="1631" t="s">
        <v>3116</v>
      </c>
      <c r="T50" s="1631" t="s">
        <v>3130</v>
      </c>
    </row>
    <row r="51" spans="1:20">
      <c r="A51" s="1631" t="s">
        <v>3188</v>
      </c>
      <c r="B51" s="1631" t="s">
        <v>3107</v>
      </c>
      <c r="C51" s="1631" t="s">
        <v>3108</v>
      </c>
      <c r="D51" s="1631" t="s">
        <v>1326</v>
      </c>
      <c r="E51" s="1631" t="s">
        <v>3188</v>
      </c>
      <c r="F51" s="1631" t="s">
        <v>3109</v>
      </c>
      <c r="G51" s="1631" t="s">
        <v>3189</v>
      </c>
      <c r="H51" s="1631" t="s">
        <v>3111</v>
      </c>
      <c r="I51" s="1631">
        <v>22829</v>
      </c>
      <c r="J51" s="1631">
        <v>45658</v>
      </c>
      <c r="K51" s="1631" t="s">
        <v>3158</v>
      </c>
      <c r="L51" s="1631" t="s">
        <v>3190</v>
      </c>
      <c r="M51" s="1631" t="s">
        <v>3191</v>
      </c>
      <c r="N51" s="1631" t="s">
        <v>3115</v>
      </c>
      <c r="O51" s="1631">
        <v>4829</v>
      </c>
      <c r="P51" s="1631">
        <v>141.02000000000001</v>
      </c>
      <c r="Q51" s="1631">
        <v>1057.6500000000001</v>
      </c>
      <c r="R51" s="1631">
        <v>0</v>
      </c>
      <c r="S51" s="1631" t="s">
        <v>3116</v>
      </c>
      <c r="T51" s="1631" t="s">
        <v>3192</v>
      </c>
    </row>
    <row r="52" spans="1:20">
      <c r="A52" s="1631" t="s">
        <v>3193</v>
      </c>
      <c r="B52" s="1631" t="s">
        <v>3107</v>
      </c>
      <c r="C52" s="1631" t="s">
        <v>3108</v>
      </c>
      <c r="D52" s="1631" t="s">
        <v>1326</v>
      </c>
      <c r="E52" s="1631" t="s">
        <v>3193</v>
      </c>
      <c r="F52" s="1631" t="s">
        <v>3109</v>
      </c>
      <c r="G52" s="1631" t="s">
        <v>3194</v>
      </c>
      <c r="H52" s="1631" t="s">
        <v>3111</v>
      </c>
      <c r="I52" s="1631">
        <v>2625</v>
      </c>
      <c r="J52" s="1631">
        <v>4462.5</v>
      </c>
      <c r="K52" s="1631" t="s">
        <v>3195</v>
      </c>
      <c r="L52" s="1631" t="s">
        <v>3190</v>
      </c>
      <c r="M52" s="1631" t="s">
        <v>3196</v>
      </c>
      <c r="N52" s="1631" t="s">
        <v>3197</v>
      </c>
      <c r="O52" s="1631">
        <v>540</v>
      </c>
      <c r="P52" s="1631">
        <v>137.13999999999999</v>
      </c>
      <c r="Q52" s="1631">
        <v>1210.07</v>
      </c>
      <c r="R52" s="1631">
        <v>0</v>
      </c>
      <c r="S52" s="1631" t="s">
        <v>3116</v>
      </c>
      <c r="T52" s="1631" t="s">
        <v>3130</v>
      </c>
    </row>
    <row r="53" spans="1:20">
      <c r="A53" s="1631" t="s">
        <v>3198</v>
      </c>
      <c r="B53" s="1631" t="s">
        <v>3107</v>
      </c>
      <c r="C53" s="1631" t="s">
        <v>3108</v>
      </c>
      <c r="D53" s="1631" t="s">
        <v>1326</v>
      </c>
      <c r="E53" s="1631" t="s">
        <v>3198</v>
      </c>
      <c r="F53" s="1631" t="s">
        <v>3109</v>
      </c>
      <c r="G53" s="1631" t="s">
        <v>3199</v>
      </c>
      <c r="H53" s="1631" t="s">
        <v>3111</v>
      </c>
      <c r="I53" s="1631">
        <v>24413</v>
      </c>
      <c r="J53" s="1631">
        <v>48826</v>
      </c>
      <c r="K53" s="1631" t="s">
        <v>3158</v>
      </c>
      <c r="L53" s="1631" t="s">
        <v>3190</v>
      </c>
      <c r="M53" s="1631" t="s">
        <v>3200</v>
      </c>
      <c r="N53" s="1631" t="s">
        <v>3115</v>
      </c>
      <c r="O53" s="1631">
        <v>4724</v>
      </c>
      <c r="P53" s="1631">
        <v>129</v>
      </c>
      <c r="Q53" s="1631">
        <v>967.51</v>
      </c>
      <c r="R53" s="1631">
        <v>0</v>
      </c>
      <c r="S53" s="1631" t="s">
        <v>3116</v>
      </c>
      <c r="T53" s="1631" t="s">
        <v>3192</v>
      </c>
    </row>
    <row r="54" spans="1:20">
      <c r="A54" s="1631" t="s">
        <v>3201</v>
      </c>
      <c r="B54" s="1631" t="s">
        <v>3107</v>
      </c>
      <c r="C54" s="1631" t="s">
        <v>3108</v>
      </c>
      <c r="D54" s="1631" t="s">
        <v>1326</v>
      </c>
      <c r="E54" s="1631" t="s">
        <v>3201</v>
      </c>
      <c r="F54" s="1631" t="s">
        <v>3109</v>
      </c>
      <c r="G54" s="1631" t="s">
        <v>3202</v>
      </c>
      <c r="H54" s="1631" t="s">
        <v>3111</v>
      </c>
      <c r="I54" s="1631">
        <v>45152</v>
      </c>
      <c r="J54" s="1631">
        <v>135456</v>
      </c>
      <c r="K54" s="1631" t="s">
        <v>3140</v>
      </c>
      <c r="L54" s="1631" t="s">
        <v>3190</v>
      </c>
      <c r="M54" s="1631" t="s">
        <v>3203</v>
      </c>
      <c r="N54" s="1631" t="s">
        <v>3115</v>
      </c>
      <c r="O54" s="1631">
        <v>15104</v>
      </c>
      <c r="P54" s="1631">
        <v>223.01</v>
      </c>
      <c r="Q54" s="1631">
        <v>1115.04</v>
      </c>
      <c r="R54" s="1631">
        <v>0</v>
      </c>
      <c r="S54" s="1631" t="s">
        <v>3116</v>
      </c>
      <c r="T54" s="1631" t="s">
        <v>3192</v>
      </c>
    </row>
    <row r="55" spans="1:20" s="2953" customFormat="1">
      <c r="A55" s="2953" t="s">
        <v>3359</v>
      </c>
      <c r="B55" s="2953" t="s">
        <v>3107</v>
      </c>
      <c r="C55" s="2953" t="s">
        <v>3108</v>
      </c>
      <c r="D55" s="2953" t="s">
        <v>1326</v>
      </c>
      <c r="E55" s="2953" t="s">
        <v>3359</v>
      </c>
      <c r="F55" s="2953" t="s">
        <v>3109</v>
      </c>
      <c r="G55" s="2953" t="s">
        <v>3364</v>
      </c>
      <c r="H55" s="2953" t="s">
        <v>3162</v>
      </c>
      <c r="I55" s="2953">
        <v>13047</v>
      </c>
      <c r="J55" s="2953">
        <v>13047</v>
      </c>
      <c r="K55" s="2953" t="s">
        <v>3133</v>
      </c>
      <c r="L55" s="2953" t="s">
        <v>3365</v>
      </c>
      <c r="M55" s="2953" t="s">
        <v>3366</v>
      </c>
      <c r="N55" s="2953" t="s">
        <v>3367</v>
      </c>
      <c r="O55" s="2953">
        <v>1268</v>
      </c>
      <c r="P55" s="2953">
        <v>64.790000000000006</v>
      </c>
      <c r="Q55" s="2953">
        <v>971.87</v>
      </c>
      <c r="R55" s="2953">
        <v>0</v>
      </c>
      <c r="S55" s="2953" t="s">
        <v>3116</v>
      </c>
      <c r="T55" s="2953" t="s">
        <v>3192</v>
      </c>
    </row>
    <row r="56" spans="1:20">
      <c r="A56" s="1631" t="s">
        <v>3368</v>
      </c>
      <c r="B56" s="1631" t="s">
        <v>3107</v>
      </c>
      <c r="C56" s="1631" t="s">
        <v>3108</v>
      </c>
      <c r="D56" s="1631" t="s">
        <v>1326</v>
      </c>
      <c r="E56" s="1631" t="s">
        <v>3368</v>
      </c>
      <c r="F56" s="1631" t="s">
        <v>3109</v>
      </c>
      <c r="G56" s="1631" t="s">
        <v>3369</v>
      </c>
      <c r="H56" s="1631" t="s">
        <v>3111</v>
      </c>
      <c r="I56" s="1631">
        <v>7862</v>
      </c>
      <c r="J56" s="1631">
        <v>2358.6</v>
      </c>
      <c r="K56" s="1631" t="s">
        <v>3279</v>
      </c>
      <c r="L56" s="1631" t="s">
        <v>3370</v>
      </c>
      <c r="M56" s="1631" t="s">
        <v>3371</v>
      </c>
      <c r="N56" s="1631" t="s">
        <v>3372</v>
      </c>
      <c r="O56" s="1631">
        <v>2548</v>
      </c>
      <c r="P56" s="1631">
        <v>216.06</v>
      </c>
      <c r="Q56" s="1631">
        <v>10803.02</v>
      </c>
      <c r="R56" s="1631">
        <v>0</v>
      </c>
      <c r="S56" s="1631" t="s">
        <v>3116</v>
      </c>
      <c r="T56" s="1631" t="s">
        <v>3117</v>
      </c>
    </row>
    <row r="57" spans="1:20">
      <c r="A57" s="1631" t="s">
        <v>3373</v>
      </c>
      <c r="B57" s="1631" t="s">
        <v>3107</v>
      </c>
      <c r="C57" s="1631" t="s">
        <v>3108</v>
      </c>
      <c r="D57" s="1631" t="s">
        <v>1326</v>
      </c>
      <c r="E57" s="1631" t="s">
        <v>3373</v>
      </c>
      <c r="F57" s="1631" t="s">
        <v>3109</v>
      </c>
      <c r="G57" s="1631" t="s">
        <v>3374</v>
      </c>
      <c r="H57" s="1631" t="s">
        <v>3111</v>
      </c>
      <c r="I57" s="1631">
        <v>33336</v>
      </c>
      <c r="J57" s="1631">
        <v>23335.200000000001</v>
      </c>
      <c r="K57" s="1631" t="s">
        <v>3375</v>
      </c>
      <c r="L57" s="1631" t="s">
        <v>3370</v>
      </c>
      <c r="M57" s="1631" t="s">
        <v>3376</v>
      </c>
      <c r="N57" s="1631" t="s">
        <v>3377</v>
      </c>
      <c r="O57" s="1631">
        <v>2001</v>
      </c>
      <c r="P57" s="1631">
        <v>40.020000000000003</v>
      </c>
      <c r="Q57" s="1631">
        <v>857.5</v>
      </c>
      <c r="R57" s="1631">
        <v>0</v>
      </c>
      <c r="S57" s="1631" t="s">
        <v>3116</v>
      </c>
      <c r="T57" s="1631" t="s">
        <v>3192</v>
      </c>
    </row>
    <row r="58" spans="1:20">
      <c r="A58" s="1631" t="s">
        <v>3378</v>
      </c>
      <c r="B58" s="1631" t="s">
        <v>3107</v>
      </c>
      <c r="C58" s="1631" t="s">
        <v>3108</v>
      </c>
      <c r="D58" s="1631" t="s">
        <v>1326</v>
      </c>
      <c r="E58" s="1631" t="s">
        <v>3378</v>
      </c>
      <c r="F58" s="1631" t="s">
        <v>3109</v>
      </c>
      <c r="G58" s="1631" t="s">
        <v>3379</v>
      </c>
      <c r="H58" s="1631" t="s">
        <v>3111</v>
      </c>
      <c r="I58" s="1631">
        <v>16971</v>
      </c>
      <c r="J58" s="1631">
        <v>5091.3</v>
      </c>
      <c r="K58" s="1631" t="s">
        <v>3279</v>
      </c>
      <c r="L58" s="1631" t="s">
        <v>3370</v>
      </c>
      <c r="M58" s="1631" t="s">
        <v>3380</v>
      </c>
      <c r="N58" s="1631" t="s">
        <v>3372</v>
      </c>
      <c r="O58" s="1631">
        <v>2241</v>
      </c>
      <c r="P58" s="1631">
        <v>88.03</v>
      </c>
      <c r="Q58" s="1631">
        <v>4401.63</v>
      </c>
      <c r="R58" s="1631">
        <v>0</v>
      </c>
      <c r="S58" s="1631" t="s">
        <v>3116</v>
      </c>
      <c r="T58" s="1631" t="s">
        <v>3117</v>
      </c>
    </row>
    <row r="59" spans="1:20">
      <c r="A59" s="1631" t="s">
        <v>3204</v>
      </c>
      <c r="B59" s="1631" t="s">
        <v>3107</v>
      </c>
      <c r="C59" s="1631" t="s">
        <v>3108</v>
      </c>
      <c r="D59" s="1631" t="s">
        <v>1326</v>
      </c>
      <c r="E59" s="1631" t="s">
        <v>3204</v>
      </c>
      <c r="F59" s="1631" t="s">
        <v>3109</v>
      </c>
      <c r="G59" s="1631" t="s">
        <v>3205</v>
      </c>
      <c r="H59" s="1631" t="s">
        <v>3111</v>
      </c>
      <c r="I59" s="1631">
        <v>1348</v>
      </c>
      <c r="J59" s="1631">
        <v>471.8</v>
      </c>
      <c r="K59" s="1631" t="s">
        <v>3206</v>
      </c>
      <c r="L59" s="1631" t="s">
        <v>3207</v>
      </c>
      <c r="M59" s="1631" t="s">
        <v>3208</v>
      </c>
      <c r="N59" s="1631" t="s">
        <v>3209</v>
      </c>
      <c r="O59" s="1631">
        <v>434</v>
      </c>
      <c r="P59" s="1631">
        <v>214.64</v>
      </c>
      <c r="Q59" s="1631">
        <v>9198.7999999999993</v>
      </c>
      <c r="R59" s="1631">
        <v>42.76</v>
      </c>
      <c r="S59" s="1631" t="s">
        <v>3116</v>
      </c>
      <c r="T59" s="1631" t="s">
        <v>3137</v>
      </c>
    </row>
    <row r="60" spans="1:20">
      <c r="A60" s="1631" t="s">
        <v>3381</v>
      </c>
      <c r="B60" s="1631" t="s">
        <v>3107</v>
      </c>
      <c r="C60" s="1631" t="s">
        <v>3108</v>
      </c>
      <c r="D60" s="1631" t="s">
        <v>1326</v>
      </c>
      <c r="E60" s="1631" t="s">
        <v>3381</v>
      </c>
      <c r="F60" s="1631" t="s">
        <v>3109</v>
      </c>
      <c r="G60" s="1631" t="s">
        <v>3382</v>
      </c>
      <c r="H60" s="1631" t="s">
        <v>3111</v>
      </c>
      <c r="I60" s="1631">
        <v>35243</v>
      </c>
      <c r="J60" s="1631">
        <v>13392.34</v>
      </c>
      <c r="K60" s="1631" t="s">
        <v>3383</v>
      </c>
      <c r="L60" s="1631" t="s">
        <v>3384</v>
      </c>
      <c r="M60" s="1631" t="s">
        <v>3385</v>
      </c>
      <c r="N60" s="1631" t="s">
        <v>3386</v>
      </c>
      <c r="O60" s="1631">
        <v>1613</v>
      </c>
      <c r="P60" s="1631">
        <v>30.51</v>
      </c>
      <c r="Q60" s="1631">
        <v>1204.42</v>
      </c>
      <c r="R60" s="1631">
        <v>0</v>
      </c>
      <c r="S60" s="1631" t="s">
        <v>3116</v>
      </c>
      <c r="T60" s="1631" t="s">
        <v>3117</v>
      </c>
    </row>
    <row r="61" spans="1:20">
      <c r="A61" s="1631" t="s">
        <v>3387</v>
      </c>
      <c r="B61" s="1631" t="s">
        <v>3107</v>
      </c>
      <c r="C61" s="1631" t="s">
        <v>3108</v>
      </c>
      <c r="D61" s="1631" t="s">
        <v>1326</v>
      </c>
      <c r="E61" s="1631" t="s">
        <v>3387</v>
      </c>
      <c r="F61" s="1631" t="s">
        <v>3109</v>
      </c>
      <c r="G61" s="1631" t="s">
        <v>3388</v>
      </c>
      <c r="H61" s="1631" t="s">
        <v>3111</v>
      </c>
      <c r="I61" s="1631">
        <v>2593</v>
      </c>
      <c r="J61" s="1631">
        <v>1452.08</v>
      </c>
      <c r="K61" s="1631" t="s">
        <v>3389</v>
      </c>
      <c r="L61" s="1631" t="s">
        <v>3384</v>
      </c>
      <c r="M61" s="1631" t="s">
        <v>3390</v>
      </c>
      <c r="N61" s="1631" t="s">
        <v>3391</v>
      </c>
      <c r="O61" s="1631">
        <v>214</v>
      </c>
      <c r="P61" s="1631">
        <v>55.02</v>
      </c>
      <c r="Q61" s="1631">
        <v>1473.75</v>
      </c>
      <c r="R61" s="1631">
        <v>0</v>
      </c>
      <c r="S61" s="1631" t="s">
        <v>3116</v>
      </c>
      <c r="T61" s="1631" t="s">
        <v>3117</v>
      </c>
    </row>
    <row r="62" spans="1:20" s="2953" customFormat="1">
      <c r="A62" s="2953" t="s">
        <v>3317</v>
      </c>
      <c r="B62" s="2953" t="s">
        <v>3107</v>
      </c>
      <c r="C62" s="2953" t="s">
        <v>3108</v>
      </c>
      <c r="D62" s="2953" t="s">
        <v>1326</v>
      </c>
      <c r="E62" s="2953" t="s">
        <v>3317</v>
      </c>
      <c r="F62" s="2953" t="s">
        <v>3109</v>
      </c>
      <c r="G62" s="2953" t="s">
        <v>3392</v>
      </c>
      <c r="H62" s="2953" t="s">
        <v>3111</v>
      </c>
      <c r="I62" s="2953">
        <v>54480</v>
      </c>
      <c r="J62" s="2953">
        <v>65376</v>
      </c>
      <c r="K62" s="2953" t="s">
        <v>3393</v>
      </c>
      <c r="L62" s="2953" t="s">
        <v>3384</v>
      </c>
      <c r="M62" s="2953" t="s">
        <v>3394</v>
      </c>
      <c r="N62" s="2953" t="s">
        <v>3395</v>
      </c>
      <c r="O62" s="2953">
        <v>11360</v>
      </c>
      <c r="P62" s="2953">
        <v>139.01</v>
      </c>
      <c r="Q62" s="2953">
        <v>1737.64</v>
      </c>
      <c r="R62" s="2953">
        <v>0</v>
      </c>
      <c r="S62" s="2953" t="s">
        <v>3116</v>
      </c>
      <c r="T62" s="2953" t="s">
        <v>3122</v>
      </c>
    </row>
    <row r="63" spans="1:20">
      <c r="A63" s="1631" t="s">
        <v>3396</v>
      </c>
      <c r="B63" s="1631" t="s">
        <v>3107</v>
      </c>
      <c r="C63" s="1631" t="s">
        <v>3108</v>
      </c>
      <c r="D63" s="1631" t="s">
        <v>1326</v>
      </c>
      <c r="E63" s="1631" t="s">
        <v>3396</v>
      </c>
      <c r="F63" s="1631" t="s">
        <v>3109</v>
      </c>
      <c r="G63" s="1631" t="s">
        <v>3397</v>
      </c>
      <c r="H63" s="1631" t="s">
        <v>3111</v>
      </c>
      <c r="I63" s="1631">
        <v>1541</v>
      </c>
      <c r="J63" s="1631">
        <v>2773.8</v>
      </c>
      <c r="K63" s="1631" t="s">
        <v>3349</v>
      </c>
      <c r="L63" s="1631" t="s">
        <v>3384</v>
      </c>
      <c r="M63" s="1631" t="s">
        <v>3398</v>
      </c>
      <c r="N63" s="1631" t="s">
        <v>3343</v>
      </c>
      <c r="O63" s="1631">
        <v>362</v>
      </c>
      <c r="P63" s="1631">
        <v>156.61000000000001</v>
      </c>
      <c r="Q63" s="1631">
        <v>1305.06</v>
      </c>
      <c r="R63" s="1631">
        <v>0</v>
      </c>
      <c r="S63" s="1631" t="s">
        <v>3116</v>
      </c>
      <c r="T63" s="1631" t="s">
        <v>3122</v>
      </c>
    </row>
    <row r="64" spans="1:20" s="2953" customFormat="1">
      <c r="A64" s="2953" t="s">
        <v>3210</v>
      </c>
      <c r="B64" s="2953" t="s">
        <v>3107</v>
      </c>
      <c r="C64" s="2953" t="s">
        <v>3108</v>
      </c>
      <c r="D64" s="2953" t="s">
        <v>1326</v>
      </c>
      <c r="E64" s="2953" t="s">
        <v>3210</v>
      </c>
      <c r="F64" s="2953" t="s">
        <v>3109</v>
      </c>
      <c r="G64" s="2953" t="s">
        <v>3211</v>
      </c>
      <c r="H64" s="2953" t="s">
        <v>3162</v>
      </c>
      <c r="I64" s="2953">
        <v>26686</v>
      </c>
      <c r="J64" s="2953">
        <v>26686</v>
      </c>
      <c r="K64" s="2953" t="s">
        <v>3133</v>
      </c>
      <c r="L64" s="2953" t="s">
        <v>3212</v>
      </c>
      <c r="M64" s="2953" t="s">
        <v>3213</v>
      </c>
      <c r="N64" s="2953" t="s">
        <v>3214</v>
      </c>
      <c r="O64" s="2953">
        <v>2963</v>
      </c>
      <c r="P64" s="2953">
        <v>74.02</v>
      </c>
      <c r="Q64" s="2953">
        <v>1110.31</v>
      </c>
      <c r="R64" s="2953">
        <v>0</v>
      </c>
      <c r="S64" s="2953" t="s">
        <v>3116</v>
      </c>
      <c r="T64" s="2953" t="s">
        <v>3122</v>
      </c>
    </row>
    <row r="65" spans="1:20">
      <c r="A65" s="1631" t="s">
        <v>3215</v>
      </c>
      <c r="B65" s="1631" t="s">
        <v>3107</v>
      </c>
      <c r="C65" s="1631" t="s">
        <v>3108</v>
      </c>
      <c r="D65" s="1631" t="s">
        <v>1326</v>
      </c>
      <c r="E65" s="1631" t="s">
        <v>3215</v>
      </c>
      <c r="F65" s="1631" t="s">
        <v>3109</v>
      </c>
      <c r="G65" s="1631" t="s">
        <v>3216</v>
      </c>
      <c r="H65" s="1631" t="s">
        <v>3111</v>
      </c>
      <c r="I65" s="1631">
        <v>25237</v>
      </c>
      <c r="J65" s="1631">
        <v>58045.1</v>
      </c>
      <c r="K65" s="1631" t="s">
        <v>3217</v>
      </c>
      <c r="L65" s="1631" t="s">
        <v>3212</v>
      </c>
      <c r="M65" s="1631" t="s">
        <v>3218</v>
      </c>
      <c r="N65" s="1631" t="s">
        <v>3136</v>
      </c>
      <c r="O65" s="1631">
        <v>7231</v>
      </c>
      <c r="P65" s="1631">
        <v>191.02</v>
      </c>
      <c r="Q65" s="1631">
        <v>1245.75</v>
      </c>
      <c r="R65" s="1631">
        <v>0</v>
      </c>
      <c r="S65" s="1631" t="s">
        <v>3116</v>
      </c>
      <c r="T65" s="1631" t="s">
        <v>3130</v>
      </c>
    </row>
    <row r="66" spans="1:20">
      <c r="A66" s="1631" t="s">
        <v>3219</v>
      </c>
      <c r="B66" s="1631" t="s">
        <v>3107</v>
      </c>
      <c r="C66" s="1631" t="s">
        <v>3108</v>
      </c>
      <c r="D66" s="1631" t="s">
        <v>1326</v>
      </c>
      <c r="E66" s="1631" t="s">
        <v>3219</v>
      </c>
      <c r="F66" s="1631" t="s">
        <v>3109</v>
      </c>
      <c r="G66" s="1631" t="s">
        <v>3220</v>
      </c>
      <c r="H66" s="1631" t="s">
        <v>3174</v>
      </c>
      <c r="I66" s="1631">
        <v>5825</v>
      </c>
      <c r="J66" s="1631">
        <v>23300</v>
      </c>
      <c r="K66" s="1631" t="s">
        <v>3221</v>
      </c>
      <c r="L66" s="1631" t="s">
        <v>3212</v>
      </c>
      <c r="M66" s="1631" t="s">
        <v>3222</v>
      </c>
      <c r="N66" s="1631" t="s">
        <v>3223</v>
      </c>
      <c r="O66" s="1631">
        <v>1438</v>
      </c>
      <c r="P66" s="1631">
        <v>164.58</v>
      </c>
      <c r="Q66" s="1631">
        <v>617.16</v>
      </c>
      <c r="R66" s="1631">
        <v>2.86</v>
      </c>
      <c r="S66" s="1631" t="s">
        <v>3116</v>
      </c>
      <c r="T66" s="1631" t="s">
        <v>3117</v>
      </c>
    </row>
    <row r="67" spans="1:20" s="2953" customFormat="1">
      <c r="A67" s="2953" t="s">
        <v>3224</v>
      </c>
      <c r="B67" s="2953" t="s">
        <v>3107</v>
      </c>
      <c r="C67" s="2953" t="s">
        <v>3108</v>
      </c>
      <c r="D67" s="2953" t="s">
        <v>1326</v>
      </c>
      <c r="E67" s="2953" t="s">
        <v>3224</v>
      </c>
      <c r="F67" s="2953" t="s">
        <v>3109</v>
      </c>
      <c r="G67" s="2953" t="s">
        <v>3225</v>
      </c>
      <c r="H67" s="2953" t="s">
        <v>3174</v>
      </c>
      <c r="I67" s="2953">
        <v>38361</v>
      </c>
      <c r="J67" s="2953">
        <v>38361</v>
      </c>
      <c r="K67" s="2953" t="s">
        <v>3133</v>
      </c>
      <c r="L67" s="2953" t="s">
        <v>3212</v>
      </c>
      <c r="M67" s="2953" t="s">
        <v>3226</v>
      </c>
      <c r="N67" s="2953" t="s">
        <v>3136</v>
      </c>
      <c r="O67" s="2953">
        <v>5755</v>
      </c>
      <c r="P67" s="2953">
        <v>100.01</v>
      </c>
      <c r="Q67" s="2953">
        <v>1500.22</v>
      </c>
      <c r="R67" s="2953">
        <v>0</v>
      </c>
      <c r="S67" s="2953" t="s">
        <v>3116</v>
      </c>
      <c r="T67" s="2953" t="s">
        <v>3130</v>
      </c>
    </row>
    <row r="68" spans="1:20" s="2953" customFormat="1">
      <c r="A68" s="2953" t="s">
        <v>3227</v>
      </c>
      <c r="B68" s="2953" t="s">
        <v>3107</v>
      </c>
      <c r="C68" s="2953" t="s">
        <v>3108</v>
      </c>
      <c r="D68" s="2953" t="s">
        <v>1326</v>
      </c>
      <c r="E68" s="2953" t="s">
        <v>3227</v>
      </c>
      <c r="F68" s="2953" t="s">
        <v>3109</v>
      </c>
      <c r="G68" s="2953" t="s">
        <v>3228</v>
      </c>
      <c r="H68" s="2953" t="s">
        <v>3174</v>
      </c>
      <c r="I68" s="2953">
        <v>64201</v>
      </c>
      <c r="J68" s="2953">
        <v>64201</v>
      </c>
      <c r="K68" s="2953" t="s">
        <v>3133</v>
      </c>
      <c r="L68" s="2953" t="s">
        <v>3212</v>
      </c>
      <c r="M68" s="2953" t="s">
        <v>3229</v>
      </c>
      <c r="N68" s="2953" t="s">
        <v>3136</v>
      </c>
      <c r="O68" s="2953">
        <v>10401</v>
      </c>
      <c r="P68" s="2953">
        <v>108</v>
      </c>
      <c r="Q68" s="2953">
        <v>1620.06</v>
      </c>
      <c r="R68" s="2953">
        <v>0</v>
      </c>
      <c r="S68" s="2953" t="s">
        <v>3116</v>
      </c>
      <c r="T68" s="2953" t="s">
        <v>3122</v>
      </c>
    </row>
    <row r="69" spans="1:20">
      <c r="A69" s="1631" t="s">
        <v>3230</v>
      </c>
      <c r="B69" s="1631" t="s">
        <v>3107</v>
      </c>
      <c r="C69" s="1631" t="s">
        <v>3108</v>
      </c>
      <c r="D69" s="1631" t="s">
        <v>1326</v>
      </c>
      <c r="E69" s="1631" t="s">
        <v>3230</v>
      </c>
      <c r="F69" s="1631" t="s">
        <v>3109</v>
      </c>
      <c r="G69" s="1631" t="s">
        <v>3231</v>
      </c>
      <c r="H69" s="1631" t="s">
        <v>3162</v>
      </c>
      <c r="I69" s="1631">
        <v>63076</v>
      </c>
      <c r="J69" s="1631">
        <v>81998.8</v>
      </c>
      <c r="K69" s="1631" t="s">
        <v>3232</v>
      </c>
      <c r="L69" s="1631" t="s">
        <v>3212</v>
      </c>
      <c r="M69" s="1631" t="s">
        <v>3233</v>
      </c>
      <c r="N69" s="1631" t="s">
        <v>3234</v>
      </c>
      <c r="O69" s="1631">
        <v>12300</v>
      </c>
      <c r="P69" s="1631">
        <v>130</v>
      </c>
      <c r="Q69" s="1631">
        <v>1500.01</v>
      </c>
      <c r="R69" s="1631">
        <v>0</v>
      </c>
      <c r="S69" s="1631" t="s">
        <v>3116</v>
      </c>
      <c r="T69" s="1631" t="s">
        <v>3122</v>
      </c>
    </row>
    <row r="70" spans="1:20">
      <c r="A70" s="1631" t="s">
        <v>3396</v>
      </c>
      <c r="B70" s="1631" t="s">
        <v>3107</v>
      </c>
      <c r="C70" s="1631" t="s">
        <v>3108</v>
      </c>
      <c r="D70" s="1631" t="s">
        <v>1326</v>
      </c>
      <c r="E70" s="1631" t="s">
        <v>3396</v>
      </c>
      <c r="F70" s="1631" t="s">
        <v>3109</v>
      </c>
      <c r="G70" s="1631" t="s">
        <v>3399</v>
      </c>
      <c r="H70" s="1631" t="s">
        <v>3111</v>
      </c>
      <c r="I70" s="1631">
        <v>29923</v>
      </c>
      <c r="J70" s="1631">
        <v>53861.4</v>
      </c>
      <c r="K70" s="1631" t="s">
        <v>3349</v>
      </c>
      <c r="L70" s="1631" t="s">
        <v>3400</v>
      </c>
      <c r="M70" s="1631" t="s">
        <v>3401</v>
      </c>
      <c r="N70" s="1631" t="s">
        <v>3343</v>
      </c>
      <c r="O70" s="1631">
        <v>5791</v>
      </c>
      <c r="P70" s="1631">
        <v>129.02000000000001</v>
      </c>
      <c r="Q70" s="1631">
        <v>1075.17</v>
      </c>
      <c r="R70" s="1631">
        <v>0</v>
      </c>
      <c r="S70" s="1631" t="s">
        <v>3116</v>
      </c>
      <c r="T70" s="1631" t="s">
        <v>3122</v>
      </c>
    </row>
    <row r="71" spans="1:20">
      <c r="A71" s="1631" t="s">
        <v>3235</v>
      </c>
      <c r="B71" s="1631" t="s">
        <v>3107</v>
      </c>
      <c r="C71" s="1631" t="s">
        <v>3108</v>
      </c>
      <c r="D71" s="1631" t="s">
        <v>1326</v>
      </c>
      <c r="E71" s="1631" t="s">
        <v>3235</v>
      </c>
      <c r="F71" s="1631" t="s">
        <v>3109</v>
      </c>
      <c r="G71" s="1631" t="s">
        <v>3236</v>
      </c>
      <c r="H71" s="1631" t="s">
        <v>3174</v>
      </c>
      <c r="I71" s="1631">
        <v>25090</v>
      </c>
      <c r="J71" s="1631">
        <v>42653</v>
      </c>
      <c r="K71" s="1631" t="s">
        <v>3195</v>
      </c>
      <c r="L71" s="1631" t="s">
        <v>3237</v>
      </c>
      <c r="M71" s="1631" t="s">
        <v>3238</v>
      </c>
      <c r="N71" s="1631" t="s">
        <v>3136</v>
      </c>
      <c r="O71" s="1631">
        <v>4837</v>
      </c>
      <c r="P71" s="1631">
        <v>128.52000000000001</v>
      </c>
      <c r="Q71" s="1631">
        <v>1134.03</v>
      </c>
      <c r="R71" s="1631">
        <v>0</v>
      </c>
      <c r="S71" s="1631" t="s">
        <v>3116</v>
      </c>
      <c r="T71" s="1631" t="s">
        <v>3122</v>
      </c>
    </row>
    <row r="72" spans="1:20">
      <c r="A72" s="1631" t="s">
        <v>3239</v>
      </c>
      <c r="B72" s="1631" t="s">
        <v>3107</v>
      </c>
      <c r="C72" s="1631" t="s">
        <v>3108</v>
      </c>
      <c r="D72" s="1631" t="s">
        <v>1326</v>
      </c>
      <c r="E72" s="1631" t="s">
        <v>3239</v>
      </c>
      <c r="F72" s="1631" t="s">
        <v>3109</v>
      </c>
      <c r="G72" s="1631" t="s">
        <v>3240</v>
      </c>
      <c r="H72" s="1631" t="s">
        <v>3174</v>
      </c>
      <c r="I72" s="1631">
        <v>18827</v>
      </c>
      <c r="J72" s="1631">
        <v>35771.300000000003</v>
      </c>
      <c r="K72" s="1631" t="s">
        <v>3241</v>
      </c>
      <c r="L72" s="1631" t="s">
        <v>3237</v>
      </c>
      <c r="M72" s="1631" t="s">
        <v>3242</v>
      </c>
      <c r="N72" s="1631" t="s">
        <v>3136</v>
      </c>
      <c r="O72" s="1631">
        <v>2683</v>
      </c>
      <c r="P72" s="1631">
        <v>95.01</v>
      </c>
      <c r="Q72" s="1631">
        <v>750.03</v>
      </c>
      <c r="R72" s="1631">
        <v>0</v>
      </c>
      <c r="S72" s="1631" t="s">
        <v>3116</v>
      </c>
      <c r="T72" s="1631" t="s">
        <v>3130</v>
      </c>
    </row>
    <row r="73" spans="1:20">
      <c r="A73" s="1631" t="s">
        <v>3243</v>
      </c>
      <c r="B73" s="1631" t="s">
        <v>3107</v>
      </c>
      <c r="C73" s="1631" t="s">
        <v>3108</v>
      </c>
      <c r="D73" s="1631" t="s">
        <v>1326</v>
      </c>
      <c r="E73" s="1631" t="s">
        <v>3243</v>
      </c>
      <c r="F73" s="1631" t="s">
        <v>3109</v>
      </c>
      <c r="G73" s="1631" t="s">
        <v>3244</v>
      </c>
      <c r="H73" s="1631" t="s">
        <v>3245</v>
      </c>
      <c r="I73" s="1631">
        <v>2401</v>
      </c>
      <c r="J73" s="1631">
        <v>840.35</v>
      </c>
      <c r="K73" s="1631" t="s">
        <v>3206</v>
      </c>
      <c r="L73" s="1631" t="s">
        <v>3246</v>
      </c>
      <c r="M73" s="1631" t="s">
        <v>3247</v>
      </c>
      <c r="N73" s="1631" t="s">
        <v>3248</v>
      </c>
      <c r="O73" s="1631">
        <v>397</v>
      </c>
      <c r="P73" s="1631">
        <v>110.23</v>
      </c>
      <c r="Q73" s="1631">
        <v>4724.22</v>
      </c>
      <c r="R73" s="1631">
        <v>0</v>
      </c>
      <c r="S73" s="1631" t="s">
        <v>3116</v>
      </c>
      <c r="T73" s="1631" t="s">
        <v>3137</v>
      </c>
    </row>
    <row r="74" spans="1:20">
      <c r="A74" s="1631" t="s">
        <v>3249</v>
      </c>
      <c r="B74" s="1631" t="s">
        <v>3107</v>
      </c>
      <c r="C74" s="1631" t="s">
        <v>3108</v>
      </c>
      <c r="D74" s="1631" t="s">
        <v>1326</v>
      </c>
      <c r="E74" s="1631" t="s">
        <v>3249</v>
      </c>
      <c r="F74" s="1631" t="s">
        <v>3109</v>
      </c>
      <c r="G74" s="1631" t="s">
        <v>3250</v>
      </c>
      <c r="H74" s="1631" t="s">
        <v>3162</v>
      </c>
      <c r="I74" s="1631">
        <v>80091</v>
      </c>
      <c r="J74" s="1631">
        <v>160182</v>
      </c>
      <c r="K74" s="1631" t="s">
        <v>3158</v>
      </c>
      <c r="L74" s="1631" t="s">
        <v>3251</v>
      </c>
      <c r="M74" s="1631" t="s">
        <v>3252</v>
      </c>
      <c r="N74" s="1631" t="s">
        <v>3253</v>
      </c>
      <c r="O74" s="1631">
        <v>16363</v>
      </c>
      <c r="P74" s="1631">
        <v>136.19999999999999</v>
      </c>
      <c r="Q74" s="1631">
        <v>1021.52</v>
      </c>
      <c r="R74" s="1631">
        <v>0</v>
      </c>
      <c r="S74" s="1631" t="s">
        <v>3116</v>
      </c>
      <c r="T74" s="1631" t="s">
        <v>3130</v>
      </c>
    </row>
    <row r="75" spans="1:20">
      <c r="A75" s="1631" t="s">
        <v>3402</v>
      </c>
      <c r="B75" s="1631" t="s">
        <v>3107</v>
      </c>
      <c r="C75" s="1631" t="s">
        <v>3108</v>
      </c>
      <c r="D75" s="1631" t="s">
        <v>1326</v>
      </c>
      <c r="E75" s="1631" t="s">
        <v>3402</v>
      </c>
      <c r="F75" s="1631" t="s">
        <v>3109</v>
      </c>
      <c r="G75" s="1631" t="s">
        <v>3403</v>
      </c>
      <c r="H75" s="1631" t="s">
        <v>3111</v>
      </c>
      <c r="I75" s="1631">
        <v>30704.31</v>
      </c>
      <c r="J75" s="1631">
        <v>55267.76</v>
      </c>
      <c r="K75" s="1631" t="s">
        <v>3349</v>
      </c>
      <c r="L75" s="1631" t="s">
        <v>3404</v>
      </c>
      <c r="M75" s="1631" t="s">
        <v>3405</v>
      </c>
      <c r="N75" s="1631" t="s">
        <v>3343</v>
      </c>
      <c r="O75" s="1631">
        <v>4468</v>
      </c>
      <c r="P75" s="1631">
        <v>97.01</v>
      </c>
      <c r="Q75" s="1631">
        <v>808.42</v>
      </c>
      <c r="R75" s="1631">
        <v>0</v>
      </c>
      <c r="S75" s="1631" t="s">
        <v>3116</v>
      </c>
      <c r="T75" s="1631" t="s">
        <v>3122</v>
      </c>
    </row>
  </sheetData>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8" sqref="E18"/>
    </sheetView>
  </sheetViews>
  <sheetFormatPr defaultColWidth="6.625" defaultRowHeight="12.75"/>
  <cols>
    <col min="1" max="1" width="9.875" style="795" customWidth="1"/>
    <col min="2" max="2" width="25.875" style="949" customWidth="1"/>
    <col min="3" max="3" width="10.375" style="992" customWidth="1"/>
    <col min="4" max="4" width="9.875" style="949" customWidth="1"/>
    <col min="5" max="5" width="9.5" style="795" customWidth="1"/>
    <col min="6" max="6" width="10.125" style="949" customWidth="1"/>
    <col min="7" max="7" width="10.8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2458</v>
      </c>
      <c r="B1" s="1577"/>
      <c r="C1" s="1578"/>
      <c r="D1" s="1576"/>
      <c r="E1" s="318"/>
      <c r="F1" s="318"/>
      <c r="G1" s="1577"/>
      <c r="H1" s="318"/>
      <c r="I1" s="318"/>
      <c r="J1" s="318"/>
      <c r="K1" s="318">
        <f>MATCH(C1,'数据-取费表'!A6:A16,0)+5</f>
        <v>8</v>
      </c>
    </row>
    <row r="2" spans="1:33" ht="18" customHeight="1">
      <c r="A2" s="243" t="s">
        <v>2326</v>
      </c>
      <c r="B2" s="246">
        <f ca="1">C32</f>
        <v>245977</v>
      </c>
      <c r="C2" s="318" t="s">
        <v>2459</v>
      </c>
      <c r="D2" s="318"/>
      <c r="E2" s="318"/>
      <c r="F2" s="318"/>
      <c r="G2" s="318"/>
      <c r="H2" s="318"/>
      <c r="I2" s="318"/>
      <c r="J2" s="318"/>
      <c r="K2" s="318"/>
    </row>
    <row r="3" spans="1:33" ht="18" customHeight="1" thickBot="1">
      <c r="A3" s="245" t="s">
        <v>2328</v>
      </c>
      <c r="B3" s="246">
        <f ca="1">ROUND(B2*10000/IF(C1="",'数据-汇总表'!E3,INDIRECT("'数据-取费表'!K"&amp;$K$1)),0)</f>
        <v>11239</v>
      </c>
      <c r="C3" s="318" t="s">
        <v>2460</v>
      </c>
      <c r="D3" s="318"/>
      <c r="E3" s="318"/>
      <c r="F3" s="318"/>
      <c r="G3" s="318"/>
      <c r="H3" s="318"/>
      <c r="I3" s="318"/>
      <c r="J3" s="318"/>
      <c r="K3" s="318"/>
    </row>
    <row r="4" spans="1:33" s="953" customFormat="1" ht="16.5" customHeight="1">
      <c r="A4" s="950" t="s">
        <v>2461</v>
      </c>
      <c r="B4" s="951"/>
      <c r="C4" s="993">
        <f ca="1">SUM(C8:K8)</f>
        <v>281824</v>
      </c>
      <c r="D4" s="951"/>
      <c r="E4" s="951"/>
      <c r="F4" s="951"/>
      <c r="G4" s="951"/>
      <c r="H4" s="951"/>
      <c r="I4" s="951"/>
      <c r="J4" s="951"/>
      <c r="K4" s="952"/>
    </row>
    <row r="5" spans="1:33" s="957" customFormat="1" ht="15">
      <c r="A5" s="954" t="s">
        <v>2462</v>
      </c>
      <c r="B5" s="955" t="s">
        <v>2463</v>
      </c>
      <c r="C5" s="3021" t="s">
        <v>3536</v>
      </c>
      <c r="D5" s="2552" t="s">
        <v>3538</v>
      </c>
      <c r="E5" s="2552"/>
      <c r="F5" s="2552"/>
      <c r="G5" s="2552"/>
      <c r="H5" s="2552"/>
      <c r="I5" s="2552"/>
      <c r="J5" s="2552"/>
      <c r="K5" s="255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f ca="1">'收益法（计容）'!B3</f>
        <v>14953</v>
      </c>
      <c r="D6" s="959">
        <f ca="1">'收益法（不计容）'!B3</f>
        <v>6297</v>
      </c>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19">
        <f>SUMIF('数据-汇总表'!$C19:$C33,假设开发法!C5,'数据-汇总表'!$E19:$E33)</f>
        <v>166374.91</v>
      </c>
      <c r="D7" s="319">
        <f>SUMIF('数据-汇总表'!$C19:$C33,假设开发法!D5,'数据-汇总表'!$E19:$E33)</f>
        <v>52487.820000000007</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3" t="s">
        <v>2467</v>
      </c>
      <c r="B8" s="175" t="s">
        <v>2468</v>
      </c>
      <c r="C8" s="994">
        <f ca="1">'收益法（计容）'!B2</f>
        <v>248773</v>
      </c>
      <c r="D8" s="994">
        <f ca="1">'收益法（不计容）'!B2</f>
        <v>33051</v>
      </c>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1329</v>
      </c>
      <c r="B11" s="969" t="s">
        <v>2476</v>
      </c>
      <c r="C11" s="321">
        <f ca="1">IF(C1="",'数据-取费表'!P16,INDIRECT("'数据-取费表'!p"&amp;$K$1)+INDIRECT("'数据-取费表'!ar"&amp;$K$1))</f>
        <v>7967</v>
      </c>
      <c r="D11" s="970"/>
      <c r="E11" s="373"/>
      <c r="F11" s="971">
        <f ca="1">1-IF('数据-取费表'!B24=0,1,IF(C1="",'数据-取费表'!N16,INDIRECT("'数据-取费表'!n"&amp;$K$1)))</f>
        <v>5.0000000000000044E-2</v>
      </c>
      <c r="G11" s="8"/>
      <c r="H11" s="965"/>
      <c r="I11" s="965"/>
      <c r="J11" s="965"/>
      <c r="K11" s="966"/>
    </row>
    <row r="12" spans="1:33" s="972" customFormat="1" ht="13.5" customHeight="1">
      <c r="A12" s="968" t="s">
        <v>1330</v>
      </c>
      <c r="B12" s="969" t="s">
        <v>2477</v>
      </c>
      <c r="C12" s="24">
        <f ca="1">ROUND(C11*F12,0)</f>
        <v>239</v>
      </c>
      <c r="D12" s="970"/>
      <c r="E12" s="373"/>
      <c r="F12" s="973">
        <f>'数据-取费表'!B33</f>
        <v>0.03</v>
      </c>
      <c r="G12" s="8" t="s">
        <v>2478</v>
      </c>
      <c r="H12" s="965"/>
      <c r="I12" s="965"/>
      <c r="J12" s="965"/>
      <c r="K12" s="966"/>
    </row>
    <row r="13" spans="1:33" s="972" customFormat="1" ht="13.5" customHeight="1">
      <c r="A13" s="968" t="s">
        <v>1331</v>
      </c>
      <c r="B13" s="969" t="s">
        <v>2479</v>
      </c>
      <c r="C13" s="24">
        <f ca="1">ROUND(IF(C1="",SUMIF('数据-取费表'!C:C,"住宅",'数据-取费表'!P:P)*F13,IF(INDIRECT("'数据-取费表'!c"&amp;$K$1)="住宅",INDIRECT("'数据-取费表'!P"&amp;$K$1)*F13,0)),0)</f>
        <v>0</v>
      </c>
      <c r="D13" s="1030"/>
      <c r="E13" s="373"/>
      <c r="F13" s="973">
        <f>'数据-取费表'!B34</f>
        <v>0</v>
      </c>
      <c r="G13" s="8" t="s">
        <v>2480</v>
      </c>
      <c r="H13" s="965"/>
      <c r="I13" s="965"/>
      <c r="J13" s="965"/>
      <c r="K13" s="966"/>
    </row>
    <row r="14" spans="1:33" s="974" customFormat="1" ht="13.5" customHeight="1">
      <c r="A14" s="968" t="s">
        <v>1332</v>
      </c>
      <c r="B14" s="969" t="s">
        <v>2481</v>
      </c>
      <c r="C14" s="24">
        <f ca="1">ROUND(D14*E14*F11/10000,0)</f>
        <v>219</v>
      </c>
      <c r="D14" s="1030">
        <f ca="1">IF(C1="",'数据-汇总表'!E3,INDIRECT("'数据-取费表'!K"&amp;$K$1)+INDIRECT("'数据-取费表'!S"&amp;$K$1))</f>
        <v>218862.73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2483</v>
      </c>
      <c r="C15" s="980">
        <f ca="1">ROUND(C11*F15,0)</f>
        <v>120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8545</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218862.73</v>
      </c>
      <c r="E17" s="24">
        <f>'数据-取费表'!B32</f>
        <v>0</v>
      </c>
      <c r="F17" s="975"/>
      <c r="G17" s="140" t="s">
        <v>2487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2488</v>
      </c>
      <c r="C18" s="24">
        <f ca="1">C19+C20-IF(C1="",'数据-取费表'!B29,IF(G18="已全部缴纳",C19+C20,H18))</f>
        <v>1094</v>
      </c>
      <c r="D18" s="1030"/>
      <c r="E18" s="24"/>
      <c r="F18" s="973"/>
      <c r="G18" s="2554"/>
      <c r="H18" s="1573"/>
      <c r="I18" s="2555"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50</v>
      </c>
      <c r="F19" s="973"/>
      <c r="G19" s="15"/>
      <c r="H19" s="1575"/>
      <c r="I19" s="978"/>
      <c r="J19" s="978"/>
      <c r="K19" s="979"/>
    </row>
    <row r="20" spans="1:33" s="972" customFormat="1" ht="13.5" customHeight="1">
      <c r="A20" s="968" t="s">
        <v>806</v>
      </c>
      <c r="B20" s="969" t="s">
        <v>2491</v>
      </c>
      <c r="C20" s="24">
        <f ca="1">ROUND(D20*E20/10000,0)</f>
        <v>1094</v>
      </c>
      <c r="D20" s="1030">
        <f ca="1">IF(C1="",'数据-汇总表'!E6,IF(INDIRECT("'数据-取费表'!c"&amp;$K$1)="住宅",INDIRECT("'数据-取费表'!s"&amp;$K$1),INDIRECT("'数据-取费表'!k"&amp;$K$1)+INDIRECT("'数据-取费表'!s"&amp;$K$1)))</f>
        <v>218862.73</v>
      </c>
      <c r="E20" s="24">
        <f>'数据-取费表'!B28</f>
        <v>50</v>
      </c>
      <c r="F20" s="973"/>
      <c r="G20" s="15"/>
      <c r="H20" s="978"/>
      <c r="I20" s="978"/>
      <c r="J20" s="978"/>
      <c r="K20" s="979"/>
    </row>
    <row r="21" spans="1:33" s="972" customFormat="1" ht="13.5" customHeight="1">
      <c r="A21" s="958" t="s">
        <v>802</v>
      </c>
      <c r="B21" s="982" t="s">
        <v>2492</v>
      </c>
      <c r="C21" s="983">
        <f ca="1">C16+C17+C18</f>
        <v>9639</v>
      </c>
      <c r="D21" s="984"/>
      <c r="E21" s="323"/>
      <c r="F21" s="323"/>
      <c r="G21" s="140" t="s">
        <v>2493</v>
      </c>
      <c r="H21" s="976"/>
      <c r="I21" s="976"/>
      <c r="J21" s="976"/>
      <c r="K21" s="977"/>
    </row>
    <row r="22" spans="1:33" s="972" customFormat="1" ht="13.5" customHeight="1">
      <c r="A22" s="958" t="s">
        <v>2465</v>
      </c>
      <c r="B22" s="982" t="s">
        <v>2494</v>
      </c>
      <c r="C22" s="983">
        <f ca="1">ROUND(C21*F22,0)</f>
        <v>145</v>
      </c>
      <c r="D22" s="323"/>
      <c r="E22" s="323"/>
      <c r="F22" s="985">
        <f>'数据-取费表'!B37</f>
        <v>1.4999999999999999E-2</v>
      </c>
      <c r="G22" s="8" t="s">
        <v>2495</v>
      </c>
      <c r="H22" s="965"/>
      <c r="I22" s="965"/>
      <c r="J22" s="965"/>
      <c r="K22" s="966"/>
    </row>
    <row r="23" spans="1:33" s="972" customFormat="1" ht="13.5" customHeight="1">
      <c r="A23" s="958" t="s">
        <v>2467</v>
      </c>
      <c r="B23" s="982" t="s">
        <v>2496</v>
      </c>
      <c r="C23" s="983">
        <f ca="1">ROUND(C4*F23*F11,0)</f>
        <v>282</v>
      </c>
      <c r="D23" s="323"/>
      <c r="E23" s="323"/>
      <c r="F23" s="985">
        <f>'数据-取费表'!B38</f>
        <v>0.02</v>
      </c>
      <c r="G23" s="8" t="s">
        <v>2497</v>
      </c>
      <c r="H23" s="965"/>
      <c r="I23" s="965"/>
      <c r="J23" s="965"/>
      <c r="K23" s="966"/>
    </row>
    <row r="24" spans="1:33" s="972" customFormat="1" ht="13.5" customHeight="1">
      <c r="A24" s="958" t="s">
        <v>2498</v>
      </c>
      <c r="B24" s="982" t="s">
        <v>2499</v>
      </c>
      <c r="C24" s="322">
        <f>ROUND(F24/(1+'数据-取费表'!C42),4)</f>
        <v>2.9000000000000001E-2</v>
      </c>
      <c r="D24" s="323" t="s">
        <v>15</v>
      </c>
      <c r="E24" s="323"/>
      <c r="F24" s="985">
        <f>IF(项目基本情况!B8="出让",0,'数据-取费表'!B48+'数据-取费表'!B49)</f>
        <v>3.0499999999999999E-2</v>
      </c>
      <c r="G24" s="8" t="s">
        <v>2500</v>
      </c>
      <c r="H24" s="987"/>
      <c r="I24" s="987"/>
      <c r="J24" s="987"/>
      <c r="K24" s="988"/>
    </row>
    <row r="25" spans="1:33" s="972" customFormat="1" ht="13.5" customHeight="1">
      <c r="A25" s="958" t="s">
        <v>2501</v>
      </c>
      <c r="B25" s="984" t="s">
        <v>2502</v>
      </c>
      <c r="C25" s="1353">
        <f ca="1">C27</f>
        <v>23</v>
      </c>
      <c r="D25" s="322">
        <f ca="1">C26</f>
        <v>4.7999999999999996E-3</v>
      </c>
      <c r="E25" s="324" t="s">
        <v>15</v>
      </c>
      <c r="F25" s="325">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4.7999999999999996E-3</v>
      </c>
      <c r="D26" s="326"/>
      <c r="E26" s="327"/>
      <c r="F26" s="328"/>
      <c r="G26" s="255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23</v>
      </c>
      <c r="D27" s="326"/>
      <c r="E27" s="327"/>
      <c r="F27" s="328"/>
      <c r="G27" s="2556" t="str">
        <f>IF('数据-取费表'!B22&lt;=1,"（1）-（3）项×年利率×建设期÷2","（1）-（3）项×((1+年利率)^(建设期÷2)-1)")</f>
        <v>（1）-（3）项×((1+年利率)^(建设期÷2)-1)</v>
      </c>
      <c r="H27" s="976"/>
      <c r="I27" s="976"/>
      <c r="J27" s="976"/>
      <c r="K27" s="977"/>
    </row>
    <row r="28" spans="1:33" s="331" customFormat="1" ht="13.5" customHeight="1">
      <c r="A28" s="958" t="s">
        <v>2505</v>
      </c>
      <c r="B28" s="2557" t="s">
        <v>2506</v>
      </c>
      <c r="C28" s="329">
        <f ca="1">C30</f>
        <v>1208</v>
      </c>
      <c r="D28" s="322">
        <f ca="1">C29</f>
        <v>4.8999999999999998E-3</v>
      </c>
      <c r="E28" s="324" t="s">
        <v>15</v>
      </c>
      <c r="F28" s="330">
        <f ca="1">IF(C1="",'数据-取费表'!Q16,INDIRECT("'数据-取费表'!q"&amp;$K$1))</f>
        <v>0.12</v>
      </c>
      <c r="G28" s="986"/>
      <c r="H28" s="987"/>
      <c r="I28" s="987"/>
      <c r="J28" s="987"/>
      <c r="K28" s="988"/>
    </row>
    <row r="29" spans="1:33" s="333" customFormat="1" ht="13.5" customHeight="1">
      <c r="A29" s="968" t="s">
        <v>803</v>
      </c>
      <c r="B29" s="991" t="s">
        <v>2507</v>
      </c>
      <c r="C29" s="326">
        <f ca="1">ROUND((1+C24)*F28*'数据-取费表'!B24/'数据-取费表'!B20,4)</f>
        <v>4.8999999999999998E-3</v>
      </c>
      <c r="D29" s="326"/>
      <c r="E29" s="327"/>
      <c r="F29" s="332"/>
      <c r="G29" s="140" t="s">
        <v>2508</v>
      </c>
      <c r="H29" s="976"/>
      <c r="I29" s="976"/>
      <c r="J29" s="976"/>
      <c r="K29" s="977"/>
    </row>
    <row r="30" spans="1:33" s="333" customFormat="1" ht="13.5" customHeight="1">
      <c r="A30" s="968" t="s">
        <v>804</v>
      </c>
      <c r="B30" s="991" t="s">
        <v>2509</v>
      </c>
      <c r="C30" s="334">
        <f ca="1">ROUND((C21+C22+C23)*F28,0)</f>
        <v>1208</v>
      </c>
      <c r="D30" s="326"/>
      <c r="E30" s="327"/>
      <c r="F30" s="332"/>
      <c r="G30" s="140"/>
      <c r="H30" s="976"/>
      <c r="I30" s="976"/>
      <c r="J30" s="976"/>
      <c r="K30" s="977"/>
    </row>
    <row r="31" spans="1:33" s="972" customFormat="1" ht="13.5" customHeight="1" thickBot="1">
      <c r="A31" s="2558" t="s">
        <v>2510</v>
      </c>
      <c r="B31" s="1002" t="s">
        <v>2511</v>
      </c>
      <c r="C31" s="1003">
        <f ca="1">ROUND(C4*F31/(1+'数据-取费表'!C42),0)</f>
        <v>15031</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245977</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106" zoomScaleNormal="70" zoomScaleSheetLayoutView="90" workbookViewId="0">
      <selection activeCell="E4" sqref="E4:E1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87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30" customWidth="1"/>
    <col min="12" max="12" width="16.375" style="300" customWidth="1"/>
    <col min="13" max="13" width="13" style="300" customWidth="1"/>
    <col min="14" max="14" width="13.875" style="1838" customWidth="1"/>
    <col min="15" max="15" width="5.125" style="1838" customWidth="1"/>
    <col min="16" max="16" width="25.875" style="1838" customWidth="1"/>
    <col min="17" max="17" width="13.875" style="1838" customWidth="1"/>
    <col min="18" max="18" width="20.5" style="1838" customWidth="1"/>
    <col min="19" max="19" width="13.125" style="1838" customWidth="1"/>
    <col min="20" max="37" width="9" style="1838"/>
    <col min="38" max="16384" width="9" style="300"/>
  </cols>
  <sheetData>
    <row r="1" spans="1:37" s="335" customFormat="1" ht="21">
      <c r="A1" s="1829" t="s">
        <v>1583</v>
      </c>
      <c r="B1" s="779"/>
      <c r="C1" s="3020" t="s">
        <v>3536</v>
      </c>
      <c r="D1" s="1816" t="s">
        <v>3075</v>
      </c>
      <c r="E1" s="1817" t="s">
        <v>1381</v>
      </c>
      <c r="F1" s="1280">
        <f ca="1">J53</f>
        <v>38.86</v>
      </c>
      <c r="G1" s="1832">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1509</v>
      </c>
      <c r="B2" s="1840">
        <f ca="1">C40+J29+L46</f>
        <v>248773</v>
      </c>
      <c r="C2" s="1841" t="s">
        <v>1510</v>
      </c>
      <c r="D2" s="1841"/>
      <c r="E2" s="1842"/>
      <c r="F2" s="1843"/>
      <c r="G2" s="1844"/>
      <c r="H2" s="1836"/>
      <c r="I2" s="1836"/>
      <c r="J2" s="1836"/>
      <c r="K2" s="1837"/>
      <c r="L2" s="1836"/>
      <c r="M2" s="1836"/>
    </row>
    <row r="3" spans="1:37" ht="18" customHeight="1" thickBot="1">
      <c r="A3" s="1845" t="s">
        <v>1511</v>
      </c>
      <c r="B3" s="1846">
        <f ca="1">IF(ISERROR(B2*10000/F43),0,ROUND(B2*10000/F43,0))</f>
        <v>14953</v>
      </c>
      <c r="C3" s="1841" t="s">
        <v>1512</v>
      </c>
      <c r="D3" s="1841"/>
      <c r="E3" s="1842"/>
      <c r="F3" s="1843"/>
      <c r="G3" s="1844"/>
      <c r="H3" s="741" t="s">
        <v>1582</v>
      </c>
      <c r="I3" s="1836"/>
      <c r="J3" s="1836"/>
      <c r="K3" s="1837"/>
      <c r="L3" s="1836"/>
      <c r="M3" s="1836"/>
    </row>
    <row r="4" spans="1:37" ht="18" customHeight="1">
      <c r="A4" s="338" t="s">
        <v>1390</v>
      </c>
      <c r="B4" s="339" t="s">
        <v>1391</v>
      </c>
      <c r="C4" s="339" t="s">
        <v>1392</v>
      </c>
      <c r="D4" s="339" t="s">
        <v>1393</v>
      </c>
      <c r="E4" s="340" t="s">
        <v>1394</v>
      </c>
      <c r="F4" s="341"/>
      <c r="G4" s="1847"/>
      <c r="H4" s="338" t="s">
        <v>1390</v>
      </c>
      <c r="I4" s="339" t="s">
        <v>1391</v>
      </c>
      <c r="J4" s="339" t="s">
        <v>1392</v>
      </c>
      <c r="K4" s="339" t="s">
        <v>1393</v>
      </c>
      <c r="L4" s="340" t="s">
        <v>1394</v>
      </c>
      <c r="M4" s="341"/>
    </row>
    <row r="5" spans="1:37" ht="18" customHeight="1">
      <c r="A5" s="342">
        <v>1</v>
      </c>
      <c r="B5" s="343" t="s">
        <v>1395</v>
      </c>
      <c r="C5" s="1289">
        <f ca="1">C6+C10+C12</f>
        <v>19129</v>
      </c>
      <c r="D5" s="1818" t="s">
        <v>1396</v>
      </c>
      <c r="E5" s="1290"/>
      <c r="F5" s="1291"/>
      <c r="G5" s="1847"/>
      <c r="H5" s="342">
        <v>1</v>
      </c>
      <c r="I5" s="343" t="s">
        <v>1395</v>
      </c>
      <c r="J5" s="1289">
        <f ca="1">J6+J10+J12</f>
        <v>0</v>
      </c>
      <c r="K5" s="1818" t="s">
        <v>1396</v>
      </c>
      <c r="L5" s="1290"/>
      <c r="M5" s="1291"/>
    </row>
    <row r="6" spans="1:37" ht="18" customHeight="1">
      <c r="A6" s="1288" t="s">
        <v>1031</v>
      </c>
      <c r="B6" s="3285" t="s">
        <v>1397</v>
      </c>
      <c r="C6" s="1293">
        <f ca="1">ROUND(F6*F8*F7*(1-F9)/10000,0)</f>
        <v>19129</v>
      </c>
      <c r="D6" s="162" t="s">
        <v>3027</v>
      </c>
      <c r="E6" s="345" t="s">
        <v>1399</v>
      </c>
      <c r="F6" s="346">
        <f ca="1">INDIRECT("'数据-取费表'!u"&amp;$G$1)</f>
        <v>3.5</v>
      </c>
      <c r="G6" s="1847"/>
      <c r="H6" s="1288" t="s">
        <v>1031</v>
      </c>
      <c r="I6" s="3285" t="s">
        <v>1397</v>
      </c>
      <c r="J6" s="344">
        <f ca="1">ROUND(M6*M8*M7*(1-M9)/10000,0)</f>
        <v>0</v>
      </c>
      <c r="K6" s="162" t="s">
        <v>3026</v>
      </c>
      <c r="L6" s="345" t="s">
        <v>1399</v>
      </c>
      <c r="M6" s="346">
        <f ca="1">INDIRECT("'数据-取费表'!z"&amp;$G$1)</f>
        <v>0</v>
      </c>
    </row>
    <row r="7" spans="1:37" ht="18" customHeight="1">
      <c r="A7" s="1292"/>
      <c r="B7" s="3286"/>
      <c r="C7" s="1294"/>
      <c r="D7" s="350"/>
      <c r="E7" s="1295" t="s">
        <v>1400</v>
      </c>
      <c r="F7" s="346">
        <f ca="1">IF(INDIRECT("'数据-取费表'!ah"&amp;$G$1)="",INDIRECT("'数据-取费表'!k"&amp;$G$1),INDIRECT("'数据-取费表'!ah"&amp;$G$1))</f>
        <v>166374.91</v>
      </c>
      <c r="G7" s="1847"/>
      <c r="H7" s="347"/>
      <c r="I7" s="3286"/>
      <c r="J7" s="349"/>
      <c r="K7" s="350"/>
      <c r="L7" s="345" t="s">
        <v>1400</v>
      </c>
      <c r="M7" s="346">
        <f ca="1">F7</f>
        <v>166374.91</v>
      </c>
    </row>
    <row r="8" spans="1:37" ht="18" customHeight="1">
      <c r="A8" s="347"/>
      <c r="B8" s="3286"/>
      <c r="C8" s="349"/>
      <c r="D8" s="350"/>
      <c r="E8" s="345" t="s">
        <v>1401</v>
      </c>
      <c r="F8" s="346">
        <f ca="1">INDIRECT("'数据-取费表'!ai"&amp;$G$1)</f>
        <v>365</v>
      </c>
      <c r="G8" s="1847"/>
      <c r="H8" s="347"/>
      <c r="I8" s="3286"/>
      <c r="J8" s="349"/>
      <c r="K8" s="350"/>
      <c r="L8" s="345" t="s">
        <v>1401</v>
      </c>
      <c r="M8" s="346">
        <f ca="1">INDIRECT("'数据-取费表'!ai"&amp;$G$1)</f>
        <v>365</v>
      </c>
    </row>
    <row r="9" spans="1:37" ht="18" customHeight="1">
      <c r="A9" s="347"/>
      <c r="B9" s="3287"/>
      <c r="C9" s="349"/>
      <c r="D9" s="350"/>
      <c r="E9" s="345" t="s">
        <v>1402</v>
      </c>
      <c r="F9" s="355">
        <f ca="1">INDIRECT("'数据-取费表'!w"&amp;$G$1)</f>
        <v>0.1</v>
      </c>
      <c r="G9" s="1847"/>
      <c r="H9" s="347"/>
      <c r="I9" s="3287"/>
      <c r="J9" s="349"/>
      <c r="K9" s="350"/>
      <c r="L9" s="356" t="s">
        <v>1402</v>
      </c>
      <c r="M9" s="357">
        <f ca="1">INDIRECT("'数据-取费表'!ab"&amp;$G$1)</f>
        <v>0</v>
      </c>
    </row>
    <row r="10" spans="1:37" ht="18" customHeight="1">
      <c r="A10" s="1288" t="s">
        <v>1035</v>
      </c>
      <c r="B10" s="1819" t="s">
        <v>1403</v>
      </c>
      <c r="C10" s="359">
        <f ca="1">ROUND(IF(F10="押一",C6/12*F11,IF(F10="押二",C6/12*2*F11,IF(F10="押三",C6/12*3*F11,C11*F11))),0)</f>
        <v>0</v>
      </c>
      <c r="D10" s="1820" t="s">
        <v>3036</v>
      </c>
      <c r="E10" s="356" t="s">
        <v>1404</v>
      </c>
      <c r="F10" s="1363"/>
      <c r="G10" s="1847"/>
      <c r="H10" s="1288" t="s">
        <v>1035</v>
      </c>
      <c r="I10" s="1819" t="s">
        <v>1403</v>
      </c>
      <c r="J10" s="344">
        <f ca="1">ROUND(IF(M10="押一",J6/12*M11,IF(M10="押二",J6/12*2*M11,IF(M10="押三",J6/12*3*M11,J11*M11))),0)</f>
        <v>0</v>
      </c>
      <c r="K10" s="1820" t="s">
        <v>3035</v>
      </c>
      <c r="L10" s="356" t="s">
        <v>1404</v>
      </c>
      <c r="M10" s="1363" t="s">
        <v>1405</v>
      </c>
    </row>
    <row r="11" spans="1:37" ht="18" customHeight="1">
      <c r="A11" s="351"/>
      <c r="B11" s="1821" t="s">
        <v>1382</v>
      </c>
      <c r="C11" s="1175"/>
      <c r="D11" s="1822"/>
      <c r="E11" s="356" t="s">
        <v>1406</v>
      </c>
      <c r="F11" s="357">
        <f ca="1">'数据-取费表'!B39</f>
        <v>1.4999999999999999E-2</v>
      </c>
      <c r="G11" s="1847"/>
      <c r="H11" s="1296"/>
      <c r="I11" s="1821" t="s">
        <v>1382</v>
      </c>
      <c r="J11" s="1175"/>
      <c r="K11" s="745"/>
      <c r="L11" s="356"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3">
        <f ca="1">ROUND(C29*F13,0)</f>
        <v>189561</v>
      </c>
      <c r="D13" s="1328" t="s">
        <v>1409</v>
      </c>
      <c r="E13" s="1328" t="s">
        <v>1410</v>
      </c>
      <c r="F13" s="1329">
        <f ca="1">INDIRECT("'数据-取费表'!y"&amp;$G$1)</f>
        <v>1</v>
      </c>
      <c r="G13" s="1847"/>
      <c r="H13" s="1326">
        <v>2</v>
      </c>
      <c r="I13" s="1327" t="s">
        <v>1408</v>
      </c>
      <c r="J13" s="1287">
        <f ca="1">ROUND(J14*J15,0)</f>
        <v>0</v>
      </c>
      <c r="K13" s="1334" t="s">
        <v>1409</v>
      </c>
      <c r="L13" s="1848"/>
      <c r="M13" s="1849"/>
    </row>
    <row r="14" spans="1:37" ht="18" customHeight="1">
      <c r="A14" s="1198" t="s">
        <v>1030</v>
      </c>
      <c r="B14" s="345" t="s">
        <v>1411</v>
      </c>
      <c r="C14" s="361">
        <f ca="1">INDIRECT("'数据-取费表'!m"&amp;$G$1)+INDIRECT("'数据-取费表'!t"&amp;$G$1)</f>
        <v>133100</v>
      </c>
      <c r="D14" s="1796" t="s">
        <v>1412</v>
      </c>
      <c r="E14" s="1790"/>
      <c r="F14" s="362"/>
      <c r="G14" s="1847"/>
      <c r="H14" s="1198" t="s">
        <v>1031</v>
      </c>
      <c r="I14" s="345" t="s">
        <v>1413</v>
      </c>
      <c r="J14" s="24">
        <f ca="1">C29</f>
        <v>189561</v>
      </c>
      <c r="K14" s="15"/>
      <c r="L14" s="976"/>
      <c r="M14" s="977"/>
    </row>
    <row r="15" spans="1:37" s="1854" customFormat="1" ht="18" customHeight="1" thickBot="1">
      <c r="A15" s="1198" t="s">
        <v>1032</v>
      </c>
      <c r="B15" s="345" t="s">
        <v>1414</v>
      </c>
      <c r="C15" s="24">
        <f ca="1">ROUND(C14*F15,0)</f>
        <v>3993</v>
      </c>
      <c r="D15" s="363" t="s">
        <v>1415</v>
      </c>
      <c r="E15" s="363" t="s">
        <v>1416</v>
      </c>
      <c r="F15" s="364">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7"/>
      <c r="H16" s="1326" t="s">
        <v>1026</v>
      </c>
      <c r="I16" s="1327" t="s">
        <v>1418</v>
      </c>
      <c r="J16" s="353">
        <f ca="1">ROUND(J17+J22+J23+J24,0)</f>
        <v>5682</v>
      </c>
      <c r="K16" s="1334" t="s">
        <v>1419</v>
      </c>
      <c r="L16" s="1335"/>
      <c r="M16" s="1291"/>
    </row>
    <row r="17" spans="1:37" s="1854" customFormat="1" ht="18" customHeight="1">
      <c r="A17" s="1198" t="s">
        <v>1384</v>
      </c>
      <c r="B17" s="345" t="s">
        <v>1420</v>
      </c>
      <c r="C17" s="24">
        <f ca="1">ROUND(F17*(F43+INDIRECT("'数据-取费表'!S"&amp;$G$1))/10000,0)</f>
        <v>3327</v>
      </c>
      <c r="D17" s="345" t="s">
        <v>1421</v>
      </c>
      <c r="E17" s="345" t="s">
        <v>1422</v>
      </c>
      <c r="F17" s="26">
        <f>'数据-取费表'!B35</f>
        <v>200</v>
      </c>
      <c r="G17" s="1850"/>
      <c r="H17" s="1198" t="s">
        <v>1031</v>
      </c>
      <c r="I17" s="345" t="s">
        <v>1423</v>
      </c>
      <c r="J17" s="24">
        <f ca="1">ROUND(IF(项目基本情况!B11="自然人",J6*M17/(1+'数据-取费表'!C42),J18+J19+J20),1)</f>
        <v>1890.4</v>
      </c>
      <c r="K17" s="1796" t="s">
        <v>1424</v>
      </c>
      <c r="L17" s="1794" t="s">
        <v>1425</v>
      </c>
      <c r="M17" s="366">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5" t="s">
        <v>1426</v>
      </c>
      <c r="C18" s="24">
        <f ca="1">ROUND(C14*F18,0)</f>
        <v>1997</v>
      </c>
      <c r="D18" s="345" t="s">
        <v>1415</v>
      </c>
      <c r="E18" s="345" t="s">
        <v>1416</v>
      </c>
      <c r="F18" s="365">
        <f>'数据-取费表'!B36</f>
        <v>1.4999999999999999E-2</v>
      </c>
      <c r="G18" s="1850"/>
      <c r="H18" s="1198" t="s">
        <v>1030</v>
      </c>
      <c r="I18" s="345" t="s">
        <v>1427</v>
      </c>
      <c r="J18" s="24">
        <f ca="1">ROUND(J6*M18/(1+'数据-取费表'!C42),2)</f>
        <v>0</v>
      </c>
      <c r="K18" s="1794" t="s">
        <v>1428</v>
      </c>
      <c r="L18" s="345" t="s">
        <v>1416</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5" t="s">
        <v>1429</v>
      </c>
      <c r="C19" s="24">
        <f ca="1">SUM(C14:C18)</f>
        <v>142417</v>
      </c>
      <c r="D19" s="140" t="s">
        <v>1430</v>
      </c>
      <c r="E19" s="1814"/>
      <c r="F19" s="26"/>
      <c r="G19" s="1847"/>
      <c r="H19" s="1198" t="s">
        <v>1032</v>
      </c>
      <c r="I19" s="345" t="s">
        <v>1431</v>
      </c>
      <c r="J19" s="24">
        <f ca="1">IF(K19="按租金收入计税",ROUND(J6*M19/(1+'数据-取费表'!C42),2),ROUND(C29*M19*0.7,2))</f>
        <v>1592.31</v>
      </c>
      <c r="K19" s="1824" t="s">
        <v>1432</v>
      </c>
      <c r="L19" s="345" t="s">
        <v>1416</v>
      </c>
      <c r="M19" s="365">
        <f>IF(K19="按租金收入计税",'数据-取费表'!B51,'数据-取费表'!B50)</f>
        <v>1.2E-2</v>
      </c>
    </row>
    <row r="20" spans="1:37" s="1854" customFormat="1" ht="18" customHeight="1">
      <c r="A20" s="1198" t="s">
        <v>1035</v>
      </c>
      <c r="B20" s="345" t="s">
        <v>1433</v>
      </c>
      <c r="C20" s="24">
        <f ca="1">ROUND(C19*F20,0)</f>
        <v>2136</v>
      </c>
      <c r="D20" s="367" t="s">
        <v>1434</v>
      </c>
      <c r="E20" s="345" t="s">
        <v>1416</v>
      </c>
      <c r="F20" s="365">
        <f>'数据-取费表'!B37</f>
        <v>1.4999999999999999E-2</v>
      </c>
      <c r="G20" s="1850"/>
      <c r="H20" s="1198" t="s">
        <v>1383</v>
      </c>
      <c r="I20" s="162" t="s">
        <v>1435</v>
      </c>
      <c r="J20" s="25">
        <f ca="1">ROUND(M20*M21/10000,2)</f>
        <v>298.12</v>
      </c>
      <c r="K20" s="368" t="s">
        <v>1436</v>
      </c>
      <c r="L20" s="345" t="s">
        <v>1437</v>
      </c>
      <c r="M20" s="369">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5" t="s">
        <v>1438</v>
      </c>
      <c r="C21" s="24" t="s">
        <v>18</v>
      </c>
      <c r="D21" s="367" t="s">
        <v>1439</v>
      </c>
      <c r="E21" s="345" t="s">
        <v>1440</v>
      </c>
      <c r="F21" s="365">
        <f>'数据-取费表'!B38</f>
        <v>0.02</v>
      </c>
      <c r="G21" s="1850"/>
      <c r="H21" s="370"/>
      <c r="I21" s="354"/>
      <c r="J21" s="29"/>
      <c r="K21" s="371"/>
      <c r="L21" s="345" t="s">
        <v>1441</v>
      </c>
      <c r="M21" s="346">
        <f ca="1">INDIRECT("'数据-取费表'!r"&amp;$G$1)</f>
        <v>149059.75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5" t="s">
        <v>1442</v>
      </c>
      <c r="C22" s="24"/>
      <c r="D22" s="140" t="str">
        <f>IF(F23&lt;=1,"单利计息。","复利计息。")&amp;"建造成本、管理费用、销售费用产生的利息。"</f>
        <v>复利计息。建造成本、管理费用、销售费用产生的利息。</v>
      </c>
      <c r="E22" s="1814"/>
      <c r="F22" s="26"/>
      <c r="G22" s="1847"/>
      <c r="H22" s="1198" t="s">
        <v>1035</v>
      </c>
      <c r="I22" s="345" t="s">
        <v>1443</v>
      </c>
      <c r="J22" s="24">
        <f ca="1">ROUND(J14*M22,1)</f>
        <v>3791.2</v>
      </c>
      <c r="K22" s="1794" t="s">
        <v>1444</v>
      </c>
      <c r="L22" s="345" t="s">
        <v>1416</v>
      </c>
      <c r="M22" s="372">
        <f ca="1">INDIRECT("'数据-取费表'!Ak"&amp;$G$1)</f>
        <v>0.02</v>
      </c>
    </row>
    <row r="23" spans="1:37" s="1854" customFormat="1" ht="18" customHeight="1">
      <c r="A23" s="1198" t="s">
        <v>1030</v>
      </c>
      <c r="B23" s="345" t="s">
        <v>1445</v>
      </c>
      <c r="C23" s="24">
        <f ca="1">IF('数据-取费表'!B22&lt;=1,ROUND(C19*F24*F23/2,0)+ROUND(C20*F24*F23/2,0),ROUND(C19*(POWER((1+F24),F23/2)-1),0)+ROUND(C20*(POWER((1+F24),F23/2)-1),0))</f>
        <v>8634</v>
      </c>
      <c r="D23" s="373" t="str">
        <f>IF(F23&lt;=1,"(建造成本+管理费用)×利率×(建设周期÷2)","(建造成本+管理费用)×((1+利率)^(建设周期÷2)-1)")</f>
        <v>(建造成本+管理费用)×((1+利率)^(建设周期÷2)-1)</v>
      </c>
      <c r="E23" s="345" t="s">
        <v>1446</v>
      </c>
      <c r="F23" s="369">
        <f>'数据-取费表'!B20</f>
        <v>2.5</v>
      </c>
      <c r="G23" s="1850"/>
      <c r="H23" s="1198" t="s">
        <v>1071</v>
      </c>
      <c r="I23" s="345" t="s">
        <v>1447</v>
      </c>
      <c r="J23" s="24">
        <f ca="1">ROUND(J13*M23,1)</f>
        <v>0</v>
      </c>
      <c r="K23" s="1794" t="s">
        <v>1448</v>
      </c>
      <c r="L23" s="345" t="s">
        <v>1449</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5" t="s">
        <v>1451</v>
      </c>
      <c r="C24" s="24">
        <f ca="1">ROUND(IF('数据-取费表'!B22&lt;=1,F21*F24*F23/2,F21*(POWER((1+F24),F23/2)-1)),4)</f>
        <v>1.1999999999999999E-3</v>
      </c>
      <c r="D24" s="373" t="str">
        <f>IF(F23&lt;=1,"销售费用×利率×(建设周期÷2)","销售费用×((1+利率)^(建设周期÷2)-1)")</f>
        <v>销售费用×((1+利率)^(建设周期÷2)-1)</v>
      </c>
      <c r="E24" s="345" t="s">
        <v>1452</v>
      </c>
      <c r="F24" s="375">
        <f ca="1">'数据-取费表'!B40</f>
        <v>4.7500000000000001E-2</v>
      </c>
      <c r="G24" s="1850"/>
      <c r="H24" s="1336" t="s">
        <v>1387</v>
      </c>
      <c r="I24" s="1337" t="s">
        <v>1433</v>
      </c>
      <c r="J24" s="1338">
        <f ca="1">ROUND(J5*M24,1)</f>
        <v>0</v>
      </c>
      <c r="K24" s="1339" t="s">
        <v>1453</v>
      </c>
      <c r="L24" s="1337" t="s">
        <v>1449</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1454</v>
      </c>
      <c r="B25" s="345" t="s">
        <v>1455</v>
      </c>
      <c r="C25" s="24"/>
      <c r="D25" s="140" t="s">
        <v>1456</v>
      </c>
      <c r="E25" s="1814"/>
      <c r="F25" s="26"/>
      <c r="G25" s="1847"/>
      <c r="H25" s="1326" t="s">
        <v>1027</v>
      </c>
      <c r="I25" s="1341" t="s">
        <v>1457</v>
      </c>
      <c r="J25" s="353">
        <f ca="1">J5-J16</f>
        <v>-5682</v>
      </c>
      <c r="K25" s="1342" t="s">
        <v>1458</v>
      </c>
      <c r="L25" s="1343"/>
      <c r="M25" s="1344"/>
    </row>
    <row r="26" spans="1:37">
      <c r="A26" s="1198" t="s">
        <v>1030</v>
      </c>
      <c r="B26" s="345" t="s">
        <v>1459</v>
      </c>
      <c r="C26" s="24">
        <f ca="1">ROUND((C19+C20)*F26,0)</f>
        <v>21683</v>
      </c>
      <c r="D26" s="367" t="s">
        <v>1460</v>
      </c>
      <c r="E26" s="356" t="s">
        <v>1461</v>
      </c>
      <c r="F26" s="355">
        <f ca="1">INDIRECT("'数据-取费表'!q"&amp;$G$1)</f>
        <v>0.15</v>
      </c>
      <c r="G26" s="1847"/>
      <c r="H26" s="342" t="s">
        <v>1028</v>
      </c>
      <c r="I26" s="343" t="s">
        <v>1462</v>
      </c>
      <c r="J26" s="344">
        <f ca="1">IF(J5&lt;&gt;0,ROUND(J25*(1-((1+M28)/(1+M26))^M27)/(M26-M28),0),0)</f>
        <v>0</v>
      </c>
      <c r="K26" s="368" t="s">
        <v>1463</v>
      </c>
      <c r="L26" s="345" t="s">
        <v>1464</v>
      </c>
      <c r="M26" s="355">
        <f ca="1">INDIRECT("'数据-取费表'!I"&amp;$G$1)</f>
        <v>5.5E-2</v>
      </c>
    </row>
    <row r="27" spans="1:37" ht="18" customHeight="1">
      <c r="A27" s="1198" t="s">
        <v>1032</v>
      </c>
      <c r="B27" s="345" t="s">
        <v>1465</v>
      </c>
      <c r="C27" s="24">
        <f ca="1">ROUND(F21*F26,4)</f>
        <v>3.0000000000000001E-3</v>
      </c>
      <c r="D27" s="367" t="s">
        <v>1466</v>
      </c>
      <c r="E27" s="363"/>
      <c r="F27" s="364"/>
      <c r="G27" s="1847"/>
      <c r="H27" s="347"/>
      <c r="I27" s="348"/>
      <c r="J27" s="349"/>
      <c r="K27" s="376" t="s">
        <v>1467</v>
      </c>
      <c r="L27" s="345" t="s">
        <v>1468</v>
      </c>
      <c r="M27" s="377">
        <f ca="1">INDIRECT("'数据-取费表'!ag"&amp;$G$1)</f>
        <v>0</v>
      </c>
    </row>
    <row r="28" spans="1:37" s="1854" customFormat="1" ht="18" customHeight="1">
      <c r="A28" s="1198" t="s">
        <v>1033</v>
      </c>
      <c r="B28" s="345" t="s">
        <v>1469</v>
      </c>
      <c r="C28" s="24">
        <f>ROUND(F28/(1+'数据-取费表'!C42),4)</f>
        <v>5.33E-2</v>
      </c>
      <c r="D28" s="367" t="s">
        <v>1470</v>
      </c>
      <c r="E28" s="345" t="s">
        <v>1416</v>
      </c>
      <c r="F28" s="365">
        <f>'数据-取费表'!B41</f>
        <v>5.6000000000000001E-2</v>
      </c>
      <c r="G28" s="1850"/>
      <c r="H28" s="351"/>
      <c r="I28" s="352"/>
      <c r="J28" s="353"/>
      <c r="K28" s="371"/>
      <c r="L28" s="345" t="s">
        <v>1471</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189561</v>
      </c>
      <c r="D29" s="1339"/>
      <c r="E29" s="1337"/>
      <c r="F29" s="1340"/>
      <c r="G29" s="1850"/>
      <c r="H29" s="378" t="s">
        <v>1029</v>
      </c>
      <c r="I29" s="379" t="s">
        <v>1473</v>
      </c>
      <c r="J29" s="380">
        <f ca="1">ROUND(J26/(1+F40)^F41,0)</f>
        <v>0</v>
      </c>
      <c r="K29" s="381" t="s">
        <v>1474</v>
      </c>
      <c r="L29" s="382"/>
      <c r="M29" s="383">
        <f ca="1">INDIRECT("'数据-取费表'!k"&amp;$G$1)</f>
        <v>166374.91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3">
        <f ca="1">ROUND(C31+C36+C37+C38,0)</f>
        <v>8057</v>
      </c>
      <c r="D30" s="1334" t="s">
        <v>1419</v>
      </c>
      <c r="E30" s="1335"/>
      <c r="F30" s="1291"/>
      <c r="G30" s="1847"/>
      <c r="H30" s="742"/>
      <c r="I30" s="743"/>
      <c r="J30" s="744"/>
      <c r="K30" s="745"/>
      <c r="L30" s="746"/>
      <c r="M30" s="747"/>
    </row>
    <row r="31" spans="1:37" ht="18" customHeight="1">
      <c r="A31" s="1198" t="s">
        <v>1031</v>
      </c>
      <c r="B31" s="345" t="s">
        <v>1423</v>
      </c>
      <c r="C31" s="24">
        <f ca="1">ROUND(IF(项目基本情况!B11="自然人",C6*F31/(1+'数据-取费表'!C42),C32+C33+C34),1)</f>
        <v>3504.5</v>
      </c>
      <c r="D31" s="1796" t="s">
        <v>1424</v>
      </c>
      <c r="E31" s="1794" t="s">
        <v>1475</v>
      </c>
      <c r="F31" s="366">
        <f ca="1">IF(项目基本情况!B11="企业","",IF(INDIRECT("'数据-取费表'!c"&amp;$G$1)="住宅",5%,IF(F6*F7*F8/12/(1+'数据-取费表'!C42)&gt;20000,12%,7%)))</f>
        <v>0.12</v>
      </c>
      <c r="G31" s="1847"/>
      <c r="H31" s="742"/>
      <c r="I31" s="743"/>
      <c r="J31" s="744"/>
      <c r="K31" s="745"/>
      <c r="L31" s="746"/>
      <c r="M31" s="747"/>
    </row>
    <row r="32" spans="1:37" ht="18" customHeight="1">
      <c r="A32" s="1198" t="s">
        <v>1030</v>
      </c>
      <c r="B32" s="345" t="s">
        <v>1427</v>
      </c>
      <c r="C32" s="24">
        <f ca="1">IF(项目基本情况!B11="自然人","——",ROUND(C6*F32/(1+'数据-取费表'!C42),2))</f>
        <v>1020.21</v>
      </c>
      <c r="D32" s="1794" t="s">
        <v>1428</v>
      </c>
      <c r="E32" s="345" t="s">
        <v>1416</v>
      </c>
      <c r="F32" s="375">
        <f>'数据-取费表'!B41</f>
        <v>5.6000000000000001E-2</v>
      </c>
      <c r="G32" s="1847"/>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2186.17</v>
      </c>
      <c r="D33" s="2951" t="s">
        <v>3076</v>
      </c>
      <c r="E33" s="345" t="s">
        <v>1416</v>
      </c>
      <c r="F33" s="365">
        <f>IF(D33="按票据","——",IF(D33="按租金收入计税",'数据-取费表'!B51,'数据-取费表'!B50))</f>
        <v>0.12</v>
      </c>
      <c r="G33" s="1847"/>
      <c r="H33" s="1855"/>
      <c r="I33" s="1856"/>
      <c r="J33" s="1857"/>
      <c r="K33" s="1858"/>
      <c r="L33" s="1855"/>
      <c r="M33" s="1855"/>
    </row>
    <row r="34" spans="1:18" ht="18" customHeight="1">
      <c r="A34" s="1288" t="s">
        <v>1383</v>
      </c>
      <c r="B34" s="162" t="s">
        <v>1435</v>
      </c>
      <c r="C34" s="25">
        <f ca="1">IF(项目基本情况!B11="自然人","——",ROUND(F34*F35/10000,2))</f>
        <v>298.12</v>
      </c>
      <c r="D34" s="368" t="s">
        <v>1436</v>
      </c>
      <c r="E34" s="345" t="s">
        <v>1437</v>
      </c>
      <c r="F34" s="369">
        <f>'数据-取费表'!B52</f>
        <v>20</v>
      </c>
      <c r="G34" s="1847"/>
      <c r="H34" s="742"/>
      <c r="I34" s="1856"/>
      <c r="J34" s="1857"/>
      <c r="K34" s="1859"/>
      <c r="L34" s="1860"/>
      <c r="M34" s="1860"/>
    </row>
    <row r="35" spans="1:18" ht="18" customHeight="1">
      <c r="A35" s="1350"/>
      <c r="B35" s="1348"/>
      <c r="C35" s="29"/>
      <c r="D35" s="371"/>
      <c r="E35" s="345" t="s">
        <v>1441</v>
      </c>
      <c r="F35" s="346">
        <f ca="1">INDIRECT("'数据-取费表'!r"&amp;$G$1)</f>
        <v>149059.75</v>
      </c>
      <c r="G35" s="1847"/>
      <c r="H35" s="742"/>
      <c r="I35" s="1856"/>
      <c r="J35" s="1857"/>
      <c r="K35" s="1858"/>
      <c r="L35" s="1855"/>
      <c r="M35" s="1855"/>
    </row>
    <row r="36" spans="1:18" ht="18" customHeight="1">
      <c r="A36" s="1349" t="s">
        <v>1035</v>
      </c>
      <c r="B36" s="345" t="s">
        <v>1443</v>
      </c>
      <c r="C36" s="24">
        <f ca="1">ROUND(C29*F36,1)</f>
        <v>3791.2</v>
      </c>
      <c r="D36" s="1794" t="s">
        <v>1476</v>
      </c>
      <c r="E36" s="345" t="s">
        <v>1416</v>
      </c>
      <c r="F36" s="372">
        <f ca="1">INDIRECT("'数据-取费表'!Ak"&amp;$G$1)</f>
        <v>0.02</v>
      </c>
      <c r="G36" s="1847"/>
      <c r="H36" s="1855"/>
      <c r="I36" s="1856"/>
      <c r="J36" s="1857"/>
      <c r="K36" s="748"/>
      <c r="L36" s="1855"/>
      <c r="M36" s="1855"/>
    </row>
    <row r="37" spans="1:18" ht="18" customHeight="1">
      <c r="A37" s="1198" t="s">
        <v>1071</v>
      </c>
      <c r="B37" s="345" t="s">
        <v>1447</v>
      </c>
      <c r="C37" s="24">
        <f ca="1">ROUND(C13*F37,1)</f>
        <v>379.1</v>
      </c>
      <c r="D37" s="1794" t="s">
        <v>1448</v>
      </c>
      <c r="E37" s="345" t="s">
        <v>1449</v>
      </c>
      <c r="F37" s="374">
        <f ca="1">INDIRECT("'数据-取费表'!Al"&amp;$G$1)</f>
        <v>2E-3</v>
      </c>
      <c r="G37" s="1847"/>
      <c r="H37" s="1855"/>
      <c r="I37" s="1856"/>
      <c r="J37" s="1857"/>
      <c r="K37" s="748"/>
      <c r="L37" s="1855"/>
      <c r="M37" s="1855"/>
    </row>
    <row r="38" spans="1:18" ht="18" customHeight="1" thickBot="1">
      <c r="A38" s="1336" t="s">
        <v>1387</v>
      </c>
      <c r="B38" s="1337" t="s">
        <v>1433</v>
      </c>
      <c r="C38" s="1338">
        <f ca="1">ROUND(C5*F38,1)</f>
        <v>382.6</v>
      </c>
      <c r="D38" s="1339" t="s">
        <v>1453</v>
      </c>
      <c r="E38" s="1337" t="s">
        <v>1449</v>
      </c>
      <c r="F38" s="1333">
        <f ca="1">INDIRECT("'数据-取费表'!Am"&amp;$G$1)</f>
        <v>0.02</v>
      </c>
      <c r="G38" s="1847"/>
      <c r="H38" s="1855"/>
      <c r="I38" s="1856"/>
      <c r="J38" s="1857"/>
      <c r="K38" s="1861"/>
      <c r="L38" s="1855"/>
      <c r="M38" s="1855"/>
    </row>
    <row r="39" spans="1:18" ht="24.6" customHeight="1" thickTop="1">
      <c r="A39" s="1326" t="s">
        <v>1027</v>
      </c>
      <c r="B39" s="1341" t="s">
        <v>1477</v>
      </c>
      <c r="C39" s="353">
        <f ca="1">C5-C30</f>
        <v>11072</v>
      </c>
      <c r="D39" s="1342" t="s">
        <v>1478</v>
      </c>
      <c r="E39" s="1343"/>
      <c r="F39" s="1344"/>
      <c r="G39" s="1847"/>
      <c r="H39" s="1855"/>
      <c r="I39" s="1856"/>
      <c r="J39" s="1857"/>
      <c r="K39" s="1861"/>
      <c r="L39" s="1855"/>
      <c r="M39" s="1855"/>
    </row>
    <row r="40" spans="1:18" ht="18" customHeight="1">
      <c r="A40" s="342" t="s">
        <v>1028</v>
      </c>
      <c r="B40" s="343" t="s">
        <v>1479</v>
      </c>
      <c r="C40" s="344">
        <f ca="1">ROUND(C39*(1-((1+F42)/(1+F40))^F41)/(F40-F42),0)</f>
        <v>248773</v>
      </c>
      <c r="D40" s="368" t="s">
        <v>1463</v>
      </c>
      <c r="E40" s="345" t="s">
        <v>1464</v>
      </c>
      <c r="F40" s="355">
        <f ca="1">INDIRECT("'数据-取费表'!I"&amp;$G$1)</f>
        <v>5.5E-2</v>
      </c>
      <c r="G40" s="1847"/>
      <c r="H40" s="1835"/>
      <c r="I40" s="1856"/>
      <c r="J40" s="1857"/>
      <c r="K40" s="1861"/>
      <c r="L40" s="1835"/>
      <c r="M40" s="1835"/>
    </row>
    <row r="41" spans="1:18" ht="18" customHeight="1">
      <c r="A41" s="347"/>
      <c r="B41" s="348"/>
      <c r="C41" s="349"/>
      <c r="D41" s="376" t="s">
        <v>1480</v>
      </c>
      <c r="E41" s="345" t="s">
        <v>1468</v>
      </c>
      <c r="F41" s="377">
        <f ca="1">IF(INDIRECT("'数据-取费表'!af"&amp;$G$1)=0,INDIRECT("'数据-取费表'!ae"&amp;$G$1),INDIRECT("'数据-取费表'!af"&amp;$G$1))</f>
        <v>38.86</v>
      </c>
      <c r="G41" s="1847"/>
      <c r="H41" s="729"/>
      <c r="I41" s="1856"/>
      <c r="J41" s="1857"/>
      <c r="K41" s="748"/>
      <c r="L41" s="729"/>
      <c r="M41" s="729"/>
    </row>
    <row r="42" spans="1:18" ht="18" customHeight="1">
      <c r="A42" s="351"/>
      <c r="B42" s="352"/>
      <c r="C42" s="353"/>
      <c r="D42" s="371"/>
      <c r="E42" s="345" t="s">
        <v>1471</v>
      </c>
      <c r="F42" s="355">
        <f ca="1">INDIRECT("'数据-取费表'!v"&amp;$G$1)</f>
        <v>2.5000000000000001E-2</v>
      </c>
      <c r="G42" s="1847"/>
      <c r="H42" s="729"/>
      <c r="I42" s="1856"/>
      <c r="J42" s="1857"/>
      <c r="K42" s="748"/>
      <c r="L42" s="729"/>
      <c r="M42" s="729"/>
    </row>
    <row r="43" spans="1:18" ht="18" customHeight="1" thickBot="1">
      <c r="A43" s="378" t="s">
        <v>1029</v>
      </c>
      <c r="B43" s="379" t="s">
        <v>1481</v>
      </c>
      <c r="C43" s="380">
        <f ca="1">ROUND(C40*10000/F43,0)</f>
        <v>14953</v>
      </c>
      <c r="D43" s="381" t="s">
        <v>1482</v>
      </c>
      <c r="E43" s="382" t="s">
        <v>1483</v>
      </c>
      <c r="F43" s="383">
        <f ca="1">INDIRECT("'数据-取费表'!k"&amp;$G$1)</f>
        <v>166374.91</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1513</v>
      </c>
      <c r="P45" s="1835"/>
      <c r="Q45" s="1835"/>
      <c r="R45" s="1835"/>
    </row>
    <row r="46" spans="1:18" s="1838" customFormat="1" ht="13.5" thickBot="1">
      <c r="A46" s="1866" t="s">
        <v>1514</v>
      </c>
      <c r="C46" s="1867">
        <f ca="1">C68-C40</f>
        <v>-573245</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2" t="s">
        <v>1390</v>
      </c>
      <c r="B47" s="1194" t="s">
        <v>1391</v>
      </c>
      <c r="C47" s="1364" t="s">
        <v>1392</v>
      </c>
      <c r="D47" s="1194" t="s">
        <v>1393</v>
      </c>
      <c r="E47" s="1276" t="s">
        <v>1394</v>
      </c>
      <c r="F47" s="1277"/>
      <c r="G47" s="789"/>
      <c r="I47" s="1876" t="s">
        <v>1520</v>
      </c>
      <c r="J47" s="1877" t="s">
        <v>3077</v>
      </c>
      <c r="K47" s="1878" t="s">
        <v>1521</v>
      </c>
      <c r="L47" s="1879">
        <f ca="1">INDIRECT("'数据-取费表'!d"&amp;$G$1)</f>
        <v>40</v>
      </c>
      <c r="M47" s="1834" t="str">
        <f>IF(ISNUMBER(FIND("住宅",C1)),"住宅","非住宅")</f>
        <v>非住宅</v>
      </c>
      <c r="O47" s="1880" t="s">
        <v>1036</v>
      </c>
      <c r="P47" s="1881" t="s">
        <v>1522</v>
      </c>
      <c r="Q47" s="1882">
        <f ca="1">C40+J29</f>
        <v>248773</v>
      </c>
      <c r="R47" s="1882" t="s">
        <v>1523</v>
      </c>
    </row>
    <row r="48" spans="1:18" s="1838" customFormat="1" ht="28.5" thickBot="1">
      <c r="A48" s="1357" t="s">
        <v>1131</v>
      </c>
      <c r="B48" s="343" t="s">
        <v>1395</v>
      </c>
      <c r="C48" s="1813">
        <f ca="1">C49+C53+C55</f>
        <v>0</v>
      </c>
      <c r="D48" s="1359"/>
      <c r="E48" s="1360"/>
      <c r="F48" s="1178"/>
      <c r="G48" s="789"/>
      <c r="H48" s="790"/>
      <c r="I48" s="1883" t="s">
        <v>1524</v>
      </c>
      <c r="J48" s="1884" t="s">
        <v>3078</v>
      </c>
      <c r="K48" s="1885" t="s">
        <v>1525</v>
      </c>
      <c r="L48" s="1886">
        <f ca="1">INDIRECT("'数据-取费表'!f"&amp;$G$1)</f>
        <v>38.96</v>
      </c>
      <c r="O48" s="1880" t="s">
        <v>1037</v>
      </c>
      <c r="P48" s="1881" t="s">
        <v>1526</v>
      </c>
      <c r="Q48" s="1882" t="str">
        <f ca="1">J60</f>
        <v>0</v>
      </c>
      <c r="R48" s="1882" t="s">
        <v>1527</v>
      </c>
    </row>
    <row r="49" spans="1:18" s="1838" customFormat="1" ht="13.5" thickBot="1">
      <c r="A49" s="1191" t="s">
        <v>1132</v>
      </c>
      <c r="B49" s="1825" t="s">
        <v>1484</v>
      </c>
      <c r="C49" s="1361">
        <f ca="1">ROUND(F49*F51*F50*(1-F52)/10000,0)</f>
        <v>0</v>
      </c>
      <c r="D49" s="1273" t="s">
        <v>3028</v>
      </c>
      <c r="E49" s="1826" t="s">
        <v>1485</v>
      </c>
      <c r="F49" s="1278"/>
      <c r="G49" s="1887"/>
      <c r="H49" s="790"/>
      <c r="I49" s="1883" t="s">
        <v>1528</v>
      </c>
      <c r="J49" s="1888"/>
      <c r="K49" s="1885" t="s">
        <v>1529</v>
      </c>
      <c r="L49" s="1889"/>
      <c r="O49" s="1890" t="s">
        <v>1038</v>
      </c>
      <c r="P49" s="1881" t="s">
        <v>1530</v>
      </c>
      <c r="Q49" s="1882">
        <f ca="1">C29</f>
        <v>189561</v>
      </c>
      <c r="R49" s="1882" t="s">
        <v>1523</v>
      </c>
    </row>
    <row r="50" spans="1:18" s="1838" customFormat="1" ht="13.5" thickBot="1">
      <c r="A50" s="1192"/>
      <c r="B50" s="1195"/>
      <c r="C50" s="1365"/>
      <c r="D50" s="1169"/>
      <c r="E50" s="1274" t="s">
        <v>1400</v>
      </c>
      <c r="F50" s="1275">
        <f ca="1">F7</f>
        <v>166374.91</v>
      </c>
      <c r="H50" s="790"/>
      <c r="I50" s="1883" t="s">
        <v>1531</v>
      </c>
      <c r="J50" s="1891">
        <f>SUMPRODUCT((I63:I65=J47)*(J62:L62=J48)*(J63:L65))</f>
        <v>60</v>
      </c>
      <c r="K50" s="1885" t="s">
        <v>1532</v>
      </c>
      <c r="L50" s="1889"/>
      <c r="M50" s="1892"/>
      <c r="O50" s="1890" t="s">
        <v>1039</v>
      </c>
      <c r="P50" s="1881" t="s">
        <v>1533</v>
      </c>
      <c r="Q50" s="1893" t="e">
        <f ca="1">J58</f>
        <v>#VALUE!</v>
      </c>
      <c r="R50" s="1882"/>
    </row>
    <row r="51" spans="1:18" s="1838" customFormat="1" ht="13.5" thickBot="1">
      <c r="A51" s="1193"/>
      <c r="B51" s="1195"/>
      <c r="C51" s="1196"/>
      <c r="D51" s="1169"/>
      <c r="E51" s="1197" t="s">
        <v>1401</v>
      </c>
      <c r="F51" s="346">
        <f ca="1">F8</f>
        <v>365</v>
      </c>
      <c r="I51" s="1894" t="s">
        <v>1534</v>
      </c>
      <c r="J51" s="1895">
        <f>IF(J49="",J50,J49+J50-YEAR('数据-取费表'!B2))</f>
        <v>60</v>
      </c>
      <c r="K51" s="1896" t="s">
        <v>1535</v>
      </c>
      <c r="L51" s="1897">
        <f ca="1">ROUND(-PV(INDIRECT("'数据-取费表'!h"&amp;$G$1),L48,(C39-C13*C76),0),0)</f>
        <v>188348</v>
      </c>
      <c r="M51" s="1898"/>
      <c r="O51" s="1890" t="s">
        <v>1040</v>
      </c>
      <c r="P51" s="1881" t="s">
        <v>1536</v>
      </c>
      <c r="Q51" s="1893">
        <f>J52</f>
        <v>0</v>
      </c>
      <c r="R51" s="1882"/>
    </row>
    <row r="52" spans="1:18" s="1838" customFormat="1" ht="13.5" thickBot="1">
      <c r="A52" s="1193"/>
      <c r="B52" s="1195"/>
      <c r="C52" s="1196"/>
      <c r="D52" s="1169"/>
      <c r="E52" s="1197" t="s">
        <v>1402</v>
      </c>
      <c r="F52" s="1272"/>
      <c r="I52" s="1899" t="s">
        <v>1537</v>
      </c>
      <c r="J52" s="1900"/>
      <c r="K52" s="1899" t="s">
        <v>1538</v>
      </c>
      <c r="L52" s="1900"/>
      <c r="O52" s="1890" t="s">
        <v>1041</v>
      </c>
      <c r="P52" s="1881" t="s">
        <v>1539</v>
      </c>
      <c r="Q52" s="1882">
        <f ca="1">J53</f>
        <v>38.86</v>
      </c>
      <c r="R52" s="1882" t="s">
        <v>1540</v>
      </c>
    </row>
    <row r="53" spans="1:18" s="1838" customFormat="1" ht="24.75" thickBot="1">
      <c r="A53" s="1402" t="s">
        <v>1133</v>
      </c>
      <c r="B53" s="1827" t="s">
        <v>1403</v>
      </c>
      <c r="C53" s="359">
        <f ca="1">ROUND(IF(F53="押一",C49/12*F11,IF(F53="押二",C49/12*2*F11,IF(F53="押三",C49/12*3*F11,C54*F11))),0)</f>
        <v>0</v>
      </c>
      <c r="D53" s="1820" t="s">
        <v>3035</v>
      </c>
      <c r="E53" s="356" t="s">
        <v>1404</v>
      </c>
      <c r="F53" s="1363"/>
      <c r="I53" s="1901" t="s">
        <v>1541</v>
      </c>
      <c r="J53" s="2948">
        <f ca="1">IF(M47="住宅",IF(D1="——",MAX(J51,L48),MAX(J51,L48-'数据-取费表'!B24)),IF(D1="——",MIN(J51,L48),MIN(J51,L48-'数据-取费表'!B24)))</f>
        <v>38.86</v>
      </c>
      <c r="K53" s="3283" t="s">
        <v>1542</v>
      </c>
      <c r="L53" s="3284"/>
      <c r="O53" s="1880" t="s">
        <v>1042</v>
      </c>
      <c r="P53" s="1881" t="s">
        <v>1543</v>
      </c>
      <c r="Q53" s="1882">
        <f ca="1">Q47+Q48</f>
        <v>248773</v>
      </c>
      <c r="R53" s="1882" t="s">
        <v>1043</v>
      </c>
    </row>
    <row r="54" spans="1:18" s="1838" customFormat="1" ht="13.5" thickBot="1">
      <c r="A54" s="1403"/>
      <c r="B54" s="1821" t="s">
        <v>1382</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0" t="s">
        <v>1071</v>
      </c>
      <c r="B55" s="1823" t="s">
        <v>1407</v>
      </c>
      <c r="C55" s="1331"/>
      <c r="D55" s="1820"/>
      <c r="E55" s="1828"/>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3">
        <v>2</v>
      </c>
      <c r="B56" s="1174" t="s">
        <v>1408</v>
      </c>
      <c r="C56" s="274">
        <f ca="1">C13</f>
        <v>189561</v>
      </c>
      <c r="D56" s="1909"/>
      <c r="E56" s="1910"/>
      <c r="F56" s="1902"/>
      <c r="I56" s="1911" t="s">
        <v>1548</v>
      </c>
      <c r="J56" s="1912" t="s">
        <v>3074</v>
      </c>
      <c r="K56" s="1883" t="s">
        <v>1549</v>
      </c>
      <c r="L56" s="1886" t="str">
        <f ca="1">IF(L48&lt;J51,"——",L48-J53)</f>
        <v>——</v>
      </c>
      <c r="O56" s="1880" t="s">
        <v>1036</v>
      </c>
      <c r="P56" s="1881" t="s">
        <v>1522</v>
      </c>
      <c r="Q56" s="1882">
        <f ca="1">C40+J29</f>
        <v>248773</v>
      </c>
      <c r="R56" s="1882" t="s">
        <v>1523</v>
      </c>
    </row>
    <row r="57" spans="1:18" s="1838" customFormat="1" ht="24.75" thickBot="1">
      <c r="A57" s="1913"/>
      <c r="B57" s="1166" t="s">
        <v>1472</v>
      </c>
      <c r="C57" s="280">
        <f ca="1">C29</f>
        <v>189561</v>
      </c>
      <c r="D57" s="1914"/>
      <c r="E57" s="1915"/>
      <c r="F57" s="1916"/>
      <c r="I57" s="1917" t="s">
        <v>1550</v>
      </c>
      <c r="J57" s="1918" t="str">
        <f ca="1">IF(OR(M47="住宅",J51&lt;L48,J56="是"),"——",J51-L48)</f>
        <v>——</v>
      </c>
      <c r="K57" s="1883" t="s">
        <v>1551</v>
      </c>
      <c r="L57" s="1886" t="str">
        <f ca="1">IF(L48&lt;J51,"——",IF(L55="比较法",L49,IF(L55="基准地价",L50,L51)))</f>
        <v>——</v>
      </c>
      <c r="O57" s="1880" t="s">
        <v>1037</v>
      </c>
      <c r="P57" s="1881" t="s">
        <v>1552</v>
      </c>
      <c r="Q57" s="1882">
        <f ca="1">L60</f>
        <v>0</v>
      </c>
      <c r="R57" s="1882" t="s">
        <v>1553</v>
      </c>
    </row>
    <row r="58" spans="1:18" s="1838" customFormat="1" ht="24.75" thickBot="1">
      <c r="A58" s="358" t="s">
        <v>1026</v>
      </c>
      <c r="B58" s="1174" t="s">
        <v>1418</v>
      </c>
      <c r="C58" s="359">
        <f ca="1">ROUND(C59+C64+C65+C66,0)</f>
        <v>20392</v>
      </c>
      <c r="D58" s="1176" t="s">
        <v>1419</v>
      </c>
      <c r="E58" s="1177"/>
      <c r="F58" s="1178"/>
      <c r="I58" s="1917" t="s">
        <v>1554</v>
      </c>
      <c r="J58" s="1919" t="e">
        <f ca="1">IF(J55&lt;0.4,0.4,J55)</f>
        <v>#VALUE!</v>
      </c>
      <c r="K58" s="1896" t="s">
        <v>1555</v>
      </c>
      <c r="L58" s="1886" t="e">
        <f ca="1">ROUND(POWER(1+L52,L47-L48)*(POWER(1+L52,L48)-1)/(POWER(1+L52,L47)-1),4)</f>
        <v>#DIV/0!</v>
      </c>
      <c r="O58" s="1890" t="s">
        <v>1038</v>
      </c>
      <c r="P58" s="1881" t="s">
        <v>1556</v>
      </c>
      <c r="Q58" s="1882">
        <f>IF(L55="比较法",L49,IF(L55="基准地价",L50,0))</f>
        <v>0</v>
      </c>
      <c r="R58" s="1882" t="s">
        <v>1523</v>
      </c>
    </row>
    <row r="59" spans="1:18" s="1838" customFormat="1" ht="24.75" thickBot="1">
      <c r="A59" s="1198" t="s">
        <v>1031</v>
      </c>
      <c r="B59" s="1166" t="s">
        <v>1423</v>
      </c>
      <c r="C59" s="24">
        <f ca="1">ROUND(IF(项目基本情况!B11="自然人",C48*F59,C60+C61+C62),1)</f>
        <v>16221.2</v>
      </c>
      <c r="D59" s="1179" t="s">
        <v>1424</v>
      </c>
      <c r="E59" s="1180" t="s">
        <v>1425</v>
      </c>
      <c r="F59" s="366">
        <f ca="1">IF(项目基本情况!B11="企业","",IF(INDIRECT("'数据-取费表'!c"&amp;$G$1)="住宅",5%,IF(F49*F50*F51/12/(1+'数据-取费表'!C42)&gt;20000,12%,7%)))</f>
        <v>7.0000000000000007E-2</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1558</v>
      </c>
      <c r="Q59" s="1893">
        <f>L52</f>
        <v>0</v>
      </c>
      <c r="R59" s="1882"/>
    </row>
    <row r="60" spans="1:18" s="1838" customFormat="1" ht="16.5" thickBot="1">
      <c r="A60" s="1198" t="s">
        <v>1030</v>
      </c>
      <c r="B60" s="1166" t="s">
        <v>1427</v>
      </c>
      <c r="C60" s="24">
        <f ca="1">IF(项目基本情况!B11="自然人","——",ROUND(C48*F60/(1+'数据-取费表'!C42),2))</f>
        <v>0</v>
      </c>
      <c r="D60" s="1180" t="s">
        <v>1428</v>
      </c>
      <c r="E60" s="1166" t="s">
        <v>1416</v>
      </c>
      <c r="F60" s="375">
        <f t="shared" ref="F60:F66" si="0">F32</f>
        <v>5.6000000000000001E-2</v>
      </c>
      <c r="I60" s="1920" t="s">
        <v>1559</v>
      </c>
      <c r="J60" s="1921" t="str">
        <f ca="1">IF(OR(M47="住宅",J51&lt;L48,J56="是"),"0",ROUND(J59/(1+J52)^J53,0))</f>
        <v>0</v>
      </c>
      <c r="K60" s="1922" t="s">
        <v>1560</v>
      </c>
      <c r="L60" s="1921">
        <f ca="1">IF(OR(M47="住宅",L48&lt;J51),0,ROUND(L57*(L58/L59-1),0))</f>
        <v>0</v>
      </c>
      <c r="O60" s="1890" t="s">
        <v>1040</v>
      </c>
      <c r="P60" s="1881" t="s">
        <v>1561</v>
      </c>
      <c r="Q60" s="1882" t="e">
        <f ca="1">L58</f>
        <v>#DIV/0!</v>
      </c>
      <c r="R60" s="1882" t="s">
        <v>1562</v>
      </c>
    </row>
    <row r="61" spans="1:18" s="1838" customFormat="1" ht="13.5" thickBot="1">
      <c r="A61" s="1198" t="s">
        <v>1486</v>
      </c>
      <c r="B61" s="1166" t="s">
        <v>1487</v>
      </c>
      <c r="C61" s="24">
        <f ca="1">IF(项目基本情况!B11="自然人","——",IF(D61="按租金收入计税",ROUND(C48*F61,2),IF(D61="按房产原值计税",ROUND(C57*F61*0.7,2),INDIRECT("'数据-取费表'!Aj"&amp;$G$1))))</f>
        <v>15923.12</v>
      </c>
      <c r="D61" s="1824" t="s">
        <v>1432</v>
      </c>
      <c r="E61" s="1166" t="s">
        <v>1488</v>
      </c>
      <c r="F61" s="365">
        <f t="shared" si="0"/>
        <v>0.12</v>
      </c>
      <c r="I61" s="1923"/>
      <c r="J61" s="1923"/>
      <c r="K61" s="1923"/>
      <c r="L61" s="1923"/>
      <c r="O61" s="1890" t="s">
        <v>1041</v>
      </c>
      <c r="P61" s="1881" t="str">
        <f>K59</f>
        <v>续建工期及建筑物耐用年限下的土地年期修正系数Kn</v>
      </c>
      <c r="Q61" s="1882" t="e">
        <f ca="1">L59</f>
        <v>#DIV/0!</v>
      </c>
      <c r="R61" s="1882" t="s">
        <v>1563</v>
      </c>
    </row>
    <row r="62" spans="1:18" s="1838" customFormat="1" ht="13.5" thickBot="1">
      <c r="A62" s="1198" t="s">
        <v>1489</v>
      </c>
      <c r="B62" s="1165" t="s">
        <v>1490</v>
      </c>
      <c r="C62" s="25">
        <f ca="1">IF(项目基本情况!B11="自然人","——",ROUND(F62*F63/10000,2))</f>
        <v>298.12</v>
      </c>
      <c r="D62" s="1181" t="s">
        <v>1491</v>
      </c>
      <c r="E62" s="1166" t="s">
        <v>1492</v>
      </c>
      <c r="F62" s="369">
        <f t="shared" si="0"/>
        <v>20</v>
      </c>
      <c r="I62" s="1924" t="s">
        <v>1564</v>
      </c>
      <c r="J62" s="1925" t="s">
        <v>1565</v>
      </c>
      <c r="K62" s="1925" t="s">
        <v>1566</v>
      </c>
      <c r="L62" s="1925" t="s">
        <v>1567</v>
      </c>
      <c r="M62" s="1926" t="s">
        <v>1568</v>
      </c>
      <c r="O62" s="1880" t="s">
        <v>1042</v>
      </c>
      <c r="P62" s="1881" t="s">
        <v>1569</v>
      </c>
      <c r="Q62" s="1882">
        <f ca="1">Q56+Q57</f>
        <v>248773</v>
      </c>
      <c r="R62" s="1882" t="s">
        <v>1043</v>
      </c>
    </row>
    <row r="63" spans="1:18" s="1838" customFormat="1" ht="13.5" thickBot="1">
      <c r="A63" s="370"/>
      <c r="B63" s="1172"/>
      <c r="C63" s="29"/>
      <c r="D63" s="1182"/>
      <c r="E63" s="1166" t="s">
        <v>1493</v>
      </c>
      <c r="F63" s="346">
        <f t="shared" ca="1" si="0"/>
        <v>149059.75</v>
      </c>
      <c r="I63" s="1924" t="s">
        <v>1570</v>
      </c>
      <c r="J63" s="1925">
        <v>70</v>
      </c>
      <c r="K63" s="1925">
        <v>50</v>
      </c>
      <c r="L63" s="1925">
        <v>80</v>
      </c>
      <c r="M63" s="1927">
        <v>0.02</v>
      </c>
      <c r="O63" s="1865" t="s">
        <v>1571</v>
      </c>
      <c r="P63" s="1835"/>
      <c r="Q63" s="1835"/>
      <c r="R63" s="1835"/>
    </row>
    <row r="64" spans="1:18" s="1838" customFormat="1" ht="13.5" thickBot="1">
      <c r="A64" s="1198" t="s">
        <v>1494</v>
      </c>
      <c r="B64" s="1166" t="s">
        <v>1495</v>
      </c>
      <c r="C64" s="24">
        <f ca="1">ROUND(C57*F64,1)</f>
        <v>3791.2</v>
      </c>
      <c r="D64" s="1180" t="s">
        <v>1496</v>
      </c>
      <c r="E64" s="1166" t="s">
        <v>1488</v>
      </c>
      <c r="F64" s="372">
        <f t="shared" ca="1" si="0"/>
        <v>0.02</v>
      </c>
      <c r="I64" s="1924" t="s">
        <v>1572</v>
      </c>
      <c r="J64" s="1925">
        <v>50</v>
      </c>
      <c r="K64" s="1925">
        <v>35</v>
      </c>
      <c r="L64" s="1925">
        <v>60</v>
      </c>
      <c r="M64" s="1926">
        <v>0</v>
      </c>
      <c r="O64" s="1873" t="s">
        <v>1516</v>
      </c>
      <c r="P64" s="1874" t="s">
        <v>1517</v>
      </c>
      <c r="Q64" s="1875" t="s">
        <v>1518</v>
      </c>
      <c r="R64" s="1875" t="s">
        <v>1519</v>
      </c>
    </row>
    <row r="65" spans="1:18" s="1838" customFormat="1" ht="13.5" thickBot="1">
      <c r="A65" s="1198" t="s">
        <v>1497</v>
      </c>
      <c r="B65" s="1166" t="s">
        <v>1447</v>
      </c>
      <c r="C65" s="24">
        <f ca="1">ROUND(C56*F65,1)</f>
        <v>379.1</v>
      </c>
      <c r="D65" s="1180" t="s">
        <v>1448</v>
      </c>
      <c r="E65" s="1166" t="s">
        <v>1449</v>
      </c>
      <c r="F65" s="374">
        <f t="shared" ca="1" si="0"/>
        <v>2E-3</v>
      </c>
      <c r="I65" s="1924" t="s">
        <v>1573</v>
      </c>
      <c r="J65" s="1925">
        <v>40</v>
      </c>
      <c r="K65" s="1925">
        <v>30</v>
      </c>
      <c r="L65" s="1925">
        <v>50</v>
      </c>
      <c r="M65" s="1927">
        <v>0.02</v>
      </c>
      <c r="O65" s="1880" t="s">
        <v>1036</v>
      </c>
      <c r="P65" s="1881" t="s">
        <v>1574</v>
      </c>
      <c r="Q65" s="1882">
        <f ca="1">C40+J29</f>
        <v>248773</v>
      </c>
      <c r="R65" s="1882" t="s">
        <v>1523</v>
      </c>
    </row>
    <row r="66" spans="1:18" s="1838" customFormat="1" ht="16.5" thickBot="1">
      <c r="A66" s="1198" t="s">
        <v>1498</v>
      </c>
      <c r="B66" s="1166" t="s">
        <v>1433</v>
      </c>
      <c r="C66" s="24">
        <f ca="1">ROUND(C48*F66,1)</f>
        <v>0</v>
      </c>
      <c r="D66" s="1180" t="s">
        <v>1499</v>
      </c>
      <c r="E66" s="1166" t="s">
        <v>1416</v>
      </c>
      <c r="F66" s="355">
        <f t="shared" ca="1" si="0"/>
        <v>0.02</v>
      </c>
      <c r="O66" s="1880" t="s">
        <v>1037</v>
      </c>
      <c r="P66" s="1881" t="s">
        <v>1552</v>
      </c>
      <c r="Q66" s="1882">
        <f ca="1">L60</f>
        <v>0</v>
      </c>
      <c r="R66" s="1882" t="s">
        <v>1575</v>
      </c>
    </row>
    <row r="67" spans="1:18" s="1838" customFormat="1" ht="16.5" thickBot="1">
      <c r="A67" s="1173" t="s">
        <v>1027</v>
      </c>
      <c r="B67" s="1183" t="s">
        <v>1457</v>
      </c>
      <c r="C67" s="359">
        <f ca="1">C48-C58</f>
        <v>-20392</v>
      </c>
      <c r="D67" s="1179" t="s">
        <v>1458</v>
      </c>
      <c r="E67" s="1184"/>
      <c r="F67" s="1185"/>
      <c r="O67" s="1890" t="s">
        <v>1038</v>
      </c>
      <c r="P67" s="1881" t="s">
        <v>1556</v>
      </c>
      <c r="Q67" s="1928">
        <f ca="1">L51</f>
        <v>188348</v>
      </c>
      <c r="R67" s="1882" t="s">
        <v>1576</v>
      </c>
    </row>
    <row r="68" spans="1:18" s="1838" customFormat="1" ht="16.5" thickBot="1">
      <c r="A68" s="1163" t="s">
        <v>1028</v>
      </c>
      <c r="B68" s="1164" t="s">
        <v>1479</v>
      </c>
      <c r="C68" s="344">
        <f ca="1">ROUND(C67*(1-((1+F70)/(1+F68))^F69)/(F68-F70),0)</f>
        <v>-324472</v>
      </c>
      <c r="D68" s="1181" t="s">
        <v>1463</v>
      </c>
      <c r="E68" s="1166" t="s">
        <v>1464</v>
      </c>
      <c r="F68" s="355">
        <f ca="1">F40</f>
        <v>5.5E-2</v>
      </c>
      <c r="O68" s="1890" t="s">
        <v>1039</v>
      </c>
      <c r="P68" s="1929" t="s">
        <v>1577</v>
      </c>
      <c r="Q68" s="1882">
        <f ca="1">ROUND(Q69-Q70*Q71,0)</f>
        <v>11072</v>
      </c>
      <c r="R68" s="1882" t="s">
        <v>1047</v>
      </c>
    </row>
    <row r="69" spans="1:18" s="1838" customFormat="1" ht="13.5" thickBot="1">
      <c r="A69" s="1167"/>
      <c r="B69" s="1168"/>
      <c r="C69" s="349"/>
      <c r="D69" s="1186" t="s">
        <v>1467</v>
      </c>
      <c r="E69" s="1166" t="s">
        <v>1468</v>
      </c>
      <c r="F69" s="377">
        <f ca="1">F41</f>
        <v>38.86</v>
      </c>
      <c r="O69" s="1890" t="s">
        <v>1044</v>
      </c>
      <c r="P69" s="1929" t="s">
        <v>1578</v>
      </c>
      <c r="Q69" s="1882">
        <f ca="1">C39</f>
        <v>11072</v>
      </c>
      <c r="R69" s="1882" t="s">
        <v>1523</v>
      </c>
    </row>
    <row r="70" spans="1:18" s="1838" customFormat="1" ht="13.5" thickBot="1">
      <c r="A70" s="1170"/>
      <c r="B70" s="1171"/>
      <c r="C70" s="353"/>
      <c r="D70" s="1182"/>
      <c r="E70" s="1166" t="s">
        <v>1471</v>
      </c>
      <c r="F70" s="1272"/>
      <c r="O70" s="1890" t="s">
        <v>1045</v>
      </c>
      <c r="P70" s="1929" t="s">
        <v>1579</v>
      </c>
      <c r="Q70" s="1882">
        <f ca="1">C13</f>
        <v>189561</v>
      </c>
      <c r="R70" s="1882" t="s">
        <v>1523</v>
      </c>
    </row>
    <row r="71" spans="1:18" s="1838" customFormat="1" ht="13.5" thickBot="1">
      <c r="A71" s="1187" t="s">
        <v>1029</v>
      </c>
      <c r="B71" s="1188" t="s">
        <v>1481</v>
      </c>
      <c r="C71" s="380">
        <f ca="1">ROUND(C68*10000/F71,0)</f>
        <v>-19502</v>
      </c>
      <c r="D71" s="1189" t="s">
        <v>1482</v>
      </c>
      <c r="E71" s="1190" t="s">
        <v>1483</v>
      </c>
      <c r="F71" s="383">
        <f ca="1">F43</f>
        <v>166374.91</v>
      </c>
      <c r="O71" s="1890" t="s">
        <v>1046</v>
      </c>
      <c r="P71" s="1929" t="s">
        <v>1580</v>
      </c>
      <c r="Q71" s="1893">
        <f ca="1">C76</f>
        <v>0</v>
      </c>
      <c r="R71" s="1882"/>
    </row>
    <row r="72" spans="1:18" s="1838" customFormat="1" ht="13.5" thickBot="1">
      <c r="B72" s="793"/>
      <c r="C72" s="793"/>
      <c r="O72" s="1890" t="s">
        <v>1040</v>
      </c>
      <c r="P72" s="1881" t="s">
        <v>1558</v>
      </c>
      <c r="Q72" s="1893">
        <f>L52</f>
        <v>0</v>
      </c>
      <c r="R72" s="1882"/>
    </row>
    <row r="73" spans="1:18" ht="16.5" thickBot="1">
      <c r="A73" s="1838"/>
      <c r="B73" s="793"/>
      <c r="C73" s="793"/>
      <c r="D73" s="1838"/>
      <c r="E73" s="1838"/>
      <c r="F73" s="1838"/>
      <c r="O73" s="1890" t="s">
        <v>1041</v>
      </c>
      <c r="P73" s="1881" t="s">
        <v>1561</v>
      </c>
      <c r="Q73" s="1882" t="e">
        <f ca="1">L58</f>
        <v>#DIV/0!</v>
      </c>
      <c r="R73" s="1882" t="s">
        <v>1562</v>
      </c>
    </row>
    <row r="74" spans="1:18" ht="13.5" thickBot="1">
      <c r="A74" s="1838"/>
      <c r="B74" s="315" t="s">
        <v>1581</v>
      </c>
      <c r="C74" s="1931"/>
      <c r="D74" s="1838"/>
      <c r="E74" s="1838"/>
      <c r="F74" s="1838"/>
      <c r="O74" s="1890" t="s">
        <v>1048</v>
      </c>
      <c r="P74" s="1881" t="str">
        <f>K59</f>
        <v>续建工期及建筑物耐用年限下的土地年期修正系数Kn</v>
      </c>
      <c r="Q74" s="1882" t="e">
        <f ca="1">L59</f>
        <v>#DIV/0!</v>
      </c>
      <c r="R74" s="1882" t="s">
        <v>1563</v>
      </c>
    </row>
    <row r="75" spans="1:18" ht="13.5" thickBot="1">
      <c r="A75" s="1838"/>
      <c r="B75" s="384" t="s">
        <v>1500</v>
      </c>
      <c r="C75" s="385">
        <f ca="1">ROUND(C13*C76,0)</f>
        <v>0</v>
      </c>
      <c r="D75" s="1838"/>
      <c r="E75" s="1838"/>
      <c r="F75" s="1838"/>
      <c r="K75" s="1864"/>
      <c r="L75" s="1838"/>
      <c r="O75" s="1880" t="s">
        <v>1042</v>
      </c>
      <c r="P75" s="1881" t="s">
        <v>1543</v>
      </c>
      <c r="Q75" s="1882">
        <f ca="1">Q65+Q66</f>
        <v>248773</v>
      </c>
      <c r="R75" s="1882" t="s">
        <v>1043</v>
      </c>
    </row>
    <row r="76" spans="1:18">
      <c r="B76" s="386" t="s">
        <v>1501</v>
      </c>
      <c r="C76" s="387">
        <f ca="1">INDIRECT("'数据-取费表'!j"&amp;$G$1)</f>
        <v>0</v>
      </c>
      <c r="I76" s="1838"/>
      <c r="J76" s="1838"/>
      <c r="K76" s="1864"/>
      <c r="L76" s="1838"/>
    </row>
    <row r="77" spans="1:18">
      <c r="B77" s="388" t="s">
        <v>1502</v>
      </c>
      <c r="C77" s="389"/>
      <c r="I77" s="1838"/>
      <c r="J77" s="1838"/>
      <c r="K77" s="1864"/>
      <c r="L77" s="1838"/>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0.23799999999999999</v>
      </c>
    </row>
    <row r="83" spans="2:3">
      <c r="B83" s="315" t="s">
        <v>1508</v>
      </c>
      <c r="C83" s="316">
        <f ca="1">ROUND(C13/C40,3)</f>
        <v>0.76200000000000001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U43" sqref="U4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875" style="300" customWidth="1"/>
    <col min="6" max="6" width="10.625" style="300" customWidth="1"/>
    <col min="7" max="7" width="4.875" style="300" customWidth="1"/>
    <col min="8" max="8" width="8.5" style="300" customWidth="1"/>
    <col min="9" max="9" width="21.125" style="300" customWidth="1"/>
    <col min="10" max="10" width="12.125" style="300" customWidth="1"/>
    <col min="11" max="11" width="40.125" style="1930" customWidth="1"/>
    <col min="12" max="12" width="16.375" style="300" customWidth="1"/>
    <col min="13" max="13" width="13" style="300" customWidth="1"/>
    <col min="14" max="14" width="13.875" style="1838" customWidth="1"/>
    <col min="15" max="15" width="5.125" style="1838" customWidth="1"/>
    <col min="16" max="16" width="25.875" style="1838" customWidth="1"/>
    <col min="17" max="17" width="13.875" style="1838" customWidth="1"/>
    <col min="18" max="18" width="20.5" style="1838" customWidth="1"/>
    <col min="19" max="19" width="13.125" style="1838" customWidth="1"/>
    <col min="20" max="37" width="9" style="1838"/>
    <col min="38" max="16384" width="9" style="300"/>
  </cols>
  <sheetData>
    <row r="1" spans="1:37" s="335" customFormat="1" ht="21">
      <c r="A1" s="1829" t="s">
        <v>1583</v>
      </c>
      <c r="B1" s="779"/>
      <c r="C1" s="1833"/>
      <c r="D1" s="1816"/>
      <c r="E1" s="1817" t="s">
        <v>1381</v>
      </c>
      <c r="F1" s="1280">
        <f ca="1">J53</f>
        <v>-0.10000000000000009</v>
      </c>
      <c r="G1" s="183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1584</v>
      </c>
      <c r="B2" s="1840" t="e">
        <f ca="1">ROUND(D2/10000,0)</f>
        <v>#DIV/0!</v>
      </c>
      <c r="C2" s="1841" t="s">
        <v>1585</v>
      </c>
      <c r="D2" s="1933" t="e">
        <f ca="1">C40+J29+L46</f>
        <v>#DIV/0!</v>
      </c>
      <c r="E2" s="1842" t="s">
        <v>1586</v>
      </c>
      <c r="F2" s="1843"/>
      <c r="G2" s="1844"/>
      <c r="H2" s="1836"/>
      <c r="I2" s="1836"/>
      <c r="J2" s="1836"/>
      <c r="K2" s="1837"/>
      <c r="L2" s="1836"/>
      <c r="M2" s="1836"/>
    </row>
    <row r="3" spans="1:37" ht="18" customHeight="1" thickBot="1">
      <c r="A3" s="1845" t="s">
        <v>1587</v>
      </c>
      <c r="B3" s="1846">
        <f ca="1">IF(ISERROR(D2/F43),0,ROUND(D2/F43,0))</f>
        <v>0</v>
      </c>
      <c r="C3" s="1841" t="s">
        <v>1588</v>
      </c>
      <c r="D3" s="1841"/>
      <c r="E3" s="1842"/>
      <c r="F3" s="1843"/>
      <c r="G3" s="1844"/>
      <c r="H3" s="741" t="s">
        <v>1582</v>
      </c>
      <c r="I3" s="1836"/>
      <c r="J3" s="1836"/>
      <c r="K3" s="1837"/>
      <c r="L3" s="1836"/>
      <c r="M3" s="1836"/>
    </row>
    <row r="4" spans="1:37" ht="18" customHeight="1">
      <c r="A4" s="338" t="s">
        <v>1589</v>
      </c>
      <c r="B4" s="339" t="s">
        <v>1590</v>
      </c>
      <c r="C4" s="339" t="s">
        <v>1591</v>
      </c>
      <c r="D4" s="339" t="s">
        <v>1592</v>
      </c>
      <c r="E4" s="340" t="s">
        <v>1593</v>
      </c>
      <c r="F4" s="341"/>
      <c r="G4" s="1847"/>
      <c r="H4" s="338" t="s">
        <v>1589</v>
      </c>
      <c r="I4" s="339" t="s">
        <v>1590</v>
      </c>
      <c r="J4" s="339" t="s">
        <v>1591</v>
      </c>
      <c r="K4" s="339" t="s">
        <v>1592</v>
      </c>
      <c r="L4" s="340" t="s">
        <v>1593</v>
      </c>
      <c r="M4" s="341"/>
    </row>
    <row r="5" spans="1:37" ht="18" customHeight="1">
      <c r="A5" s="342">
        <v>1</v>
      </c>
      <c r="B5" s="343" t="s">
        <v>1594</v>
      </c>
      <c r="C5" s="1289">
        <f ca="1">C6+C10+C12</f>
        <v>0</v>
      </c>
      <c r="D5" s="1818" t="s">
        <v>1595</v>
      </c>
      <c r="E5" s="1290"/>
      <c r="F5" s="1291"/>
      <c r="G5" s="1847"/>
      <c r="H5" s="342">
        <v>1</v>
      </c>
      <c r="I5" s="343" t="s">
        <v>1594</v>
      </c>
      <c r="J5" s="1289">
        <f ca="1">J6+J10+J12</f>
        <v>0</v>
      </c>
      <c r="K5" s="1818" t="s">
        <v>1595</v>
      </c>
      <c r="L5" s="1290"/>
      <c r="M5" s="1291"/>
    </row>
    <row r="6" spans="1:37" ht="18" customHeight="1">
      <c r="A6" s="1288" t="s">
        <v>1031</v>
      </c>
      <c r="B6" s="3285" t="s">
        <v>1397</v>
      </c>
      <c r="C6" s="1293">
        <f ca="1">ROUND(F6*F8*F7*(1-F9),0)</f>
        <v>0</v>
      </c>
      <c r="D6" s="162" t="s">
        <v>3024</v>
      </c>
      <c r="E6" s="345" t="s">
        <v>1399</v>
      </c>
      <c r="F6" s="346">
        <f ca="1">INDIRECT("'数据-取费表'!u"&amp;$G$1)</f>
        <v>0</v>
      </c>
      <c r="G6" s="1847"/>
      <c r="H6" s="1288" t="s">
        <v>1031</v>
      </c>
      <c r="I6" s="3285" t="s">
        <v>1397</v>
      </c>
      <c r="J6" s="344">
        <f ca="1">ROUND(M6*M8*M7*(1-M9),0)</f>
        <v>0</v>
      </c>
      <c r="K6" s="1830" t="s">
        <v>3025</v>
      </c>
      <c r="L6" s="345" t="s">
        <v>1399</v>
      </c>
      <c r="M6" s="346">
        <f ca="1">INDIRECT("'数据-取费表'!z"&amp;$G$1)</f>
        <v>0</v>
      </c>
    </row>
    <row r="7" spans="1:37" ht="18" customHeight="1">
      <c r="A7" s="1292"/>
      <c r="B7" s="3286"/>
      <c r="C7" s="1294"/>
      <c r="D7" s="350"/>
      <c r="E7" s="1295" t="s">
        <v>1400</v>
      </c>
      <c r="F7" s="346">
        <f ca="1">IF(INDIRECT("'数据-取费表'!ah"&amp;$G$1)="",INDIRECT("'数据-取费表'!k"&amp;$G$1),INDIRECT("'数据-取费表'!ah"&amp;$G$1))</f>
        <v>0</v>
      </c>
      <c r="G7" s="1847"/>
      <c r="H7" s="347"/>
      <c r="I7" s="3286"/>
      <c r="J7" s="349"/>
      <c r="K7" s="350"/>
      <c r="L7" s="345" t="s">
        <v>1400</v>
      </c>
      <c r="M7" s="346">
        <f ca="1">F7</f>
        <v>0</v>
      </c>
    </row>
    <row r="8" spans="1:37" ht="18" customHeight="1">
      <c r="A8" s="347"/>
      <c r="B8" s="3286"/>
      <c r="C8" s="349"/>
      <c r="D8" s="350"/>
      <c r="E8" s="345" t="s">
        <v>1401</v>
      </c>
      <c r="F8" s="346">
        <f ca="1">INDIRECT("'数据-取费表'!ai"&amp;$G$1)</f>
        <v>0</v>
      </c>
      <c r="G8" s="1847"/>
      <c r="H8" s="347"/>
      <c r="I8" s="3286"/>
      <c r="J8" s="349"/>
      <c r="K8" s="350"/>
      <c r="L8" s="345" t="s">
        <v>1401</v>
      </c>
      <c r="M8" s="346">
        <f ca="1">INDIRECT("'数据-取费表'!ai"&amp;$G$1)</f>
        <v>0</v>
      </c>
    </row>
    <row r="9" spans="1:37" ht="18" customHeight="1">
      <c r="A9" s="347"/>
      <c r="B9" s="3287"/>
      <c r="C9" s="349"/>
      <c r="D9" s="350"/>
      <c r="E9" s="345" t="s">
        <v>1402</v>
      </c>
      <c r="F9" s="355">
        <f ca="1">INDIRECT("'数据-取费表'!w"&amp;$G$1)</f>
        <v>0</v>
      </c>
      <c r="G9" s="1847"/>
      <c r="H9" s="347"/>
      <c r="I9" s="3287"/>
      <c r="J9" s="349"/>
      <c r="K9" s="350"/>
      <c r="L9" s="356" t="s">
        <v>1402</v>
      </c>
      <c r="M9" s="357">
        <f ca="1">INDIRECT("'数据-取费表'!ab"&amp;$G$1)</f>
        <v>0</v>
      </c>
    </row>
    <row r="10" spans="1:37" ht="18" customHeight="1">
      <c r="A10" s="1288" t="s">
        <v>1035</v>
      </c>
      <c r="B10" s="1819" t="s">
        <v>1403</v>
      </c>
      <c r="C10" s="359">
        <f ca="1">ROUND(IF(F10="押一",C6/12*F11,IF(F10="押二",C6/12*2*F11,IF(F10="押三",C6/12*3*F11,C11*F11))),0)</f>
        <v>0</v>
      </c>
      <c r="D10" s="1820" t="s">
        <v>3035</v>
      </c>
      <c r="E10" s="356" t="s">
        <v>1404</v>
      </c>
      <c r="F10" s="1363"/>
      <c r="G10" s="1847"/>
      <c r="H10" s="1288" t="s">
        <v>1035</v>
      </c>
      <c r="I10" s="1819" t="s">
        <v>1403</v>
      </c>
      <c r="J10" s="344">
        <f ca="1">ROUND(IF(M10="押一",J6/12*M11,IF(M10="押二",J6/12*2*M11,IF(M10="押三",J6/12*3*M11,J11*M11))),0)</f>
        <v>0</v>
      </c>
      <c r="K10" s="1831" t="s">
        <v>3037</v>
      </c>
      <c r="L10" s="356" t="s">
        <v>1404</v>
      </c>
      <c r="M10" s="1363"/>
    </row>
    <row r="11" spans="1:37" ht="18" customHeight="1">
      <c r="A11" s="351"/>
      <c r="B11" s="1821" t="s">
        <v>1596</v>
      </c>
      <c r="C11" s="1175"/>
      <c r="D11" s="350"/>
      <c r="E11" s="356" t="s">
        <v>1406</v>
      </c>
      <c r="F11" s="357">
        <f ca="1">'数据-取费表'!B39</f>
        <v>1.4999999999999999E-2</v>
      </c>
      <c r="G11" s="1847"/>
      <c r="H11" s="1296"/>
      <c r="I11" s="1821" t="s">
        <v>1597</v>
      </c>
      <c r="J11" s="1175"/>
      <c r="K11" s="745"/>
      <c r="L11" s="356"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5" t="s">
        <v>1411</v>
      </c>
      <c r="C14" s="361">
        <f ca="1">ROUND(INDIRECT("'数据-取费表'!l"&amp;$G$1)*F43+'数据-取费表'!L14*INDIRECT("'数据-取费表'!S"&amp;$G$1),0)</f>
        <v>0</v>
      </c>
      <c r="D14" s="1796" t="s">
        <v>1412</v>
      </c>
      <c r="E14" s="1790"/>
      <c r="F14" s="362"/>
      <c r="G14" s="1847"/>
      <c r="H14" s="1198" t="s">
        <v>1031</v>
      </c>
      <c r="I14" s="345" t="s">
        <v>1413</v>
      </c>
      <c r="J14" s="24">
        <f ca="1">C29</f>
        <v>0</v>
      </c>
      <c r="K14" s="15"/>
      <c r="L14" s="976"/>
      <c r="M14" s="977"/>
    </row>
    <row r="15" spans="1:37" s="1854" customFormat="1" ht="18" customHeight="1" thickBot="1">
      <c r="A15" s="1198" t="s">
        <v>1032</v>
      </c>
      <c r="B15" s="345" t="s">
        <v>1414</v>
      </c>
      <c r="C15" s="24">
        <f ca="1">ROUND(C14*F15,0)</f>
        <v>0</v>
      </c>
      <c r="D15" s="363" t="s">
        <v>1415</v>
      </c>
      <c r="E15" s="363" t="s">
        <v>1416</v>
      </c>
      <c r="F15" s="364">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7"/>
      <c r="H16" s="1326" t="s">
        <v>1026</v>
      </c>
      <c r="I16" s="1327" t="s">
        <v>1418</v>
      </c>
      <c r="J16" s="353">
        <f ca="1">ROUND(J17+J22+J23+J24,0)</f>
        <v>0</v>
      </c>
      <c r="K16" s="1334" t="s">
        <v>1419</v>
      </c>
      <c r="L16" s="1335"/>
      <c r="M16" s="1291"/>
    </row>
    <row r="17" spans="1:37" s="1854" customFormat="1" ht="18" customHeight="1">
      <c r="A17" s="1198" t="s">
        <v>1384</v>
      </c>
      <c r="B17" s="345" t="s">
        <v>1420</v>
      </c>
      <c r="C17" s="24">
        <f ca="1">ROUND(F17*(F43+INDIRECT("'数据-取费表'!S"&amp;$G$1)),0)</f>
        <v>0</v>
      </c>
      <c r="D17" s="345" t="s">
        <v>1421</v>
      </c>
      <c r="E17" s="345" t="s">
        <v>1422</v>
      </c>
      <c r="F17" s="26">
        <f>'数据-取费表'!B35</f>
        <v>200</v>
      </c>
      <c r="G17" s="1850"/>
      <c r="H17" s="1198" t="s">
        <v>1031</v>
      </c>
      <c r="I17" s="345" t="s">
        <v>1423</v>
      </c>
      <c r="J17" s="24">
        <f ca="1">ROUND(IF(项目基本情况!B11="自然人",J6*M17/(1+'数据-取费表'!C42),J18+J19+J20),0)</f>
        <v>0</v>
      </c>
      <c r="K17" s="1796" t="s">
        <v>1424</v>
      </c>
      <c r="L17" s="1794" t="s">
        <v>1425</v>
      </c>
      <c r="M17" s="366">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5" t="s">
        <v>1426</v>
      </c>
      <c r="C18" s="24">
        <f ca="1">ROUND(C14*F18,0)</f>
        <v>0</v>
      </c>
      <c r="D18" s="345" t="s">
        <v>1415</v>
      </c>
      <c r="E18" s="345" t="s">
        <v>1416</v>
      </c>
      <c r="F18" s="365">
        <f>'数据-取费表'!B36</f>
        <v>1.4999999999999999E-2</v>
      </c>
      <c r="G18" s="1850"/>
      <c r="H18" s="1198" t="s">
        <v>1030</v>
      </c>
      <c r="I18" s="345" t="s">
        <v>1427</v>
      </c>
      <c r="J18" s="24">
        <f ca="1">ROUND(J6*M18/(1+'数据-取费表'!C42),0)</f>
        <v>0</v>
      </c>
      <c r="K18" s="1794" t="s">
        <v>1428</v>
      </c>
      <c r="L18" s="345" t="s">
        <v>1416</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5" t="s">
        <v>1429</v>
      </c>
      <c r="C19" s="24">
        <f ca="1">SUM(C14:C18)</f>
        <v>0</v>
      </c>
      <c r="D19" s="140" t="s">
        <v>1430</v>
      </c>
      <c r="E19" s="1814"/>
      <c r="F19" s="26"/>
      <c r="G19" s="1847"/>
      <c r="H19" s="1198" t="s">
        <v>1032</v>
      </c>
      <c r="I19" s="345" t="s">
        <v>1431</v>
      </c>
      <c r="J19" s="24">
        <f ca="1">IF(K19="按租金收入计税",ROUND(J6*M19/(1+'数据-取费表'!C42),0),ROUND(C29*M19*0.7,0))</f>
        <v>0</v>
      </c>
      <c r="K19" s="1824" t="s">
        <v>1432</v>
      </c>
      <c r="L19" s="345" t="s">
        <v>1416</v>
      </c>
      <c r="M19" s="365">
        <f>IF(K19="按租金收入计税",'数据-取费表'!B51,'数据-取费表'!B50)</f>
        <v>1.2E-2</v>
      </c>
    </row>
    <row r="20" spans="1:37" s="1854" customFormat="1" ht="18" customHeight="1">
      <c r="A20" s="1198" t="s">
        <v>1035</v>
      </c>
      <c r="B20" s="345" t="s">
        <v>1433</v>
      </c>
      <c r="C20" s="24">
        <f ca="1">ROUND(C19*F20,0)</f>
        <v>0</v>
      </c>
      <c r="D20" s="367" t="s">
        <v>1434</v>
      </c>
      <c r="E20" s="345" t="s">
        <v>1416</v>
      </c>
      <c r="F20" s="365">
        <f>'数据-取费表'!B37</f>
        <v>1.4999999999999999E-2</v>
      </c>
      <c r="G20" s="1850"/>
      <c r="H20" s="1198" t="s">
        <v>1383</v>
      </c>
      <c r="I20" s="162" t="s">
        <v>1435</v>
      </c>
      <c r="J20" s="25">
        <f ca="1">ROUND(M20*M21,0)</f>
        <v>0</v>
      </c>
      <c r="K20" s="368" t="s">
        <v>1436</v>
      </c>
      <c r="L20" s="345" t="s">
        <v>1437</v>
      </c>
      <c r="M20" s="369">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5" t="s">
        <v>1438</v>
      </c>
      <c r="C21" s="24" t="s">
        <v>1</v>
      </c>
      <c r="D21" s="367" t="s">
        <v>1439</v>
      </c>
      <c r="E21" s="345" t="s">
        <v>1440</v>
      </c>
      <c r="F21" s="365">
        <f>'数据-取费表'!B38</f>
        <v>0.02</v>
      </c>
      <c r="G21" s="1850"/>
      <c r="H21" s="370"/>
      <c r="I21" s="354"/>
      <c r="J21" s="29"/>
      <c r="K21" s="371"/>
      <c r="L21" s="345" t="s">
        <v>1441</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5" t="s">
        <v>1442</v>
      </c>
      <c r="C22" s="24"/>
      <c r="D22" s="140" t="str">
        <f>IF(F23&lt;=1,"单利计息。","复利计息。")&amp;"建造成本、管理费用、销售费用产生的利息。"</f>
        <v>复利计息。建造成本、管理费用、销售费用产生的利息。</v>
      </c>
      <c r="E22" s="1814"/>
      <c r="F22" s="26"/>
      <c r="G22" s="1847"/>
      <c r="H22" s="1198" t="s">
        <v>1035</v>
      </c>
      <c r="I22" s="345" t="s">
        <v>1443</v>
      </c>
      <c r="J22" s="24">
        <f ca="1">ROUND(J14*M22,0)</f>
        <v>0</v>
      </c>
      <c r="K22" s="1794" t="s">
        <v>1444</v>
      </c>
      <c r="L22" s="345" t="s">
        <v>1416</v>
      </c>
      <c r="M22" s="372">
        <f ca="1">INDIRECT("'数据-取费表'!Ak"&amp;$G$1)</f>
        <v>0</v>
      </c>
    </row>
    <row r="23" spans="1:37" s="1854"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2.5</v>
      </c>
      <c r="G23" s="1850"/>
      <c r="H23" s="1198" t="s">
        <v>1071</v>
      </c>
      <c r="I23" s="345" t="s">
        <v>1447</v>
      </c>
      <c r="J23" s="24">
        <f ca="1">ROUND(J13*M23,0)</f>
        <v>0</v>
      </c>
      <c r="K23" s="1794" t="s">
        <v>1448</v>
      </c>
      <c r="L23" s="345" t="s">
        <v>1449</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5" t="s">
        <v>1451</v>
      </c>
      <c r="C24" s="24">
        <f ca="1">ROUND(IF('数据-取费表'!B22&lt;=1,F21*F24*F23/2,F21*(POWER((1+F24),F23/2)-1)),4)</f>
        <v>1.1999999999999999E-3</v>
      </c>
      <c r="D24" s="373" t="str">
        <f>IF(F23&lt;=1,"销售费用×利率×(建设周期÷2)","销售费用×((1+利率)^(建设周期÷2)-1)")</f>
        <v>销售费用×((1+利率)^(建设周期÷2)-1)</v>
      </c>
      <c r="E24" s="345" t="s">
        <v>1452</v>
      </c>
      <c r="F24" s="375">
        <f ca="1">'数据-取费表'!B40</f>
        <v>4.7500000000000001E-2</v>
      </c>
      <c r="G24" s="1850"/>
      <c r="H24" s="1336" t="s">
        <v>1387</v>
      </c>
      <c r="I24" s="1337" t="s">
        <v>1433</v>
      </c>
      <c r="J24" s="1338">
        <f ca="1">ROUND(J5*M24,0)</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1454</v>
      </c>
      <c r="B25" s="345" t="s">
        <v>1455</v>
      </c>
      <c r="C25" s="24"/>
      <c r="D25" s="140" t="s">
        <v>1456</v>
      </c>
      <c r="E25" s="1814"/>
      <c r="F25" s="26"/>
      <c r="G25" s="1847"/>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7"/>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7"/>
      <c r="H27" s="347"/>
      <c r="I27" s="348"/>
      <c r="J27" s="349"/>
      <c r="K27" s="376" t="s">
        <v>1467</v>
      </c>
      <c r="L27" s="345" t="s">
        <v>1468</v>
      </c>
      <c r="M27" s="377">
        <f ca="1">INDIRECT("'数据-取费表'!ag"&amp;$G$1)</f>
        <v>0</v>
      </c>
    </row>
    <row r="28" spans="1:37" s="1854" customFormat="1" ht="18" customHeight="1">
      <c r="A28" s="1198" t="s">
        <v>1033</v>
      </c>
      <c r="B28" s="345" t="s">
        <v>1469</v>
      </c>
      <c r="C28" s="24">
        <f>ROUND(F28/(1+'数据-取费表'!C42),4)</f>
        <v>5.33E-2</v>
      </c>
      <c r="D28" s="367" t="s">
        <v>1470</v>
      </c>
      <c r="E28" s="345" t="s">
        <v>1416</v>
      </c>
      <c r="F28" s="365">
        <f>'数据-取费表'!B41</f>
        <v>5.6000000000000001E-2</v>
      </c>
      <c r="G28" s="1850"/>
      <c r="H28" s="351"/>
      <c r="I28" s="352"/>
      <c r="J28" s="353"/>
      <c r="K28" s="371"/>
      <c r="L28" s="345" t="s">
        <v>1471</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78" t="s">
        <v>1029</v>
      </c>
      <c r="I29" s="379" t="s">
        <v>1473</v>
      </c>
      <c r="J29" s="380">
        <f ca="1">ROUND(J26/(1+F40)^F41,0)</f>
        <v>0</v>
      </c>
      <c r="K29" s="381" t="s">
        <v>1474</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3">
        <f ca="1">ROUND(C31+C36+C37+C38,0)</f>
        <v>0</v>
      </c>
      <c r="D30" s="1334" t="s">
        <v>1419</v>
      </c>
      <c r="E30" s="1335"/>
      <c r="F30" s="1291"/>
      <c r="G30" s="1847"/>
      <c r="H30" s="742"/>
      <c r="I30" s="743"/>
      <c r="J30" s="744"/>
      <c r="K30" s="745"/>
      <c r="L30" s="746"/>
      <c r="M30" s="747"/>
    </row>
    <row r="31" spans="1:37" ht="18" customHeight="1">
      <c r="A31" s="1198" t="s">
        <v>1031</v>
      </c>
      <c r="B31" s="345" t="s">
        <v>1423</v>
      </c>
      <c r="C31" s="24">
        <f ca="1">ROUND(IF(项目基本情况!B11="自然人",C6*F31/(1+'数据-取费表'!C42),C32+C33+C34),0)</f>
        <v>0</v>
      </c>
      <c r="D31" s="1796" t="s">
        <v>1424</v>
      </c>
      <c r="E31" s="1794" t="s">
        <v>1475</v>
      </c>
      <c r="F31" s="366">
        <f ca="1">IF(项目基本情况!B11="企业","",IF(INDIRECT("'数据-取费表'!c"&amp;$G$1)="住宅",5%,IF(F6*F7*F8/12/(1+'数据-取费表'!C42)&gt;20000,12%,7%)))</f>
        <v>7.0000000000000007E-2</v>
      </c>
      <c r="G31" s="1847"/>
      <c r="H31" s="742"/>
      <c r="I31" s="743"/>
      <c r="J31" s="744"/>
      <c r="K31" s="745"/>
      <c r="L31" s="746"/>
      <c r="M31" s="747"/>
    </row>
    <row r="32" spans="1:37" ht="18" customHeight="1">
      <c r="A32" s="1198" t="s">
        <v>1030</v>
      </c>
      <c r="B32" s="345" t="s">
        <v>1427</v>
      </c>
      <c r="C32" s="24">
        <f ca="1">IF(项目基本情况!B11="自然人","——",ROUND(C6*F32/(1+'数据-取费表'!C42),0))</f>
        <v>0</v>
      </c>
      <c r="D32" s="1794" t="s">
        <v>1428</v>
      </c>
      <c r="E32" s="345" t="s">
        <v>1416</v>
      </c>
      <c r="F32" s="375">
        <f>'数据-取费表'!B41</f>
        <v>5.6000000000000001E-2</v>
      </c>
      <c r="G32" s="1847"/>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24" t="s">
        <v>1432</v>
      </c>
      <c r="E33" s="345" t="s">
        <v>1416</v>
      </c>
      <c r="F33" s="365">
        <f>IF(D33="按票据","——",IF(D33="按租金收入计税",'数据-取费表'!B51,'数据-取费表'!B50))</f>
        <v>1.2E-2</v>
      </c>
      <c r="G33" s="1847"/>
      <c r="H33" s="1855"/>
      <c r="I33" s="1856"/>
      <c r="J33" s="1857"/>
      <c r="K33" s="1858"/>
      <c r="L33" s="1855"/>
      <c r="M33" s="1855"/>
    </row>
    <row r="34" spans="1:18" ht="18" customHeight="1">
      <c r="A34" s="1288" t="s">
        <v>1383</v>
      </c>
      <c r="B34" s="162" t="s">
        <v>1435</v>
      </c>
      <c r="C34" s="25">
        <f ca="1">IF(项目基本情况!B11="自然人","——",ROUND(F34*F35,))</f>
        <v>0</v>
      </c>
      <c r="D34" s="368" t="s">
        <v>1436</v>
      </c>
      <c r="E34" s="345" t="s">
        <v>1437</v>
      </c>
      <c r="F34" s="369">
        <f>'数据-取费表'!B52</f>
        <v>20</v>
      </c>
      <c r="G34" s="1847"/>
      <c r="H34" s="742"/>
      <c r="I34" s="1856"/>
      <c r="J34" s="1857"/>
      <c r="K34" s="1859"/>
      <c r="L34" s="1860"/>
      <c r="M34" s="1860"/>
    </row>
    <row r="35" spans="1:18" ht="18" customHeight="1">
      <c r="A35" s="1350"/>
      <c r="B35" s="1348"/>
      <c r="C35" s="29"/>
      <c r="D35" s="371"/>
      <c r="E35" s="345" t="s">
        <v>1441</v>
      </c>
      <c r="F35" s="346">
        <f ca="1">INDIRECT("'数据-取费表'!r"&amp;$G$1)</f>
        <v>0</v>
      </c>
      <c r="G35" s="1847"/>
      <c r="H35" s="742"/>
      <c r="I35" s="1856"/>
      <c r="J35" s="1857"/>
      <c r="K35" s="1858"/>
      <c r="L35" s="1855"/>
      <c r="M35" s="1855"/>
    </row>
    <row r="36" spans="1:18" ht="18" customHeight="1">
      <c r="A36" s="1349" t="s">
        <v>1035</v>
      </c>
      <c r="B36" s="345" t="s">
        <v>1443</v>
      </c>
      <c r="C36" s="24">
        <f ca="1">ROUND(C29*F36,0)</f>
        <v>0</v>
      </c>
      <c r="D36" s="1794" t="s">
        <v>1476</v>
      </c>
      <c r="E36" s="345" t="s">
        <v>1416</v>
      </c>
      <c r="F36" s="372">
        <f ca="1">INDIRECT("'数据-取费表'!Ak"&amp;$G$1)</f>
        <v>0</v>
      </c>
      <c r="G36" s="1847"/>
      <c r="H36" s="1855"/>
      <c r="I36" s="1856"/>
      <c r="J36" s="1857"/>
      <c r="K36" s="748"/>
      <c r="L36" s="1855"/>
      <c r="M36" s="1855"/>
    </row>
    <row r="37" spans="1:18" ht="18" customHeight="1">
      <c r="A37" s="1198" t="s">
        <v>1071</v>
      </c>
      <c r="B37" s="345" t="s">
        <v>1447</v>
      </c>
      <c r="C37" s="24">
        <f ca="1">ROUND(C13*F37,0)</f>
        <v>0</v>
      </c>
      <c r="D37" s="1794" t="s">
        <v>1448</v>
      </c>
      <c r="E37" s="345" t="s">
        <v>1449</v>
      </c>
      <c r="F37" s="374">
        <f ca="1">INDIRECT("'数据-取费表'!Al"&amp;$G$1)</f>
        <v>0</v>
      </c>
      <c r="G37" s="1847"/>
      <c r="H37" s="1855"/>
      <c r="I37" s="1856"/>
      <c r="J37" s="1857"/>
      <c r="K37" s="748"/>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6" customHeight="1" thickTop="1">
      <c r="A39" s="1326" t="s">
        <v>1027</v>
      </c>
      <c r="B39" s="1341" t="s">
        <v>1477</v>
      </c>
      <c r="C39" s="353">
        <f ca="1">C5-C30</f>
        <v>0</v>
      </c>
      <c r="D39" s="1342" t="s">
        <v>1478</v>
      </c>
      <c r="E39" s="1343"/>
      <c r="F39" s="1344"/>
      <c r="G39" s="1847"/>
      <c r="H39" s="1855"/>
      <c r="I39" s="1856"/>
      <c r="J39" s="1857"/>
      <c r="K39" s="1861"/>
      <c r="L39" s="1855"/>
      <c r="M39" s="1855"/>
    </row>
    <row r="40" spans="1:18" ht="18" customHeight="1">
      <c r="A40" s="342" t="s">
        <v>1028</v>
      </c>
      <c r="B40" s="343" t="s">
        <v>1479</v>
      </c>
      <c r="C40" s="344" t="e">
        <f ca="1">ROUND(C39*(1-((1+F42)/(1+F40))^F41)/(F40-F42),0)</f>
        <v>#DIV/0!</v>
      </c>
      <c r="D40" s="368" t="s">
        <v>1463</v>
      </c>
      <c r="E40" s="345" t="s">
        <v>1464</v>
      </c>
      <c r="F40" s="355">
        <f ca="1">INDIRECT("'数据-取费表'!I"&amp;$G$1)</f>
        <v>0</v>
      </c>
      <c r="G40" s="1847"/>
      <c r="H40" s="1835"/>
      <c r="I40" s="1856"/>
      <c r="J40" s="1857"/>
      <c r="K40" s="1861"/>
      <c r="L40" s="1835"/>
      <c r="M40" s="1835"/>
    </row>
    <row r="41" spans="1:18" ht="18" customHeight="1">
      <c r="A41" s="347"/>
      <c r="B41" s="348"/>
      <c r="C41" s="349"/>
      <c r="D41" s="376" t="s">
        <v>1480</v>
      </c>
      <c r="E41" s="345" t="s">
        <v>1468</v>
      </c>
      <c r="F41" s="377">
        <f ca="1">IF(INDIRECT("'数据-取费表'!af"&amp;$G$1)=0,INDIRECT("'数据-取费表'!ae"&amp;$G$1),INDIRECT("'数据-取费表'!af"&amp;$G$1))</f>
        <v>0</v>
      </c>
      <c r="G41" s="1847"/>
      <c r="H41" s="729"/>
      <c r="I41" s="1856"/>
      <c r="J41" s="1857"/>
      <c r="K41" s="748"/>
      <c r="L41" s="729"/>
      <c r="M41" s="729"/>
    </row>
    <row r="42" spans="1:18" ht="18" customHeight="1">
      <c r="A42" s="351"/>
      <c r="B42" s="352"/>
      <c r="C42" s="353"/>
      <c r="D42" s="371"/>
      <c r="E42" s="345" t="s">
        <v>1471</v>
      </c>
      <c r="F42" s="355">
        <f ca="1">INDIRECT("'数据-取费表'!v"&amp;$G$1)</f>
        <v>0</v>
      </c>
      <c r="G42" s="1847"/>
      <c r="H42" s="729"/>
      <c r="I42" s="1856"/>
      <c r="J42" s="1857"/>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1598</v>
      </c>
      <c r="E45" s="1862"/>
      <c r="F45" s="1862"/>
      <c r="O45" s="1865" t="s">
        <v>1513</v>
      </c>
      <c r="P45" s="1835"/>
      <c r="Q45" s="1835"/>
      <c r="R45" s="1835"/>
    </row>
    <row r="46" spans="1:18" s="1838" customFormat="1" ht="13.5" thickBot="1">
      <c r="A46" s="1866" t="s">
        <v>1514</v>
      </c>
      <c r="C46" s="1867" t="e">
        <f ca="1">ROUND(C45/10000,0)</f>
        <v>#DIV/0!</v>
      </c>
      <c r="D46" s="1868" t="str">
        <f>C2</f>
        <v>万元</v>
      </c>
      <c r="I46" s="1869" t="s">
        <v>1515</v>
      </c>
      <c r="J46" s="1870"/>
      <c r="K46" s="1871"/>
      <c r="L46" s="1872" t="e">
        <f ca="1">IF(M47="住宅",0,IF(L48&gt;J51,L60,J60))</f>
        <v>#DIV/0!</v>
      </c>
      <c r="O46" s="1873" t="s">
        <v>1516</v>
      </c>
      <c r="P46" s="1874" t="s">
        <v>1517</v>
      </c>
      <c r="Q46" s="1875" t="s">
        <v>1518</v>
      </c>
      <c r="R46" s="1875" t="s">
        <v>1519</v>
      </c>
    </row>
    <row r="47" spans="1:18" s="1838" customFormat="1" ht="13.5" thickBot="1">
      <c r="A47" s="1162" t="s">
        <v>1390</v>
      </c>
      <c r="B47" s="1194" t="s">
        <v>1391</v>
      </c>
      <c r="C47" s="1194" t="s">
        <v>1392</v>
      </c>
      <c r="D47" s="1194" t="s">
        <v>1393</v>
      </c>
      <c r="E47" s="1276" t="s">
        <v>1394</v>
      </c>
      <c r="F47" s="1277"/>
      <c r="G47" s="789"/>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28.5" thickBot="1">
      <c r="A48" s="1357" t="s">
        <v>1131</v>
      </c>
      <c r="B48" s="343" t="s">
        <v>1395</v>
      </c>
      <c r="C48" s="1813">
        <f ca="1">C49+C53+C55</f>
        <v>0</v>
      </c>
      <c r="D48" s="1359"/>
      <c r="E48" s="1360"/>
      <c r="F48" s="1178"/>
      <c r="G48" s="789"/>
      <c r="H48" s="790"/>
      <c r="I48" s="1883" t="s">
        <v>1524</v>
      </c>
      <c r="J48" s="1884"/>
      <c r="K48" s="1885" t="s">
        <v>1525</v>
      </c>
      <c r="L48" s="1886">
        <f ca="1">INDIRECT("'数据-取费表'!f"&amp;$G$1)</f>
        <v>0</v>
      </c>
      <c r="O48" s="1880" t="s">
        <v>1037</v>
      </c>
      <c r="P48" s="1881" t="s">
        <v>1526</v>
      </c>
      <c r="Q48" s="1882" t="e">
        <f ca="1">J60</f>
        <v>#DIV/0!</v>
      </c>
      <c r="R48" s="1882" t="s">
        <v>1527</v>
      </c>
    </row>
    <row r="49" spans="1:18" s="1838" customFormat="1" ht="13.5" thickBot="1">
      <c r="A49" s="1191" t="s">
        <v>1132</v>
      </c>
      <c r="B49" s="1825" t="s">
        <v>1484</v>
      </c>
      <c r="C49" s="1361">
        <f ca="1">ROUND(F49*F51*F50*(1-F52),0)</f>
        <v>0</v>
      </c>
      <c r="D49" s="1273" t="s">
        <v>1398</v>
      </c>
      <c r="E49" s="1826" t="s">
        <v>1485</v>
      </c>
      <c r="F49" s="1278"/>
      <c r="G49" s="1887"/>
      <c r="H49" s="790"/>
      <c r="I49" s="1883" t="s">
        <v>1528</v>
      </c>
      <c r="J49" s="1888"/>
      <c r="K49" s="1885" t="s">
        <v>1529</v>
      </c>
      <c r="L49" s="1889"/>
      <c r="O49" s="1890" t="s">
        <v>1038</v>
      </c>
      <c r="P49" s="1881" t="s">
        <v>1530</v>
      </c>
      <c r="Q49" s="1882">
        <f ca="1">C29</f>
        <v>0</v>
      </c>
      <c r="R49" s="1882" t="s">
        <v>1523</v>
      </c>
    </row>
    <row r="50" spans="1:18" s="1838" customFormat="1" ht="13.5" thickBot="1">
      <c r="A50" s="1192"/>
      <c r="B50" s="1195"/>
      <c r="C50" s="1196"/>
      <c r="D50" s="1169"/>
      <c r="E50" s="1274" t="s">
        <v>1400</v>
      </c>
      <c r="F50" s="1275">
        <f ca="1">F7</f>
        <v>0</v>
      </c>
      <c r="H50" s="790"/>
      <c r="I50" s="1883" t="s">
        <v>1531</v>
      </c>
      <c r="J50" s="1891">
        <f>SUMPRODUCT((I63:I65=J47)*(J62:L62=J48)*(J63:L65))</f>
        <v>0</v>
      </c>
      <c r="K50" s="1885" t="s">
        <v>1532</v>
      </c>
      <c r="L50" s="1889"/>
      <c r="M50" s="1892"/>
      <c r="O50" s="1890" t="s">
        <v>1039</v>
      </c>
      <c r="P50" s="1881" t="s">
        <v>1533</v>
      </c>
      <c r="Q50" s="1893" t="e">
        <f ca="1">J58</f>
        <v>#DIV/0!</v>
      </c>
      <c r="R50" s="1882"/>
    </row>
    <row r="51" spans="1:18" s="1838" customFormat="1" ht="13.5" thickBot="1">
      <c r="A51" s="1193"/>
      <c r="B51" s="1195"/>
      <c r="C51" s="1196"/>
      <c r="D51" s="1169"/>
      <c r="E51" s="1197" t="s">
        <v>1401</v>
      </c>
      <c r="F51" s="346">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3.5" thickBot="1">
      <c r="A52" s="1193"/>
      <c r="B52" s="1195"/>
      <c r="C52" s="1196"/>
      <c r="D52" s="1169"/>
      <c r="E52" s="1197" t="s">
        <v>1402</v>
      </c>
      <c r="F52" s="1272"/>
      <c r="I52" s="1899" t="s">
        <v>1537</v>
      </c>
      <c r="J52" s="1900"/>
      <c r="K52" s="1899" t="s">
        <v>1538</v>
      </c>
      <c r="L52" s="1900"/>
      <c r="O52" s="1890" t="s">
        <v>1041</v>
      </c>
      <c r="P52" s="1881" t="s">
        <v>1539</v>
      </c>
      <c r="Q52" s="1882">
        <f ca="1">J53</f>
        <v>-0.10000000000000009</v>
      </c>
      <c r="R52" s="1882" t="s">
        <v>1540</v>
      </c>
    </row>
    <row r="53" spans="1:18" s="1838" customFormat="1" ht="30.75" customHeight="1" thickBot="1">
      <c r="A53" s="1358" t="s">
        <v>1133</v>
      </c>
      <c r="B53" s="367" t="s">
        <v>1403</v>
      </c>
      <c r="C53" s="359">
        <f ca="1">ROUND(IF(F53="押一",C49/12*F11,IF(F53="押二",C49/12*2*F11,IF(F53="押三",C49/12*3*F11,C54*F11))),0)</f>
        <v>0</v>
      </c>
      <c r="D53" s="1820" t="s">
        <v>3038</v>
      </c>
      <c r="E53" s="356" t="s">
        <v>1404</v>
      </c>
      <c r="F53" s="1363"/>
      <c r="I53" s="1901" t="s">
        <v>1541</v>
      </c>
      <c r="J53" s="2948">
        <f ca="1">IF(M47="住宅",IF(D1="——",MAX(J51,L48),MAX(J51,L48-'数据-取费表'!B24)),IF(D1="——",MIN(J51,L48),MIN(J51,L48-'数据-取费表'!B24)))</f>
        <v>-0.10000000000000009</v>
      </c>
      <c r="K53" s="3283" t="s">
        <v>1542</v>
      </c>
      <c r="L53" s="3284"/>
      <c r="O53" s="1880" t="s">
        <v>1042</v>
      </c>
      <c r="P53" s="1881" t="s">
        <v>1543</v>
      </c>
      <c r="Q53" s="1882" t="e">
        <f ca="1">Q47+Q48</f>
        <v>#DIV/0!</v>
      </c>
      <c r="R53" s="1882" t="s">
        <v>1043</v>
      </c>
    </row>
    <row r="54" spans="1:18" s="1838" customFormat="1" ht="13.5" thickBot="1">
      <c r="A54" s="1191"/>
      <c r="B54" s="1936" t="s">
        <v>1597</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3.5" thickBot="1">
      <c r="A55" s="1330" t="s">
        <v>1071</v>
      </c>
      <c r="B55" s="1823" t="s">
        <v>1407</v>
      </c>
      <c r="C55" s="1331"/>
      <c r="D55" s="1820"/>
      <c r="E55" s="1828"/>
      <c r="F55" s="1902"/>
      <c r="I55" s="1905" t="s">
        <v>1545</v>
      </c>
      <c r="J55" s="1906" t="e">
        <f ca="1">ROUND(IF(J47="钢混",J57/J50,1-(1-2%)*(J50-J57)/J50),3)</f>
        <v>#DIV/0!</v>
      </c>
      <c r="K55" s="1907" t="s">
        <v>1546</v>
      </c>
      <c r="L55" s="1908"/>
      <c r="O55" s="1873" t="s">
        <v>1516</v>
      </c>
      <c r="P55" s="1874" t="s">
        <v>1517</v>
      </c>
      <c r="Q55" s="1875" t="s">
        <v>1518</v>
      </c>
      <c r="R55" s="1875" t="s">
        <v>1519</v>
      </c>
    </row>
    <row r="56" spans="1:18" s="1838" customFormat="1" ht="36" customHeight="1" thickTop="1" thickBot="1">
      <c r="A56" s="1173">
        <v>2</v>
      </c>
      <c r="B56" s="1174" t="s">
        <v>1408</v>
      </c>
      <c r="C56" s="274">
        <f ca="1">C13</f>
        <v>0</v>
      </c>
      <c r="D56" s="1909"/>
      <c r="E56" s="1910"/>
      <c r="F56" s="1902"/>
      <c r="I56" s="1911" t="s">
        <v>1548</v>
      </c>
      <c r="J56" s="1912"/>
      <c r="K56" s="1883" t="s">
        <v>1549</v>
      </c>
      <c r="L56" s="1886">
        <f ca="1">IF(L48&lt;J51,"——",L48-J51)</f>
        <v>0</v>
      </c>
      <c r="O56" s="1880" t="s">
        <v>1036</v>
      </c>
      <c r="P56" s="1881" t="s">
        <v>1522</v>
      </c>
      <c r="Q56" s="1882" t="e">
        <f ca="1">C40+J29</f>
        <v>#DIV/0!</v>
      </c>
      <c r="R56" s="1882" t="s">
        <v>1523</v>
      </c>
    </row>
    <row r="57" spans="1:18" s="1838" customFormat="1" ht="24.75" thickBot="1">
      <c r="A57" s="1913"/>
      <c r="B57" s="1166" t="s">
        <v>1472</v>
      </c>
      <c r="C57" s="280">
        <f ca="1">C29</f>
        <v>0</v>
      </c>
      <c r="D57" s="1914"/>
      <c r="E57" s="1915"/>
      <c r="F57" s="1916"/>
      <c r="I57" s="1917" t="s">
        <v>1550</v>
      </c>
      <c r="J57" s="1918">
        <f ca="1">IF(OR(M47="住宅",J51&lt;L48,J56="是"),"——",J51-L48)</f>
        <v>0</v>
      </c>
      <c r="K57" s="1883" t="s">
        <v>1599</v>
      </c>
      <c r="L57" s="1886">
        <f ca="1">IF(L48&lt;J51,"——",IF(L55="比较法",L49,IF(L55="基准地价",L50,L51)))</f>
        <v>0</v>
      </c>
      <c r="O57" s="1880" t="s">
        <v>1037</v>
      </c>
      <c r="P57" s="1881" t="s">
        <v>1600</v>
      </c>
      <c r="Q57" s="1882" t="e">
        <f ca="1">L60</f>
        <v>#DIV/0!</v>
      </c>
      <c r="R57" s="1882" t="s">
        <v>1601</v>
      </c>
    </row>
    <row r="58" spans="1:18" s="1838" customFormat="1" ht="24.75" thickBot="1">
      <c r="A58" s="358" t="s">
        <v>1026</v>
      </c>
      <c r="B58" s="1174" t="s">
        <v>1418</v>
      </c>
      <c r="C58" s="359">
        <f ca="1">ROUND(C59+C64+C65+C66,0)</f>
        <v>0</v>
      </c>
      <c r="D58" s="1176" t="s">
        <v>1419</v>
      </c>
      <c r="E58" s="1177"/>
      <c r="F58" s="1178"/>
      <c r="I58" s="1917" t="s">
        <v>1554</v>
      </c>
      <c r="J58" s="1919" t="e">
        <f ca="1">IF(J55&lt;0.4,0.4,J55)</f>
        <v>#DIV/0!</v>
      </c>
      <c r="K58" s="1896" t="s">
        <v>1602</v>
      </c>
      <c r="L58" s="1886" t="e">
        <f ca="1">ROUND(POWER(1+L52,L47-L48)*(POWER(1+L52,L48)-1)/(POWER(1+L52,L47)-1),4)</f>
        <v>#DIV/0!</v>
      </c>
      <c r="O58" s="1890" t="s">
        <v>1038</v>
      </c>
      <c r="P58" s="1881" t="s">
        <v>1556</v>
      </c>
      <c r="Q58" s="1882">
        <f>IF(L55="比较法",L49,IF(L55="基准地价",L50,0))</f>
        <v>0</v>
      </c>
      <c r="R58" s="1882" t="s">
        <v>1523</v>
      </c>
    </row>
    <row r="59" spans="1:18" s="1838" customFormat="1" ht="24.75" thickBot="1">
      <c r="A59" s="1198" t="s">
        <v>1031</v>
      </c>
      <c r="B59" s="1166" t="s">
        <v>1423</v>
      </c>
      <c r="C59" s="24">
        <f ca="1">ROUND(IF(项目基本情况!B11="自然人",C48*F59,C60+C61+C62),0)</f>
        <v>0</v>
      </c>
      <c r="D59" s="1179" t="s">
        <v>1424</v>
      </c>
      <c r="E59" s="1180" t="s">
        <v>1425</v>
      </c>
      <c r="F59" s="366">
        <f ca="1">IF(项目基本情况!B11="企业","",IF(INDIRECT("'数据-取费表'!c"&amp;$G$1)="住宅",5%,IF(F49*F50*F51/12/(1+'数据-取费表'!C42)&gt;20000,12%,7%)))</f>
        <v>7.0000000000000007E-2</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1558</v>
      </c>
      <c r="Q59" s="1893">
        <f>L52</f>
        <v>0</v>
      </c>
      <c r="R59" s="1882"/>
    </row>
    <row r="60" spans="1:18" s="1838" customFormat="1" ht="16.5" thickBot="1">
      <c r="A60" s="1198" t="s">
        <v>1030</v>
      </c>
      <c r="B60" s="1166" t="s">
        <v>1427</v>
      </c>
      <c r="C60" s="24">
        <f ca="1">IF(项目基本情况!B11="自然人","——",ROUND(C48*F60/(1+'数据-取费表'!C42),0))</f>
        <v>0</v>
      </c>
      <c r="D60" s="1180" t="s">
        <v>1428</v>
      </c>
      <c r="E60" s="1166" t="s">
        <v>1416</v>
      </c>
      <c r="F60" s="375">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3.5" thickBot="1">
      <c r="A61" s="1198" t="s">
        <v>1486</v>
      </c>
      <c r="B61" s="1166" t="s">
        <v>1487</v>
      </c>
      <c r="C61" s="24">
        <f ca="1">IF(项目基本情况!B11="自然人","——",IF(D61="按租金收入计税",ROUND(C48*F61,0),IF(D61="按房产原值计税",ROUND(C57*F61*0.7,0),INDIRECT("'数据-取费表'!Aj"&amp;$G$1))))</f>
        <v>0</v>
      </c>
      <c r="D61" s="1824" t="s">
        <v>1432</v>
      </c>
      <c r="E61" s="1166" t="s">
        <v>1488</v>
      </c>
      <c r="F61" s="365">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3.5" thickBot="1">
      <c r="A62" s="1198" t="s">
        <v>1489</v>
      </c>
      <c r="B62" s="1165" t="s">
        <v>1490</v>
      </c>
      <c r="C62" s="25">
        <f ca="1">IF(项目基本情况!B11="自然人","——",ROUND(F62*F63,0))</f>
        <v>0</v>
      </c>
      <c r="D62" s="1181" t="s">
        <v>1491</v>
      </c>
      <c r="E62" s="1166" t="s">
        <v>1492</v>
      </c>
      <c r="F62" s="369">
        <f t="shared" si="0"/>
        <v>20</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3.5" thickBot="1">
      <c r="A63" s="370"/>
      <c r="B63" s="1172"/>
      <c r="C63" s="29"/>
      <c r="D63" s="1182"/>
      <c r="E63" s="1166" t="s">
        <v>1493</v>
      </c>
      <c r="F63" s="346">
        <f t="shared" ca="1" si="0"/>
        <v>0</v>
      </c>
      <c r="I63" s="1924" t="s">
        <v>1570</v>
      </c>
      <c r="J63" s="1925">
        <v>70</v>
      </c>
      <c r="K63" s="1925">
        <v>50</v>
      </c>
      <c r="L63" s="1925">
        <v>80</v>
      </c>
      <c r="M63" s="1927">
        <v>0.02</v>
      </c>
      <c r="O63" s="1865" t="s">
        <v>1571</v>
      </c>
      <c r="P63" s="1835"/>
      <c r="Q63" s="1835"/>
      <c r="R63" s="1835"/>
    </row>
    <row r="64" spans="1:18" s="1838" customFormat="1" ht="13.5" thickBot="1">
      <c r="A64" s="1198" t="s">
        <v>1494</v>
      </c>
      <c r="B64" s="1166" t="s">
        <v>1495</v>
      </c>
      <c r="C64" s="24">
        <f ca="1">ROUND(C57*F64,0)</f>
        <v>0</v>
      </c>
      <c r="D64" s="1180" t="s">
        <v>1496</v>
      </c>
      <c r="E64" s="1166" t="s">
        <v>1488</v>
      </c>
      <c r="F64" s="372">
        <f t="shared" ca="1" si="0"/>
        <v>0</v>
      </c>
      <c r="I64" s="1924" t="s">
        <v>1572</v>
      </c>
      <c r="J64" s="1925">
        <v>50</v>
      </c>
      <c r="K64" s="1925">
        <v>35</v>
      </c>
      <c r="L64" s="1925">
        <v>60</v>
      </c>
      <c r="M64" s="1926">
        <v>0</v>
      </c>
      <c r="O64" s="1873" t="s">
        <v>1516</v>
      </c>
      <c r="P64" s="1874" t="s">
        <v>1517</v>
      </c>
      <c r="Q64" s="1875" t="s">
        <v>1518</v>
      </c>
      <c r="R64" s="1875" t="s">
        <v>1519</v>
      </c>
    </row>
    <row r="65" spans="1:18" s="1838" customFormat="1" ht="13.5" thickBot="1">
      <c r="A65" s="1198" t="s">
        <v>1497</v>
      </c>
      <c r="B65" s="1166" t="s">
        <v>1447</v>
      </c>
      <c r="C65" s="24">
        <f ca="1">ROUND(C56*F65,0)</f>
        <v>0</v>
      </c>
      <c r="D65" s="1180" t="s">
        <v>1448</v>
      </c>
      <c r="E65" s="1166" t="s">
        <v>1449</v>
      </c>
      <c r="F65" s="374">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6.5" thickBot="1">
      <c r="A66" s="1198" t="s">
        <v>1498</v>
      </c>
      <c r="B66" s="1166" t="s">
        <v>1433</v>
      </c>
      <c r="C66" s="24">
        <f ca="1">ROUND(C48*F66,0)</f>
        <v>0</v>
      </c>
      <c r="D66" s="1180" t="s">
        <v>1499</v>
      </c>
      <c r="E66" s="1166" t="s">
        <v>1416</v>
      </c>
      <c r="F66" s="355">
        <f t="shared" ca="1" si="0"/>
        <v>0</v>
      </c>
      <c r="O66" s="1880" t="s">
        <v>1037</v>
      </c>
      <c r="P66" s="1881" t="s">
        <v>1552</v>
      </c>
      <c r="Q66" s="1882" t="e">
        <f ca="1">L60</f>
        <v>#DIV/0!</v>
      </c>
      <c r="R66" s="1882" t="s">
        <v>1575</v>
      </c>
    </row>
    <row r="67" spans="1:18" s="1838" customFormat="1" ht="16.5" thickBot="1">
      <c r="A67" s="1173" t="s">
        <v>1027</v>
      </c>
      <c r="B67" s="1183" t="s">
        <v>1457</v>
      </c>
      <c r="C67" s="359">
        <f ca="1">C48-C58</f>
        <v>0</v>
      </c>
      <c r="D67" s="1179" t="s">
        <v>1458</v>
      </c>
      <c r="E67" s="1184"/>
      <c r="F67" s="1185"/>
      <c r="O67" s="1890" t="s">
        <v>1038</v>
      </c>
      <c r="P67" s="1881" t="s">
        <v>1556</v>
      </c>
      <c r="Q67" s="1928">
        <f ca="1">L51</f>
        <v>0</v>
      </c>
      <c r="R67" s="1882" t="s">
        <v>1576</v>
      </c>
    </row>
    <row r="68" spans="1:18" s="1838" customFormat="1" ht="16.5" thickBot="1">
      <c r="A68" s="1163" t="s">
        <v>1028</v>
      </c>
      <c r="B68" s="1164" t="s">
        <v>1479</v>
      </c>
      <c r="C68" s="344" t="e">
        <f ca="1">ROUND(C67*(1-((1+F70)/(1+F68))^F69)/(F68-F70),0)</f>
        <v>#DIV/0!</v>
      </c>
      <c r="D68" s="1181" t="s">
        <v>1463</v>
      </c>
      <c r="E68" s="1166" t="s">
        <v>1464</v>
      </c>
      <c r="F68" s="355">
        <f ca="1">F40</f>
        <v>0</v>
      </c>
      <c r="O68" s="1890" t="s">
        <v>1039</v>
      </c>
      <c r="P68" s="1929" t="s">
        <v>1577</v>
      </c>
      <c r="Q68" s="1882">
        <f ca="1">ROUND(Q69-Q70*Q71,0)</f>
        <v>0</v>
      </c>
      <c r="R68" s="1882" t="s">
        <v>1047</v>
      </c>
    </row>
    <row r="69" spans="1:18" s="1838" customFormat="1" ht="13.5" thickBot="1">
      <c r="A69" s="1167"/>
      <c r="B69" s="1168"/>
      <c r="C69" s="349"/>
      <c r="D69" s="1186" t="s">
        <v>1467</v>
      </c>
      <c r="E69" s="1166" t="s">
        <v>1468</v>
      </c>
      <c r="F69" s="377">
        <f ca="1">F41</f>
        <v>0</v>
      </c>
      <c r="O69" s="1890" t="s">
        <v>1044</v>
      </c>
      <c r="P69" s="1929" t="s">
        <v>1578</v>
      </c>
      <c r="Q69" s="1882">
        <f ca="1">C39</f>
        <v>0</v>
      </c>
      <c r="R69" s="1882" t="s">
        <v>1523</v>
      </c>
    </row>
    <row r="70" spans="1:18" s="1838" customFormat="1" ht="13.5" thickBot="1">
      <c r="A70" s="1170"/>
      <c r="B70" s="1171"/>
      <c r="C70" s="353"/>
      <c r="D70" s="1182"/>
      <c r="E70" s="1166" t="s">
        <v>1471</v>
      </c>
      <c r="F70" s="1272">
        <f ca="1">F42</f>
        <v>0</v>
      </c>
      <c r="O70" s="1890" t="s">
        <v>1045</v>
      </c>
      <c r="P70" s="1929" t="s">
        <v>1579</v>
      </c>
      <c r="Q70" s="1882">
        <f ca="1">C13</f>
        <v>0</v>
      </c>
      <c r="R70" s="1882" t="s">
        <v>1523</v>
      </c>
    </row>
    <row r="71" spans="1:18" s="1838" customFormat="1" ht="13.5" thickBot="1">
      <c r="A71" s="1187" t="s">
        <v>1029</v>
      </c>
      <c r="B71" s="1188" t="s">
        <v>1481</v>
      </c>
      <c r="C71" s="380" t="e">
        <f ca="1">ROUND(C68/F71,0)</f>
        <v>#DIV/0!</v>
      </c>
      <c r="D71" s="1189" t="s">
        <v>1482</v>
      </c>
      <c r="E71" s="1190" t="s">
        <v>1483</v>
      </c>
      <c r="F71" s="383">
        <f ca="1">F43</f>
        <v>0</v>
      </c>
      <c r="O71" s="1890" t="s">
        <v>1046</v>
      </c>
      <c r="P71" s="1929" t="s">
        <v>1580</v>
      </c>
      <c r="Q71" s="1893">
        <f ca="1">C76</f>
        <v>0</v>
      </c>
      <c r="R71" s="1882"/>
    </row>
    <row r="72" spans="1:18" s="1838" customFormat="1" ht="13.5" thickBot="1">
      <c r="B72" s="793"/>
      <c r="C72" s="793"/>
      <c r="O72" s="1890" t="s">
        <v>1040</v>
      </c>
      <c r="P72" s="1881" t="s">
        <v>1558</v>
      </c>
      <c r="Q72" s="1893">
        <f>L52</f>
        <v>0</v>
      </c>
      <c r="R72" s="1882"/>
    </row>
    <row r="73" spans="1:18" ht="16.5" thickBot="1">
      <c r="A73" s="1838"/>
      <c r="B73" s="793"/>
      <c r="C73" s="793"/>
      <c r="D73" s="1838"/>
      <c r="E73" s="1838"/>
      <c r="F73" s="1838"/>
      <c r="O73" s="1890" t="s">
        <v>1041</v>
      </c>
      <c r="P73" s="1881" t="s">
        <v>1561</v>
      </c>
      <c r="Q73" s="1882" t="e">
        <f ca="1">L58</f>
        <v>#DIV/0!</v>
      </c>
      <c r="R73" s="1882" t="s">
        <v>1562</v>
      </c>
    </row>
    <row r="74" spans="1:18" ht="13.5" thickBot="1">
      <c r="A74" s="1838"/>
      <c r="B74" s="315" t="s">
        <v>1581</v>
      </c>
      <c r="C74" s="1931"/>
      <c r="D74" s="1838"/>
      <c r="E74" s="1838"/>
      <c r="F74" s="1838"/>
      <c r="O74" s="1890" t="s">
        <v>1048</v>
      </c>
      <c r="P74" s="1881" t="str">
        <f>K59</f>
        <v>建设期及建筑物耐用年限下的土地年期修正系数Kn</v>
      </c>
      <c r="Q74" s="1882" t="e">
        <f ca="1">L59</f>
        <v>#DIV/0!</v>
      </c>
      <c r="R74" s="1882" t="s">
        <v>1563</v>
      </c>
    </row>
    <row r="75" spans="1:18" ht="13.5" thickBot="1">
      <c r="A75" s="1838"/>
      <c r="B75" s="384" t="s">
        <v>1500</v>
      </c>
      <c r="C75" s="385">
        <f ca="1">ROUND(C13*C76,0)</f>
        <v>0</v>
      </c>
      <c r="D75" s="1838"/>
      <c r="E75" s="1838"/>
      <c r="F75" s="1838"/>
      <c r="K75" s="1864"/>
      <c r="L75" s="1838"/>
      <c r="O75" s="1880" t="s">
        <v>1042</v>
      </c>
      <c r="P75" s="1881" t="s">
        <v>1543</v>
      </c>
      <c r="Q75" s="1882" t="e">
        <f ca="1">Q65+Q66</f>
        <v>#DIV/0!</v>
      </c>
      <c r="R75" s="1882" t="s">
        <v>1043</v>
      </c>
    </row>
    <row r="76" spans="1:18">
      <c r="B76" s="386" t="s">
        <v>1501</v>
      </c>
      <c r="C76" s="387">
        <f ca="1">INDIRECT("'数据-取费表'!j"&amp;$G$1)</f>
        <v>0</v>
      </c>
      <c r="I76" s="1838"/>
      <c r="J76" s="1838"/>
      <c r="K76" s="1864"/>
      <c r="L76" s="1838"/>
    </row>
    <row r="77" spans="1:18">
      <c r="B77" s="388" t="s">
        <v>1502</v>
      </c>
      <c r="C77" s="389"/>
      <c r="I77" s="1838"/>
      <c r="J77" s="1838"/>
      <c r="K77" s="1864"/>
      <c r="L77" s="1838"/>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2522</v>
      </c>
      <c r="B1" s="2560"/>
      <c r="C1" s="2560"/>
      <c r="D1" s="2560"/>
      <c r="E1" s="2561"/>
    </row>
    <row r="2" spans="1:6" ht="15.75">
      <c r="A2" s="2562" t="s">
        <v>2326</v>
      </c>
      <c r="B2" s="2563">
        <f ca="1">SUMIF(B6:B13,"&lt;&gt;#ref!",B6:B13)</f>
        <v>281824</v>
      </c>
      <c r="C2" s="2564" t="s">
        <v>2515</v>
      </c>
      <c r="D2" s="2565" t="s">
        <v>2516</v>
      </c>
      <c r="E2" s="2566">
        <f>SUM(E6:E13)</f>
        <v>218862.73</v>
      </c>
    </row>
    <row r="3" spans="1:6" ht="15.75">
      <c r="A3" s="2562" t="s">
        <v>1389</v>
      </c>
      <c r="B3" s="2563">
        <f ca="1">ROUND(B2*10000/E2,0)</f>
        <v>12877</v>
      </c>
      <c r="C3" s="2564" t="s">
        <v>2523</v>
      </c>
      <c r="D3" s="2567"/>
      <c r="E3" s="2568"/>
    </row>
    <row r="4" spans="1:6" ht="15.75">
      <c r="A4" s="2569"/>
      <c r="B4" s="2567"/>
      <c r="C4" s="2567"/>
      <c r="D4" s="2567"/>
      <c r="E4" s="2568"/>
    </row>
    <row r="5" spans="1:6" ht="15">
      <c r="A5" s="2570" t="s">
        <v>2517</v>
      </c>
      <c r="B5" s="3288" t="s">
        <v>2518</v>
      </c>
      <c r="C5" s="3288"/>
      <c r="D5" s="2571"/>
      <c r="E5" s="2572" t="s">
        <v>2519</v>
      </c>
      <c r="F5" s="2573" t="s">
        <v>2520</v>
      </c>
    </row>
    <row r="6" spans="1:6">
      <c r="A6" s="2574" t="str">
        <f>'数据-取费表'!AN6</f>
        <v>收益法（计容）</v>
      </c>
      <c r="B6" s="2573">
        <f ca="1">IF(F6="是",'数据-取费表'!AO6,0)</f>
        <v>248773</v>
      </c>
      <c r="C6" s="2564" t="s">
        <v>2515</v>
      </c>
      <c r="D6" s="2567"/>
      <c r="E6" s="2575">
        <f>IF(OR(A6=0,F6="否"),0,'数据-取费表'!K6+'数据-取费表'!S6)</f>
        <v>166374.91</v>
      </c>
      <c r="F6" s="2576" t="s">
        <v>2521</v>
      </c>
    </row>
    <row r="7" spans="1:6">
      <c r="A7" s="2574" t="str">
        <f>'数据-取费表'!AN7</f>
        <v>收益法（不计容）</v>
      </c>
      <c r="B7" s="2573">
        <f ca="1">IF(F7="是",'数据-取费表'!AO7,0)</f>
        <v>33051</v>
      </c>
      <c r="C7" s="2564" t="s">
        <v>2515</v>
      </c>
      <c r="D7" s="2567"/>
      <c r="E7" s="2575">
        <f>IF(OR(A7=0,F7="否"),0,'数据-取费表'!K7+'数据-取费表'!S7)</f>
        <v>52487.820000000007</v>
      </c>
      <c r="F7" s="2576" t="s">
        <v>2521</v>
      </c>
    </row>
    <row r="8" spans="1:6">
      <c r="A8" s="2574">
        <f>'数据-取费表'!AN8</f>
        <v>0</v>
      </c>
      <c r="B8" s="2573" t="e">
        <f ca="1">IF(F8="是",'数据-取费表'!AO8,0)</f>
        <v>#REF!</v>
      </c>
      <c r="C8" s="2564" t="s">
        <v>2515</v>
      </c>
      <c r="D8" s="2567"/>
      <c r="E8" s="2575">
        <f>IF(OR(A8=0,F8="否"),0,'数据-取费表'!K8+'数据-取费表'!S8)</f>
        <v>0</v>
      </c>
      <c r="F8" s="2576" t="s">
        <v>2521</v>
      </c>
    </row>
    <row r="9" spans="1:6">
      <c r="A9" s="2574">
        <f>'数据-取费表'!AN9</f>
        <v>0</v>
      </c>
      <c r="B9" s="2573" t="e">
        <f ca="1">IF(F9="是",'数据-取费表'!AO9,0)</f>
        <v>#REF!</v>
      </c>
      <c r="C9" s="2564" t="s">
        <v>2515</v>
      </c>
      <c r="D9" s="2567"/>
      <c r="E9" s="2575">
        <f>IF(OR(A9=0,F9="否"),0,'数据-取费表'!K9+'数据-取费表'!S9)</f>
        <v>0</v>
      </c>
      <c r="F9" s="2576" t="s">
        <v>2521</v>
      </c>
    </row>
    <row r="10" spans="1:6">
      <c r="A10" s="2574">
        <f>'数据-取费表'!AN10</f>
        <v>0</v>
      </c>
      <c r="B10" s="2573" t="e">
        <f ca="1">IF(F10="是",'数据-取费表'!AO10,0)</f>
        <v>#REF!</v>
      </c>
      <c r="C10" s="2564" t="s">
        <v>2515</v>
      </c>
      <c r="D10" s="2567"/>
      <c r="E10" s="2575">
        <f>IF(OR(A10=0,F10="否"),0,'数据-取费表'!K10+'数据-取费表'!S10)</f>
        <v>0</v>
      </c>
      <c r="F10" s="2576" t="s">
        <v>2521</v>
      </c>
    </row>
    <row r="11" spans="1:6">
      <c r="A11" s="2574">
        <f>'数据-取费表'!AN11</f>
        <v>0</v>
      </c>
      <c r="B11" s="2573" t="e">
        <f ca="1">IF(F11="是",'数据-取费表'!AO11,0)</f>
        <v>#REF!</v>
      </c>
      <c r="C11" s="2564" t="s">
        <v>2515</v>
      </c>
      <c r="D11" s="2567"/>
      <c r="E11" s="2575">
        <f>IF(OR(A11=0,F11="否"),0,'数据-取费表'!K11+'数据-取费表'!S11)</f>
        <v>0</v>
      </c>
      <c r="F11" s="2576" t="s">
        <v>2521</v>
      </c>
    </row>
    <row r="12" spans="1:6">
      <c r="A12" s="2574">
        <f>'数据-取费表'!AN12</f>
        <v>0</v>
      </c>
      <c r="B12" s="2573" t="e">
        <f ca="1">IF(F12="是",'数据-取费表'!AO12,0)</f>
        <v>#REF!</v>
      </c>
      <c r="C12" s="2564" t="s">
        <v>2515</v>
      </c>
      <c r="D12" s="2567"/>
      <c r="E12" s="2575">
        <f>IF(OR(A12=0,F12="否"),0,'数据-取费表'!K12+'数据-取费表'!S12)</f>
        <v>0</v>
      </c>
      <c r="F12" s="2576" t="s">
        <v>2521</v>
      </c>
    </row>
    <row r="13" spans="1:6" ht="15" thickBot="1">
      <c r="A13" s="2577">
        <f>'数据-取费表'!AN13</f>
        <v>0</v>
      </c>
      <c r="B13" s="2573" t="e">
        <f ca="1">IF(F13="是",'数据-取费表'!AO13,0)</f>
        <v>#REF!</v>
      </c>
      <c r="C13" s="2578" t="s">
        <v>2515</v>
      </c>
      <c r="D13" s="2579"/>
      <c r="E13" s="2575">
        <f>IF(OR(A13=0,F13="否"),0,'数据-取费表'!K13+'数据-取费表'!S13)</f>
        <v>0</v>
      </c>
      <c r="F13" s="257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1605</v>
      </c>
    </row>
    <row r="2" spans="1:1">
      <c r="A2" s="1941"/>
    </row>
    <row r="3" spans="1:1" ht="18">
      <c r="A3" s="1942" t="str">
        <f>项目基本情况!B5&amp;"："</f>
        <v>：</v>
      </c>
    </row>
    <row r="4" spans="1:1" ht="36">
      <c r="A4" s="1943" t="str">
        <f>"受贵公司委托，我公司对"&amp;项目基本情况!S1&amp;"进行了预评估。"</f>
        <v>受贵公司委托，我公司对出让国有建设用地使用权及在建建筑物房地产抵押价值进行了预评估。</v>
      </c>
    </row>
    <row r="5" spans="1:1" ht="18.75">
      <c r="A5" s="1944" t="s">
        <v>1606</v>
      </c>
    </row>
    <row r="6" spans="1:1" ht="18.75">
      <c r="A6" s="1945" t="s">
        <v>1607</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估价对象为出让国有建设用地使用权及在建建筑物房地产，为所有。根据《国有土地使用证》[]，估价对象（分摊）出让国有建设用地使用权面积为196085平方米，建筑面积为218862.73平方米。</v>
      </c>
    </row>
    <row r="8" spans="1:1" ht="57.75">
      <c r="A8" s="1946" t="s">
        <v>1608</v>
      </c>
    </row>
    <row r="9" spans="1:1" ht="18.75">
      <c r="A9" s="1945" t="s">
        <v>1609</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196085平方米，规划建筑面积为218862.73平方米。</v>
      </c>
    </row>
    <row r="11" spans="1:1" ht="76.5">
      <c r="A11" s="1946" t="s">
        <v>1610</v>
      </c>
    </row>
    <row r="12" spans="1:1" ht="18.75">
      <c r="A12" s="1944" t="s">
        <v>1611</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1612</v>
      </c>
    </row>
    <row r="15" spans="1:1" ht="18">
      <c r="A15" s="1949" t="str">
        <f>TEXT(项目基本情况!D3,"yyyy年m月d日;;")&amp;IF(项目基本情况!D3=项目基本情况!B3,"（评估专业人员实地查勘之日）","")</f>
        <v>2020年3月15日</v>
      </c>
    </row>
    <row r="16" spans="1:1" ht="18.75">
      <c r="A16" s="1948" t="s">
        <v>1613</v>
      </c>
    </row>
    <row r="17" spans="1:1" ht="75">
      <c r="A17" s="1943" t="s">
        <v>1614</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1603</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1604</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106" zoomScaleNormal="70" zoomScaleSheetLayoutView="90" workbookViewId="0">
      <selection activeCell="D8" sqref="D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87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30" customWidth="1"/>
    <col min="12" max="12" width="16.375" style="300" customWidth="1"/>
    <col min="13" max="13" width="13" style="300" customWidth="1"/>
    <col min="14" max="14" width="13.875" style="1838" customWidth="1"/>
    <col min="15" max="15" width="5.125" style="1838" customWidth="1"/>
    <col min="16" max="16" width="25.875" style="1838" customWidth="1"/>
    <col min="17" max="17" width="13.875" style="1838" customWidth="1"/>
    <col min="18" max="18" width="20.5" style="1838" customWidth="1"/>
    <col min="19" max="19" width="13.125" style="1838" customWidth="1"/>
    <col min="20" max="37" width="9" style="1838"/>
    <col min="38" max="16384" width="9" style="300"/>
  </cols>
  <sheetData>
    <row r="1" spans="1:37" s="335" customFormat="1" ht="21">
      <c r="A1" s="1829" t="s">
        <v>1583</v>
      </c>
      <c r="B1" s="779"/>
      <c r="C1" s="3020" t="s">
        <v>3538</v>
      </c>
      <c r="D1" s="1816" t="s">
        <v>3075</v>
      </c>
      <c r="E1" s="1817" t="s">
        <v>1381</v>
      </c>
      <c r="F1" s="1280">
        <f ca="1">J53</f>
        <v>38.86</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1509</v>
      </c>
      <c r="B2" s="1840">
        <f ca="1">C40+J29+L46</f>
        <v>33051</v>
      </c>
      <c r="C2" s="1841" t="s">
        <v>1510</v>
      </c>
      <c r="D2" s="1841"/>
      <c r="E2" s="1842"/>
      <c r="F2" s="1843"/>
      <c r="G2" s="1844"/>
      <c r="H2" s="1836"/>
      <c r="I2" s="1836"/>
      <c r="J2" s="1836"/>
      <c r="K2" s="1837"/>
      <c r="L2" s="1836"/>
      <c r="M2" s="1836"/>
    </row>
    <row r="3" spans="1:37" ht="18" customHeight="1" thickBot="1">
      <c r="A3" s="1845" t="s">
        <v>1511</v>
      </c>
      <c r="B3" s="1846">
        <f ca="1">IF(ISERROR(B2*10000/F43),0,ROUND(B2*10000/F43,0))</f>
        <v>6297</v>
      </c>
      <c r="C3" s="1841" t="s">
        <v>1512</v>
      </c>
      <c r="D3" s="1841"/>
      <c r="E3" s="1842"/>
      <c r="F3" s="1843"/>
      <c r="G3" s="1844"/>
      <c r="H3" s="741" t="s">
        <v>1582</v>
      </c>
      <c r="I3" s="1836"/>
      <c r="J3" s="1836"/>
      <c r="K3" s="1837"/>
      <c r="L3" s="1836"/>
      <c r="M3" s="1836"/>
    </row>
    <row r="4" spans="1:37" ht="18" customHeight="1">
      <c r="A4" s="338" t="s">
        <v>1390</v>
      </c>
      <c r="B4" s="339" t="s">
        <v>1391</v>
      </c>
      <c r="C4" s="339" t="s">
        <v>1392</v>
      </c>
      <c r="D4" s="339" t="s">
        <v>1393</v>
      </c>
      <c r="E4" s="340" t="s">
        <v>1394</v>
      </c>
      <c r="F4" s="341"/>
      <c r="G4" s="1847"/>
      <c r="H4" s="338" t="s">
        <v>1390</v>
      </c>
      <c r="I4" s="339" t="s">
        <v>1391</v>
      </c>
      <c r="J4" s="339" t="s">
        <v>1392</v>
      </c>
      <c r="K4" s="339" t="s">
        <v>1393</v>
      </c>
      <c r="L4" s="340" t="s">
        <v>1394</v>
      </c>
      <c r="M4" s="341"/>
    </row>
    <row r="5" spans="1:37" ht="18" customHeight="1">
      <c r="A5" s="342">
        <v>1</v>
      </c>
      <c r="B5" s="343" t="s">
        <v>1395</v>
      </c>
      <c r="C5" s="1289">
        <f ca="1">C6+C10+C12</f>
        <v>2586</v>
      </c>
      <c r="D5" s="1818" t="s">
        <v>1396</v>
      </c>
      <c r="E5" s="1290"/>
      <c r="F5" s="1291"/>
      <c r="G5" s="1847"/>
      <c r="H5" s="342">
        <v>1</v>
      </c>
      <c r="I5" s="343" t="s">
        <v>1395</v>
      </c>
      <c r="J5" s="1289">
        <f ca="1">J6+J10+J12</f>
        <v>0</v>
      </c>
      <c r="K5" s="1818" t="s">
        <v>1396</v>
      </c>
      <c r="L5" s="1290"/>
      <c r="M5" s="1291"/>
    </row>
    <row r="6" spans="1:37" ht="18" customHeight="1">
      <c r="A6" s="1288" t="s">
        <v>1031</v>
      </c>
      <c r="B6" s="3285" t="s">
        <v>1397</v>
      </c>
      <c r="C6" s="1293">
        <f ca="1">ROUND(F6*F8*F7*(1-F9)/10000,0)</f>
        <v>2586</v>
      </c>
      <c r="D6" s="162" t="s">
        <v>3027</v>
      </c>
      <c r="E6" s="345" t="s">
        <v>1399</v>
      </c>
      <c r="F6" s="346">
        <f ca="1">INDIRECT("'数据-取费表'!u"&amp;$G$1)</f>
        <v>1.5</v>
      </c>
      <c r="G6" s="1847"/>
      <c r="H6" s="1288" t="s">
        <v>1031</v>
      </c>
      <c r="I6" s="3285" t="s">
        <v>1397</v>
      </c>
      <c r="J6" s="344">
        <f ca="1">ROUND(M6*M8*M7*(1-M9)/10000,0)</f>
        <v>0</v>
      </c>
      <c r="K6" s="162" t="s">
        <v>3026</v>
      </c>
      <c r="L6" s="345" t="s">
        <v>1399</v>
      </c>
      <c r="M6" s="346">
        <f ca="1">INDIRECT("'数据-取费表'!z"&amp;$G$1)</f>
        <v>0</v>
      </c>
    </row>
    <row r="7" spans="1:37" ht="18" customHeight="1">
      <c r="A7" s="1292"/>
      <c r="B7" s="3286"/>
      <c r="C7" s="1294"/>
      <c r="D7" s="350"/>
      <c r="E7" s="2959" t="s">
        <v>1400</v>
      </c>
      <c r="F7" s="346">
        <f ca="1">IF(INDIRECT("'数据-取费表'!ah"&amp;$G$1)="",INDIRECT("'数据-取费表'!k"&amp;$G$1),INDIRECT("'数据-取费表'!ah"&amp;$G$1))</f>
        <v>52487.820000000007</v>
      </c>
      <c r="G7" s="1847"/>
      <c r="H7" s="347"/>
      <c r="I7" s="3286"/>
      <c r="J7" s="349"/>
      <c r="K7" s="350"/>
      <c r="L7" s="345" t="s">
        <v>1400</v>
      </c>
      <c r="M7" s="346">
        <f ca="1">F7</f>
        <v>52487.820000000007</v>
      </c>
    </row>
    <row r="8" spans="1:37" ht="18" customHeight="1">
      <c r="A8" s="347"/>
      <c r="B8" s="3286"/>
      <c r="C8" s="349"/>
      <c r="D8" s="350"/>
      <c r="E8" s="345" t="s">
        <v>1401</v>
      </c>
      <c r="F8" s="346">
        <f ca="1">INDIRECT("'数据-取费表'!ai"&amp;$G$1)</f>
        <v>365</v>
      </c>
      <c r="G8" s="1847"/>
      <c r="H8" s="347"/>
      <c r="I8" s="3286"/>
      <c r="J8" s="349"/>
      <c r="K8" s="350"/>
      <c r="L8" s="345" t="s">
        <v>1401</v>
      </c>
      <c r="M8" s="346">
        <f ca="1">INDIRECT("'数据-取费表'!ai"&amp;$G$1)</f>
        <v>365</v>
      </c>
    </row>
    <row r="9" spans="1:37" ht="18" customHeight="1">
      <c r="A9" s="347"/>
      <c r="B9" s="3287"/>
      <c r="C9" s="349"/>
      <c r="D9" s="350"/>
      <c r="E9" s="345" t="s">
        <v>1402</v>
      </c>
      <c r="F9" s="355">
        <f ca="1">INDIRECT("'数据-取费表'!w"&amp;$G$1)</f>
        <v>0.1</v>
      </c>
      <c r="G9" s="1847"/>
      <c r="H9" s="347"/>
      <c r="I9" s="3287"/>
      <c r="J9" s="349"/>
      <c r="K9" s="350"/>
      <c r="L9" s="356" t="s">
        <v>1402</v>
      </c>
      <c r="M9" s="357">
        <f ca="1">INDIRECT("'数据-取费表'!ab"&amp;$G$1)</f>
        <v>0</v>
      </c>
    </row>
    <row r="10" spans="1:37" ht="18" customHeight="1">
      <c r="A10" s="1288" t="s">
        <v>1035</v>
      </c>
      <c r="B10" s="1819" t="s">
        <v>1403</v>
      </c>
      <c r="C10" s="359">
        <f ca="1">ROUND(IF(F10="押一",C6/12*F11,IF(F10="押二",C6/12*2*F11,IF(F10="押三",C6/12*3*F11,C11*F11))),0)</f>
        <v>0</v>
      </c>
      <c r="D10" s="1820" t="s">
        <v>3035</v>
      </c>
      <c r="E10" s="356" t="s">
        <v>1404</v>
      </c>
      <c r="F10" s="1363"/>
      <c r="G10" s="1847"/>
      <c r="H10" s="1288" t="s">
        <v>1035</v>
      </c>
      <c r="I10" s="1819" t="s">
        <v>1403</v>
      </c>
      <c r="J10" s="344">
        <f ca="1">ROUND(IF(M10="押一",J6/12*M11,IF(M10="押二",J6/12*2*M11,IF(M10="押三",J6/12*3*M11,J11*M11))),0)</f>
        <v>0</v>
      </c>
      <c r="K10" s="1820" t="s">
        <v>3035</v>
      </c>
      <c r="L10" s="356" t="s">
        <v>1404</v>
      </c>
      <c r="M10" s="1363" t="s">
        <v>1405</v>
      </c>
    </row>
    <row r="11" spans="1:37" ht="18" customHeight="1">
      <c r="A11" s="351"/>
      <c r="B11" s="1821" t="s">
        <v>1382</v>
      </c>
      <c r="C11" s="1175"/>
      <c r="D11" s="1822"/>
      <c r="E11" s="356" t="s">
        <v>1406</v>
      </c>
      <c r="F11" s="357">
        <f ca="1">'数据-取费表'!B39</f>
        <v>1.4999999999999999E-2</v>
      </c>
      <c r="G11" s="1847"/>
      <c r="H11" s="1296"/>
      <c r="I11" s="1821" t="s">
        <v>1382</v>
      </c>
      <c r="J11" s="1175"/>
      <c r="K11" s="745"/>
      <c r="L11" s="356"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3">
        <f ca="1">ROUND(C29*F13,0)</f>
        <v>34053</v>
      </c>
      <c r="D13" s="1328" t="s">
        <v>1409</v>
      </c>
      <c r="E13" s="1328" t="s">
        <v>1410</v>
      </c>
      <c r="F13" s="1329">
        <f ca="1">INDIRECT("'数据-取费表'!y"&amp;$G$1)</f>
        <v>1</v>
      </c>
      <c r="G13" s="1847"/>
      <c r="H13" s="1326">
        <v>2</v>
      </c>
      <c r="I13" s="1327" t="s">
        <v>1408</v>
      </c>
      <c r="J13" s="1287">
        <f ca="1">ROUND(J14*J15,0)</f>
        <v>0</v>
      </c>
      <c r="K13" s="1334" t="s">
        <v>1409</v>
      </c>
      <c r="L13" s="1848"/>
      <c r="M13" s="1849"/>
    </row>
    <row r="14" spans="1:37" ht="18" customHeight="1">
      <c r="A14" s="1198" t="s">
        <v>1030</v>
      </c>
      <c r="B14" s="345" t="s">
        <v>1411</v>
      </c>
      <c r="C14" s="361">
        <f ca="1">INDIRECT("'数据-取费表'!m"&amp;$G$1)+INDIRECT("'数据-取费表'!t"&amp;$G$1)</f>
        <v>26244</v>
      </c>
      <c r="D14" s="2962" t="s">
        <v>1412</v>
      </c>
      <c r="E14" s="2961"/>
      <c r="F14" s="362"/>
      <c r="G14" s="1847"/>
      <c r="H14" s="1198" t="s">
        <v>1031</v>
      </c>
      <c r="I14" s="345" t="s">
        <v>1413</v>
      </c>
      <c r="J14" s="24">
        <f ca="1">C29</f>
        <v>34053</v>
      </c>
      <c r="K14" s="2958"/>
      <c r="L14" s="976"/>
      <c r="M14" s="977"/>
    </row>
    <row r="15" spans="1:37" s="1854" customFormat="1" ht="18" customHeight="1" thickBot="1">
      <c r="A15" s="1198" t="s">
        <v>1032</v>
      </c>
      <c r="B15" s="345" t="s">
        <v>1414</v>
      </c>
      <c r="C15" s="24">
        <f ca="1">ROUND(C14*F15,0)</f>
        <v>787</v>
      </c>
      <c r="D15" s="363" t="s">
        <v>1415</v>
      </c>
      <c r="E15" s="363" t="s">
        <v>1416</v>
      </c>
      <c r="F15" s="364">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7"/>
      <c r="H16" s="1326" t="s">
        <v>1026</v>
      </c>
      <c r="I16" s="1327" t="s">
        <v>1418</v>
      </c>
      <c r="J16" s="353">
        <f ca="1">ROUND(J17+J22+J23+J24,0)</f>
        <v>891</v>
      </c>
      <c r="K16" s="1334" t="s">
        <v>1419</v>
      </c>
      <c r="L16" s="2964"/>
      <c r="M16" s="1291"/>
    </row>
    <row r="17" spans="1:37" s="1854" customFormat="1" ht="18" customHeight="1">
      <c r="A17" s="1198" t="s">
        <v>1384</v>
      </c>
      <c r="B17" s="345" t="s">
        <v>1420</v>
      </c>
      <c r="C17" s="24">
        <f ca="1">ROUND(F17*(F43+INDIRECT("'数据-取费表'!S"&amp;$G$1))/10000,0)</f>
        <v>1050</v>
      </c>
      <c r="D17" s="345" t="s">
        <v>1421</v>
      </c>
      <c r="E17" s="345" t="s">
        <v>1422</v>
      </c>
      <c r="F17" s="26">
        <f>'数据-取费表'!B35</f>
        <v>200</v>
      </c>
      <c r="G17" s="1850"/>
      <c r="H17" s="1198" t="s">
        <v>1031</v>
      </c>
      <c r="I17" s="345" t="s">
        <v>1423</v>
      </c>
      <c r="J17" s="24">
        <f ca="1">ROUND(IF(项目基本情况!B11="自然人",J6*M17/(1+'数据-取费表'!C42),J18+J19+J20),1)</f>
        <v>380.1</v>
      </c>
      <c r="K17" s="2962" t="s">
        <v>1424</v>
      </c>
      <c r="L17" s="2963" t="s">
        <v>1425</v>
      </c>
      <c r="M17" s="366">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5" t="s">
        <v>1426</v>
      </c>
      <c r="C18" s="24">
        <f ca="1">ROUND(C14*F18,0)</f>
        <v>394</v>
      </c>
      <c r="D18" s="345" t="s">
        <v>1415</v>
      </c>
      <c r="E18" s="345" t="s">
        <v>1416</v>
      </c>
      <c r="F18" s="365">
        <f>'数据-取费表'!B36</f>
        <v>1.4999999999999999E-2</v>
      </c>
      <c r="G18" s="1850"/>
      <c r="H18" s="1198" t="s">
        <v>1030</v>
      </c>
      <c r="I18" s="345" t="s">
        <v>1427</v>
      </c>
      <c r="J18" s="24">
        <f ca="1">ROUND(J6*M18/(1+'数据-取费表'!C42),2)</f>
        <v>0</v>
      </c>
      <c r="K18" s="2963" t="s">
        <v>1428</v>
      </c>
      <c r="L18" s="345" t="s">
        <v>1416</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5" t="s">
        <v>1429</v>
      </c>
      <c r="C19" s="24">
        <f ca="1">SUM(C14:C18)</f>
        <v>28475</v>
      </c>
      <c r="D19" s="140" t="s">
        <v>1430</v>
      </c>
      <c r="E19" s="2957"/>
      <c r="F19" s="26"/>
      <c r="G19" s="1847"/>
      <c r="H19" s="1198" t="s">
        <v>1032</v>
      </c>
      <c r="I19" s="345" t="s">
        <v>1431</v>
      </c>
      <c r="J19" s="24">
        <f ca="1">IF(K19="按租金收入计税",ROUND(J6*M19/(1+'数据-取费表'!C42),2),ROUND(C29*M19*0.7,2))</f>
        <v>286.05</v>
      </c>
      <c r="K19" s="1824" t="s">
        <v>1432</v>
      </c>
      <c r="L19" s="345" t="s">
        <v>1416</v>
      </c>
      <c r="M19" s="365">
        <f>IF(K19="按租金收入计税",'数据-取费表'!B51,'数据-取费表'!B50)</f>
        <v>1.2E-2</v>
      </c>
    </row>
    <row r="20" spans="1:37" s="1854" customFormat="1" ht="18" customHeight="1">
      <c r="A20" s="1198" t="s">
        <v>1035</v>
      </c>
      <c r="B20" s="345" t="s">
        <v>1433</v>
      </c>
      <c r="C20" s="24">
        <f ca="1">ROUND(C19*F20,0)</f>
        <v>427</v>
      </c>
      <c r="D20" s="367" t="s">
        <v>1434</v>
      </c>
      <c r="E20" s="345" t="s">
        <v>1416</v>
      </c>
      <c r="F20" s="365">
        <f>'数据-取费表'!B37</f>
        <v>1.4999999999999999E-2</v>
      </c>
      <c r="G20" s="1850"/>
      <c r="H20" s="1198" t="s">
        <v>1383</v>
      </c>
      <c r="I20" s="162" t="s">
        <v>1435</v>
      </c>
      <c r="J20" s="25">
        <f ca="1">ROUND(M20*M21/10000,2)</f>
        <v>94.05</v>
      </c>
      <c r="K20" s="368" t="s">
        <v>1436</v>
      </c>
      <c r="L20" s="345" t="s">
        <v>1437</v>
      </c>
      <c r="M20" s="369">
        <f>'数据-取费表'!B52</f>
        <v>20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5" t="s">
        <v>1438</v>
      </c>
      <c r="C21" s="24" t="s">
        <v>1</v>
      </c>
      <c r="D21" s="367" t="s">
        <v>1439</v>
      </c>
      <c r="E21" s="345" t="s">
        <v>1440</v>
      </c>
      <c r="F21" s="365">
        <f>'数据-取费表'!B38</f>
        <v>0.02</v>
      </c>
      <c r="G21" s="1850"/>
      <c r="H21" s="370"/>
      <c r="I21" s="354"/>
      <c r="J21" s="29"/>
      <c r="K21" s="371"/>
      <c r="L21" s="345" t="s">
        <v>1441</v>
      </c>
      <c r="M21" s="346">
        <f ca="1">INDIRECT("'数据-取费表'!r"&amp;$G$1)</f>
        <v>47025.25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5" t="s">
        <v>1442</v>
      </c>
      <c r="C22" s="24"/>
      <c r="D22" s="140" t="str">
        <f>IF(F23&lt;=1,"单利计息。","复利计息。")&amp;"建造成本、管理费用、销售费用产生的利息。"</f>
        <v>复利计息。建造成本、管理费用、销售费用产生的利息。</v>
      </c>
      <c r="E22" s="2957"/>
      <c r="F22" s="26"/>
      <c r="G22" s="1847"/>
      <c r="H22" s="1198" t="s">
        <v>1035</v>
      </c>
      <c r="I22" s="345" t="s">
        <v>1443</v>
      </c>
      <c r="J22" s="24">
        <f ca="1">ROUND(J14*M22,1)</f>
        <v>510.8</v>
      </c>
      <c r="K22" s="2963" t="s">
        <v>1444</v>
      </c>
      <c r="L22" s="345" t="s">
        <v>1416</v>
      </c>
      <c r="M22" s="372">
        <f ca="1">INDIRECT("'数据-取费表'!Ak"&amp;$G$1)</f>
        <v>1.4999999999999999E-2</v>
      </c>
    </row>
    <row r="23" spans="1:37" s="1854" customFormat="1" ht="18" customHeight="1">
      <c r="A23" s="1198" t="s">
        <v>1030</v>
      </c>
      <c r="B23" s="345" t="s">
        <v>1445</v>
      </c>
      <c r="C23" s="24">
        <f ca="1">IF('数据-取费表'!B22&lt;=1,ROUND(C19*F24*F23/2,0)+ROUND(C20*F24*F23/2,0),ROUND(C19*(POWER((1+F24),F23/2)-1),0)+ROUND(C20*(POWER((1+F24),F23/2)-1),0))</f>
        <v>1727</v>
      </c>
      <c r="D23" s="373" t="str">
        <f>IF(F23&lt;=1,"(建造成本+管理费用)×利率×(建设周期÷2)","(建造成本+管理费用)×((1+利率)^(建设周期÷2)-1)")</f>
        <v>(建造成本+管理费用)×((1+利率)^(建设周期÷2)-1)</v>
      </c>
      <c r="E23" s="345" t="s">
        <v>1446</v>
      </c>
      <c r="F23" s="369">
        <f>'数据-取费表'!B20</f>
        <v>2.5</v>
      </c>
      <c r="G23" s="1850"/>
      <c r="H23" s="1198" t="s">
        <v>1071</v>
      </c>
      <c r="I23" s="345" t="s">
        <v>1447</v>
      </c>
      <c r="J23" s="24">
        <f ca="1">ROUND(J13*M23,1)</f>
        <v>0</v>
      </c>
      <c r="K23" s="2963" t="s">
        <v>1448</v>
      </c>
      <c r="L23" s="345" t="s">
        <v>1416</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1032</v>
      </c>
      <c r="B24" s="345" t="s">
        <v>1451</v>
      </c>
      <c r="C24" s="24">
        <f ca="1">ROUND(IF('数据-取费表'!B22&lt;=1,F21*F24*F23/2,F21*(POWER((1+F24),F23/2)-1)),4)</f>
        <v>1.1999999999999999E-3</v>
      </c>
      <c r="D24" s="373" t="str">
        <f>IF(F23&lt;=1,"销售费用×利率×(建设周期÷2)","销售费用×((1+利率)^(建设周期÷2)-1)")</f>
        <v>销售费用×((1+利率)^(建设周期÷2)-1)</v>
      </c>
      <c r="E24" s="345" t="s">
        <v>1452</v>
      </c>
      <c r="F24" s="375">
        <f ca="1">'数据-取费表'!B40</f>
        <v>4.7500000000000001E-2</v>
      </c>
      <c r="G24" s="1850"/>
      <c r="H24" s="1336" t="s">
        <v>1386</v>
      </c>
      <c r="I24" s="1337" t="s">
        <v>1433</v>
      </c>
      <c r="J24" s="1338">
        <f ca="1">ROUND(J5*M24,1)</f>
        <v>0</v>
      </c>
      <c r="K24" s="1339" t="s">
        <v>1453</v>
      </c>
      <c r="L24" s="1337" t="s">
        <v>1416</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1454</v>
      </c>
      <c r="B25" s="345" t="s">
        <v>1455</v>
      </c>
      <c r="C25" s="24"/>
      <c r="D25" s="140" t="s">
        <v>1456</v>
      </c>
      <c r="E25" s="2957"/>
      <c r="F25" s="26"/>
      <c r="G25" s="1847"/>
      <c r="H25" s="1326" t="s">
        <v>1027</v>
      </c>
      <c r="I25" s="1341" t="s">
        <v>1457</v>
      </c>
      <c r="J25" s="353">
        <f ca="1">J5-J16</f>
        <v>-891</v>
      </c>
      <c r="K25" s="1342" t="s">
        <v>1458</v>
      </c>
      <c r="L25" s="1343"/>
      <c r="M25" s="1344"/>
    </row>
    <row r="26" spans="1:37">
      <c r="A26" s="1198" t="s">
        <v>1030</v>
      </c>
      <c r="B26" s="345" t="s">
        <v>1459</v>
      </c>
      <c r="C26" s="24">
        <f ca="1">ROUND((C19+C20)*F26,0)</f>
        <v>867</v>
      </c>
      <c r="D26" s="367" t="s">
        <v>1460</v>
      </c>
      <c r="E26" s="356" t="s">
        <v>1461</v>
      </c>
      <c r="F26" s="355">
        <f ca="1">INDIRECT("'数据-取费表'!q"&amp;$G$1)</f>
        <v>0.03</v>
      </c>
      <c r="G26" s="1847"/>
      <c r="H26" s="342" t="s">
        <v>1028</v>
      </c>
      <c r="I26" s="343" t="s">
        <v>1462</v>
      </c>
      <c r="J26" s="344">
        <f ca="1">IF(J5&lt;&gt;0,ROUND(J25*(1-((1+M28)/(1+M26))^M27)/(M26-M28),0),0)</f>
        <v>0</v>
      </c>
      <c r="K26" s="368" t="s">
        <v>1463</v>
      </c>
      <c r="L26" s="345" t="s">
        <v>1464</v>
      </c>
      <c r="M26" s="355">
        <f ca="1">INDIRECT("'数据-取费表'!I"&amp;$G$1)</f>
        <v>5.5E-2</v>
      </c>
    </row>
    <row r="27" spans="1:37" ht="18" customHeight="1">
      <c r="A27" s="1198" t="s">
        <v>1032</v>
      </c>
      <c r="B27" s="345" t="s">
        <v>1465</v>
      </c>
      <c r="C27" s="24">
        <f ca="1">ROUND(F21*F26,4)</f>
        <v>5.9999999999999995E-4</v>
      </c>
      <c r="D27" s="367" t="s">
        <v>1466</v>
      </c>
      <c r="E27" s="363"/>
      <c r="F27" s="364"/>
      <c r="G27" s="1847"/>
      <c r="H27" s="347"/>
      <c r="I27" s="348"/>
      <c r="J27" s="349"/>
      <c r="K27" s="376" t="s">
        <v>1467</v>
      </c>
      <c r="L27" s="345" t="s">
        <v>1468</v>
      </c>
      <c r="M27" s="377">
        <f ca="1">INDIRECT("'数据-取费表'!ag"&amp;$G$1)</f>
        <v>0</v>
      </c>
    </row>
    <row r="28" spans="1:37" s="1854" customFormat="1" ht="18" customHeight="1">
      <c r="A28" s="1198" t="s">
        <v>1033</v>
      </c>
      <c r="B28" s="345" t="s">
        <v>1469</v>
      </c>
      <c r="C28" s="24">
        <f>ROUND(F28/(1+'数据-取费表'!C42),4)</f>
        <v>5.33E-2</v>
      </c>
      <c r="D28" s="367" t="s">
        <v>1470</v>
      </c>
      <c r="E28" s="345" t="s">
        <v>1416</v>
      </c>
      <c r="F28" s="365">
        <f>'数据-取费表'!B41</f>
        <v>5.6000000000000001E-2</v>
      </c>
      <c r="G28" s="1850"/>
      <c r="H28" s="351"/>
      <c r="I28" s="352"/>
      <c r="J28" s="353"/>
      <c r="K28" s="371"/>
      <c r="L28" s="345" t="s">
        <v>1471</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34053</v>
      </c>
      <c r="D29" s="1339"/>
      <c r="E29" s="1337"/>
      <c r="F29" s="1340"/>
      <c r="G29" s="1850"/>
      <c r="H29" s="378" t="s">
        <v>1029</v>
      </c>
      <c r="I29" s="379" t="s">
        <v>1473</v>
      </c>
      <c r="J29" s="380">
        <f ca="1">ROUND(J26/(1+F40)^F41,0)</f>
        <v>0</v>
      </c>
      <c r="K29" s="381" t="s">
        <v>1474</v>
      </c>
      <c r="L29" s="382"/>
      <c r="M29" s="383">
        <f ca="1">INDIRECT("'数据-取费表'!k"&amp;$G$1)</f>
        <v>52487.820000000007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3">
        <f ca="1">ROUND(C31+C36+C37+C38,0)</f>
        <v>1115</v>
      </c>
      <c r="D30" s="1334" t="s">
        <v>1419</v>
      </c>
      <c r="E30" s="2964"/>
      <c r="F30" s="1291"/>
      <c r="G30" s="1847"/>
      <c r="H30" s="742"/>
      <c r="I30" s="743"/>
      <c r="J30" s="744"/>
      <c r="K30" s="745"/>
      <c r="L30" s="746"/>
      <c r="M30" s="747"/>
    </row>
    <row r="31" spans="1:37" ht="18" customHeight="1">
      <c r="A31" s="1198" t="s">
        <v>1031</v>
      </c>
      <c r="B31" s="345" t="s">
        <v>1423</v>
      </c>
      <c r="C31" s="24">
        <f ca="1">ROUND(IF(项目基本情况!B11="自然人",C6*F31/(1+'数据-取费表'!C42),C32+C33+C34),1)</f>
        <v>527.5</v>
      </c>
      <c r="D31" s="2962" t="s">
        <v>1424</v>
      </c>
      <c r="E31" s="2963" t="s">
        <v>1475</v>
      </c>
      <c r="F31" s="366">
        <f ca="1">IF(项目基本情况!B11="企业","",IF(INDIRECT("'数据-取费表'!c"&amp;$G$1)="住宅",5%,IF(F6*F7*F8/12/(1+'数据-取费表'!C42)&gt;20000,12%,7%)))</f>
        <v>0.12</v>
      </c>
      <c r="G31" s="1847"/>
      <c r="H31" s="742"/>
      <c r="I31" s="743"/>
      <c r="J31" s="744"/>
      <c r="K31" s="745"/>
      <c r="L31" s="746"/>
      <c r="M31" s="747"/>
    </row>
    <row r="32" spans="1:37" ht="18" customHeight="1">
      <c r="A32" s="1198" t="s">
        <v>1030</v>
      </c>
      <c r="B32" s="345" t="s">
        <v>1427</v>
      </c>
      <c r="C32" s="24">
        <f ca="1">IF(项目基本情况!B11="自然人","——",ROUND(C6*F32/(1+'数据-取费表'!C42),2))</f>
        <v>137.91999999999999</v>
      </c>
      <c r="D32" s="2963" t="s">
        <v>1428</v>
      </c>
      <c r="E32" s="345" t="s">
        <v>1416</v>
      </c>
      <c r="F32" s="375">
        <f>'数据-取费表'!B41</f>
        <v>5.6000000000000001E-2</v>
      </c>
      <c r="G32" s="1847"/>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295.54000000000002</v>
      </c>
      <c r="D33" s="2951" t="s">
        <v>3076</v>
      </c>
      <c r="E33" s="345" t="s">
        <v>1416</v>
      </c>
      <c r="F33" s="365">
        <f>IF(D33="按票据","——",IF(D33="按租金收入计税",'数据-取费表'!B51,'数据-取费表'!B50))</f>
        <v>0.12</v>
      </c>
      <c r="G33" s="1847"/>
      <c r="H33" s="1855"/>
      <c r="I33" s="1856"/>
      <c r="J33" s="1857"/>
      <c r="K33" s="1858"/>
      <c r="L33" s="1855"/>
      <c r="M33" s="1855"/>
    </row>
    <row r="34" spans="1:18" ht="18" customHeight="1">
      <c r="A34" s="1288" t="s">
        <v>1383</v>
      </c>
      <c r="B34" s="162" t="s">
        <v>1435</v>
      </c>
      <c r="C34" s="25">
        <f ca="1">IF(项目基本情况!B11="自然人","——",ROUND(F34*F35/10000,2))</f>
        <v>94.05</v>
      </c>
      <c r="D34" s="368" t="s">
        <v>1436</v>
      </c>
      <c r="E34" s="345" t="s">
        <v>1437</v>
      </c>
      <c r="F34" s="369">
        <f>'数据-取费表'!B52</f>
        <v>20</v>
      </c>
      <c r="G34" s="1847"/>
      <c r="H34" s="742"/>
      <c r="I34" s="1856"/>
      <c r="J34" s="1857"/>
      <c r="K34" s="1859"/>
      <c r="L34" s="1860"/>
      <c r="M34" s="1860"/>
    </row>
    <row r="35" spans="1:18" ht="18" customHeight="1">
      <c r="A35" s="1350"/>
      <c r="B35" s="1348"/>
      <c r="C35" s="29"/>
      <c r="D35" s="371"/>
      <c r="E35" s="345" t="s">
        <v>1441</v>
      </c>
      <c r="F35" s="346">
        <f ca="1">INDIRECT("'数据-取费表'!r"&amp;$G$1)</f>
        <v>47025.25</v>
      </c>
      <c r="G35" s="1847"/>
      <c r="H35" s="742"/>
      <c r="I35" s="1856"/>
      <c r="J35" s="1857"/>
      <c r="K35" s="1858"/>
      <c r="L35" s="1855"/>
      <c r="M35" s="1855"/>
    </row>
    <row r="36" spans="1:18" ht="18" customHeight="1">
      <c r="A36" s="1349" t="s">
        <v>1035</v>
      </c>
      <c r="B36" s="345" t="s">
        <v>1443</v>
      </c>
      <c r="C36" s="24">
        <f ca="1">ROUND(C29*F36,1)</f>
        <v>510.8</v>
      </c>
      <c r="D36" s="2963" t="s">
        <v>1476</v>
      </c>
      <c r="E36" s="345" t="s">
        <v>1416</v>
      </c>
      <c r="F36" s="372">
        <f ca="1">INDIRECT("'数据-取费表'!Ak"&amp;$G$1)</f>
        <v>1.4999999999999999E-2</v>
      </c>
      <c r="G36" s="1847"/>
      <c r="H36" s="1855"/>
      <c r="I36" s="1856"/>
      <c r="J36" s="1857"/>
      <c r="K36" s="748"/>
      <c r="L36" s="1855"/>
      <c r="M36" s="1855"/>
    </row>
    <row r="37" spans="1:18" ht="18" customHeight="1">
      <c r="A37" s="1198" t="s">
        <v>1071</v>
      </c>
      <c r="B37" s="345" t="s">
        <v>1447</v>
      </c>
      <c r="C37" s="24">
        <f ca="1">ROUND(C13*F37,1)</f>
        <v>51.1</v>
      </c>
      <c r="D37" s="2963" t="s">
        <v>1448</v>
      </c>
      <c r="E37" s="345" t="s">
        <v>1416</v>
      </c>
      <c r="F37" s="374">
        <f ca="1">INDIRECT("'数据-取费表'!Al"&amp;$G$1)</f>
        <v>1.5E-3</v>
      </c>
      <c r="G37" s="1847"/>
      <c r="H37" s="1855"/>
      <c r="I37" s="1856"/>
      <c r="J37" s="1857"/>
      <c r="K37" s="748"/>
      <c r="L37" s="1855"/>
      <c r="M37" s="1855"/>
    </row>
    <row r="38" spans="1:18" ht="18" customHeight="1" thickBot="1">
      <c r="A38" s="1336" t="s">
        <v>1386</v>
      </c>
      <c r="B38" s="1337" t="s">
        <v>1433</v>
      </c>
      <c r="C38" s="1338">
        <f ca="1">ROUND(C5*F38,1)</f>
        <v>25.9</v>
      </c>
      <c r="D38" s="1339" t="s">
        <v>1453</v>
      </c>
      <c r="E38" s="1337" t="s">
        <v>1416</v>
      </c>
      <c r="F38" s="1333">
        <f ca="1">INDIRECT("'数据-取费表'!Am"&amp;$G$1)</f>
        <v>0.01</v>
      </c>
      <c r="G38" s="1847"/>
      <c r="H38" s="1855"/>
      <c r="I38" s="1856"/>
      <c r="J38" s="1857"/>
      <c r="K38" s="1861"/>
      <c r="L38" s="1855"/>
      <c r="M38" s="1855"/>
    </row>
    <row r="39" spans="1:18" ht="24.6" customHeight="1" thickTop="1">
      <c r="A39" s="1326" t="s">
        <v>1027</v>
      </c>
      <c r="B39" s="1341" t="s">
        <v>1457</v>
      </c>
      <c r="C39" s="353">
        <f ca="1">C5-C30</f>
        <v>1471</v>
      </c>
      <c r="D39" s="1342" t="s">
        <v>1458</v>
      </c>
      <c r="E39" s="1343"/>
      <c r="F39" s="1344"/>
      <c r="G39" s="1847"/>
      <c r="H39" s="1855"/>
      <c r="I39" s="1856"/>
      <c r="J39" s="1857"/>
      <c r="K39" s="1861"/>
      <c r="L39" s="1855"/>
      <c r="M39" s="1855"/>
    </row>
    <row r="40" spans="1:18" ht="18" customHeight="1">
      <c r="A40" s="342" t="s">
        <v>1028</v>
      </c>
      <c r="B40" s="343" t="s">
        <v>1479</v>
      </c>
      <c r="C40" s="344">
        <f ca="1">ROUND(C39*(1-((1+F42)/(1+F40))^F41)/(F40-F42),0)</f>
        <v>33051</v>
      </c>
      <c r="D40" s="368" t="s">
        <v>1463</v>
      </c>
      <c r="E40" s="345" t="s">
        <v>1464</v>
      </c>
      <c r="F40" s="355">
        <f ca="1">INDIRECT("'数据-取费表'!I"&amp;$G$1)</f>
        <v>5.5E-2</v>
      </c>
      <c r="G40" s="1847"/>
      <c r="H40" s="1835"/>
      <c r="I40" s="1856"/>
      <c r="J40" s="1857"/>
      <c r="K40" s="1861"/>
      <c r="L40" s="1835"/>
      <c r="M40" s="1835"/>
    </row>
    <row r="41" spans="1:18" ht="18" customHeight="1">
      <c r="A41" s="347"/>
      <c r="B41" s="348"/>
      <c r="C41" s="349"/>
      <c r="D41" s="376" t="s">
        <v>1480</v>
      </c>
      <c r="E41" s="345" t="s">
        <v>1468</v>
      </c>
      <c r="F41" s="377">
        <f ca="1">IF(INDIRECT("'数据-取费表'!af"&amp;$G$1)=0,INDIRECT("'数据-取费表'!ae"&amp;$G$1),INDIRECT("'数据-取费表'!af"&amp;$G$1))</f>
        <v>38.86</v>
      </c>
      <c r="G41" s="1847"/>
      <c r="H41" s="729"/>
      <c r="I41" s="1856"/>
      <c r="J41" s="1857"/>
      <c r="K41" s="748"/>
      <c r="L41" s="729"/>
      <c r="M41" s="729"/>
    </row>
    <row r="42" spans="1:18" ht="18" customHeight="1">
      <c r="A42" s="351"/>
      <c r="B42" s="352"/>
      <c r="C42" s="353"/>
      <c r="D42" s="371"/>
      <c r="E42" s="345" t="s">
        <v>1471</v>
      </c>
      <c r="F42" s="355">
        <f ca="1">INDIRECT("'数据-取费表'!v"&amp;$G$1)</f>
        <v>2.5000000000000001E-2</v>
      </c>
      <c r="G42" s="1847"/>
      <c r="H42" s="729"/>
      <c r="I42" s="1856"/>
      <c r="J42" s="1857"/>
      <c r="K42" s="748"/>
      <c r="L42" s="729"/>
      <c r="M42" s="729"/>
    </row>
    <row r="43" spans="1:18" ht="18" customHeight="1" thickBot="1">
      <c r="A43" s="378" t="s">
        <v>1029</v>
      </c>
      <c r="B43" s="379" t="s">
        <v>1481</v>
      </c>
      <c r="C43" s="380">
        <f ca="1">ROUND(C40*10000/F43,0)</f>
        <v>6297</v>
      </c>
      <c r="D43" s="381" t="s">
        <v>1482</v>
      </c>
      <c r="E43" s="382" t="s">
        <v>1483</v>
      </c>
      <c r="F43" s="383">
        <f ca="1">INDIRECT("'数据-取费表'!k"&amp;$G$1)</f>
        <v>52487.820000000007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1513</v>
      </c>
      <c r="P45" s="1835"/>
      <c r="Q45" s="1835"/>
      <c r="R45" s="1835"/>
    </row>
    <row r="46" spans="1:18" s="1838" customFormat="1" ht="13.5" thickBot="1">
      <c r="A46" s="1866" t="s">
        <v>1514</v>
      </c>
      <c r="C46" s="1867">
        <f ca="1">C68-C40</f>
        <v>-88997</v>
      </c>
      <c r="D46" s="1868" t="str">
        <f>C2</f>
        <v>万元</v>
      </c>
      <c r="E46" s="1862"/>
      <c r="F46" s="1862"/>
      <c r="I46" s="1869" t="s">
        <v>1515</v>
      </c>
      <c r="J46" s="1870"/>
      <c r="K46" s="1871"/>
      <c r="L46" s="1872" t="str">
        <f ca="1">IF(M47="住宅",0,IF(L48&gt;J51,L60,J60))</f>
        <v>0</v>
      </c>
      <c r="O46" s="1873" t="s">
        <v>1516</v>
      </c>
      <c r="P46" s="1874" t="s">
        <v>1517</v>
      </c>
      <c r="Q46" s="1875" t="s">
        <v>1518</v>
      </c>
      <c r="R46" s="1875" t="s">
        <v>1519</v>
      </c>
    </row>
    <row r="47" spans="1:18" s="1838" customFormat="1" ht="13.5" thickBot="1">
      <c r="A47" s="1162" t="s">
        <v>1390</v>
      </c>
      <c r="B47" s="1194" t="s">
        <v>1391</v>
      </c>
      <c r="C47" s="1364" t="s">
        <v>1392</v>
      </c>
      <c r="D47" s="1194" t="s">
        <v>1393</v>
      </c>
      <c r="E47" s="1276" t="s">
        <v>1394</v>
      </c>
      <c r="F47" s="1277"/>
      <c r="G47" s="789"/>
      <c r="I47" s="1876" t="s">
        <v>1520</v>
      </c>
      <c r="J47" s="1877" t="s">
        <v>3077</v>
      </c>
      <c r="K47" s="1878" t="s">
        <v>1521</v>
      </c>
      <c r="L47" s="1879">
        <f ca="1">INDIRECT("'数据-取费表'!d"&amp;$G$1)</f>
        <v>40</v>
      </c>
      <c r="M47" s="1834" t="str">
        <f>IF(ISNUMBER(FIND("住宅",C1)),"住宅","非住宅")</f>
        <v>非住宅</v>
      </c>
      <c r="O47" s="1880" t="s">
        <v>1036</v>
      </c>
      <c r="P47" s="1881" t="s">
        <v>1522</v>
      </c>
      <c r="Q47" s="1882">
        <f ca="1">C40+J29</f>
        <v>33051</v>
      </c>
      <c r="R47" s="1882" t="s">
        <v>1523</v>
      </c>
    </row>
    <row r="48" spans="1:18" s="1838" customFormat="1" ht="28.5" thickBot="1">
      <c r="A48" s="1357" t="s">
        <v>1131</v>
      </c>
      <c r="B48" s="343" t="s">
        <v>1395</v>
      </c>
      <c r="C48" s="2956">
        <f ca="1">C49+C53+C55</f>
        <v>0</v>
      </c>
      <c r="D48" s="1359"/>
      <c r="E48" s="1360"/>
      <c r="F48" s="1178"/>
      <c r="G48" s="789"/>
      <c r="H48" s="790"/>
      <c r="I48" s="1883" t="s">
        <v>1524</v>
      </c>
      <c r="J48" s="1884" t="s">
        <v>3078</v>
      </c>
      <c r="K48" s="1885" t="s">
        <v>1525</v>
      </c>
      <c r="L48" s="1886">
        <f ca="1">INDIRECT("'数据-取费表'!f"&amp;$G$1)</f>
        <v>38.96</v>
      </c>
      <c r="O48" s="1880" t="s">
        <v>1037</v>
      </c>
      <c r="P48" s="1881" t="s">
        <v>1526</v>
      </c>
      <c r="Q48" s="1882" t="str">
        <f ca="1">J60</f>
        <v>0</v>
      </c>
      <c r="R48" s="1882" t="s">
        <v>1527</v>
      </c>
    </row>
    <row r="49" spans="1:18" s="1838" customFormat="1" ht="13.5" thickBot="1">
      <c r="A49" s="1191" t="s">
        <v>1132</v>
      </c>
      <c r="B49" s="1825" t="s">
        <v>1484</v>
      </c>
      <c r="C49" s="1361">
        <f ca="1">ROUND(F49*F51*F50*(1-F52)/10000,0)</f>
        <v>0</v>
      </c>
      <c r="D49" s="1273" t="s">
        <v>3026</v>
      </c>
      <c r="E49" s="1826" t="s">
        <v>1485</v>
      </c>
      <c r="F49" s="1278"/>
      <c r="G49" s="1887"/>
      <c r="H49" s="790"/>
      <c r="I49" s="1883" t="s">
        <v>1528</v>
      </c>
      <c r="J49" s="1888"/>
      <c r="K49" s="1885" t="s">
        <v>1529</v>
      </c>
      <c r="L49" s="1889"/>
      <c r="O49" s="1890" t="s">
        <v>1038</v>
      </c>
      <c r="P49" s="1881" t="s">
        <v>1530</v>
      </c>
      <c r="Q49" s="1882">
        <f ca="1">C29</f>
        <v>34053</v>
      </c>
      <c r="R49" s="1882" t="s">
        <v>1523</v>
      </c>
    </row>
    <row r="50" spans="1:18" s="1838" customFormat="1" ht="13.5" thickBot="1">
      <c r="A50" s="1192"/>
      <c r="B50" s="1195"/>
      <c r="C50" s="1365"/>
      <c r="D50" s="1169"/>
      <c r="E50" s="1274" t="s">
        <v>1400</v>
      </c>
      <c r="F50" s="1275">
        <f ca="1">F7</f>
        <v>52487.820000000007</v>
      </c>
      <c r="H50" s="790"/>
      <c r="I50" s="1883" t="s">
        <v>1531</v>
      </c>
      <c r="J50" s="1891">
        <f>SUMPRODUCT((I63:I65=J47)*(J62:L62=J48)*(J63:L65))</f>
        <v>60</v>
      </c>
      <c r="K50" s="1885" t="s">
        <v>1532</v>
      </c>
      <c r="L50" s="1889"/>
      <c r="M50" s="1892"/>
      <c r="O50" s="1890" t="s">
        <v>1039</v>
      </c>
      <c r="P50" s="1881" t="s">
        <v>1533</v>
      </c>
      <c r="Q50" s="1893" t="e">
        <f ca="1">J58</f>
        <v>#VALUE!</v>
      </c>
      <c r="R50" s="1882"/>
    </row>
    <row r="51" spans="1:18" s="1838" customFormat="1" ht="13.5" thickBot="1">
      <c r="A51" s="1193"/>
      <c r="B51" s="1195"/>
      <c r="C51" s="1196"/>
      <c r="D51" s="1169"/>
      <c r="E51" s="1197" t="s">
        <v>1401</v>
      </c>
      <c r="F51" s="346">
        <f ca="1">F8</f>
        <v>365</v>
      </c>
      <c r="I51" s="1894" t="s">
        <v>1534</v>
      </c>
      <c r="J51" s="1895">
        <f>IF(J49="",J50,J49+J50-YEAR('数据-取费表'!B2))</f>
        <v>60</v>
      </c>
      <c r="K51" s="1896" t="s">
        <v>1535</v>
      </c>
      <c r="L51" s="1897">
        <f ca="1">ROUND(-PV(INDIRECT("'数据-取费表'!h"&amp;$G$1),L48,(C39-C13*C76),0),0)</f>
        <v>25023</v>
      </c>
      <c r="M51" s="1898"/>
      <c r="O51" s="1890" t="s">
        <v>1040</v>
      </c>
      <c r="P51" s="1881" t="s">
        <v>1536</v>
      </c>
      <c r="Q51" s="1893">
        <f>J52</f>
        <v>0</v>
      </c>
      <c r="R51" s="1882"/>
    </row>
    <row r="52" spans="1:18" s="1838" customFormat="1" ht="13.5" thickBot="1">
      <c r="A52" s="1193"/>
      <c r="B52" s="1195"/>
      <c r="C52" s="1196"/>
      <c r="D52" s="1169"/>
      <c r="E52" s="1197" t="s">
        <v>1402</v>
      </c>
      <c r="F52" s="1272"/>
      <c r="I52" s="1899" t="s">
        <v>1537</v>
      </c>
      <c r="J52" s="1900"/>
      <c r="K52" s="1899" t="s">
        <v>1538</v>
      </c>
      <c r="L52" s="1900"/>
      <c r="O52" s="1890" t="s">
        <v>1041</v>
      </c>
      <c r="P52" s="1881" t="s">
        <v>1539</v>
      </c>
      <c r="Q52" s="1882">
        <f ca="1">J53</f>
        <v>38.86</v>
      </c>
      <c r="R52" s="1882" t="s">
        <v>1540</v>
      </c>
    </row>
    <row r="53" spans="1:18" s="1838" customFormat="1" ht="24.75" thickBot="1">
      <c r="A53" s="1402" t="s">
        <v>1133</v>
      </c>
      <c r="B53" s="1827" t="s">
        <v>1403</v>
      </c>
      <c r="C53" s="359">
        <f ca="1">ROUND(IF(F53="押一",C49/12*F11,IF(F53="押二",C49/12*2*F11,IF(F53="押三",C49/12*3*F11,C54*F11))),0)</f>
        <v>0</v>
      </c>
      <c r="D53" s="1820" t="s">
        <v>3035</v>
      </c>
      <c r="E53" s="356" t="s">
        <v>1404</v>
      </c>
      <c r="F53" s="1363"/>
      <c r="I53" s="1901" t="s">
        <v>1541</v>
      </c>
      <c r="J53" s="2948">
        <f ca="1">IF(M47="住宅",IF(D1="——",MAX(J51,L48),MAX(J51,L48-'数据-取费表'!B24)),IF(D1="——",MIN(J51,L48),MIN(J51,L48-'数据-取费表'!B24)))</f>
        <v>38.86</v>
      </c>
      <c r="K53" s="3283" t="s">
        <v>1542</v>
      </c>
      <c r="L53" s="3284"/>
      <c r="O53" s="1880" t="s">
        <v>1042</v>
      </c>
      <c r="P53" s="1881" t="s">
        <v>1543</v>
      </c>
      <c r="Q53" s="1882">
        <f ca="1">Q47+Q48</f>
        <v>33051</v>
      </c>
      <c r="R53" s="1882" t="s">
        <v>1043</v>
      </c>
    </row>
    <row r="54" spans="1:18" s="1838" customFormat="1" ht="13.5" thickBot="1">
      <c r="A54" s="1403"/>
      <c r="B54" s="1821" t="s">
        <v>1382</v>
      </c>
      <c r="C54" s="1175"/>
      <c r="D54" s="1820"/>
      <c r="E54" s="296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1544</v>
      </c>
      <c r="P54" s="1835"/>
      <c r="Q54" s="1835"/>
      <c r="R54" s="1835"/>
    </row>
    <row r="55" spans="1:18" s="1838" customFormat="1" ht="13.5" thickBot="1">
      <c r="A55" s="1330" t="s">
        <v>1071</v>
      </c>
      <c r="B55" s="1823" t="s">
        <v>1407</v>
      </c>
      <c r="C55" s="1331"/>
      <c r="D55" s="1820"/>
      <c r="E55" s="2960"/>
      <c r="F55" s="1902"/>
      <c r="I55" s="1905" t="s">
        <v>1545</v>
      </c>
      <c r="J55" s="1906" t="e">
        <f ca="1">ROUND(IF(J47="钢混",J57/J50,1-(1-2%)*(J50-J57)/J50),3)</f>
        <v>#VALUE!</v>
      </c>
      <c r="K55" s="1907" t="s">
        <v>1546</v>
      </c>
      <c r="L55" s="1908" t="s">
        <v>1547</v>
      </c>
      <c r="O55" s="1873" t="s">
        <v>1516</v>
      </c>
      <c r="P55" s="1874" t="s">
        <v>1517</v>
      </c>
      <c r="Q55" s="1875" t="s">
        <v>1518</v>
      </c>
      <c r="R55" s="1875" t="s">
        <v>1519</v>
      </c>
    </row>
    <row r="56" spans="1:18" s="1838" customFormat="1" ht="25.5" thickTop="1" thickBot="1">
      <c r="A56" s="1173">
        <v>2</v>
      </c>
      <c r="B56" s="1174" t="s">
        <v>1408</v>
      </c>
      <c r="C56" s="274">
        <f ca="1">C13</f>
        <v>34053</v>
      </c>
      <c r="D56" s="1909"/>
      <c r="E56" s="1910"/>
      <c r="F56" s="1902"/>
      <c r="I56" s="1911" t="s">
        <v>1548</v>
      </c>
      <c r="J56" s="1912" t="s">
        <v>3074</v>
      </c>
      <c r="K56" s="1883" t="s">
        <v>1549</v>
      </c>
      <c r="L56" s="1886" t="str">
        <f ca="1">IF(L48&lt;J51,"——",L48-J53)</f>
        <v>——</v>
      </c>
      <c r="O56" s="1880" t="s">
        <v>1036</v>
      </c>
      <c r="P56" s="1881" t="s">
        <v>1522</v>
      </c>
      <c r="Q56" s="1882">
        <f ca="1">C40+J29</f>
        <v>33051</v>
      </c>
      <c r="R56" s="1882" t="s">
        <v>1523</v>
      </c>
    </row>
    <row r="57" spans="1:18" s="1838" customFormat="1" ht="24.75" thickBot="1">
      <c r="A57" s="1913"/>
      <c r="B57" s="1166" t="s">
        <v>1472</v>
      </c>
      <c r="C57" s="280">
        <f ca="1">C29</f>
        <v>34053</v>
      </c>
      <c r="D57" s="1914"/>
      <c r="E57" s="1915"/>
      <c r="F57" s="1916"/>
      <c r="I57" s="1917" t="s">
        <v>1550</v>
      </c>
      <c r="J57" s="1918" t="str">
        <f ca="1">IF(OR(M47="住宅",J51&lt;L48,J56="是"),"——",J51-L48)</f>
        <v>——</v>
      </c>
      <c r="K57" s="1883" t="s">
        <v>1551</v>
      </c>
      <c r="L57" s="1886" t="str">
        <f ca="1">IF(L48&lt;J51,"——",IF(L55="比较法",L49,IF(L55="基准地价",L50,L51)))</f>
        <v>——</v>
      </c>
      <c r="O57" s="1880" t="s">
        <v>1037</v>
      </c>
      <c r="P57" s="1881" t="s">
        <v>1552</v>
      </c>
      <c r="Q57" s="1882">
        <f ca="1">L60</f>
        <v>0</v>
      </c>
      <c r="R57" s="1882" t="s">
        <v>1553</v>
      </c>
    </row>
    <row r="58" spans="1:18" s="1838" customFormat="1" ht="24.75" thickBot="1">
      <c r="A58" s="358" t="s">
        <v>1026</v>
      </c>
      <c r="B58" s="1174" t="s">
        <v>1418</v>
      </c>
      <c r="C58" s="359">
        <f ca="1">ROUND(C59+C64+C65+C66,0)</f>
        <v>3516</v>
      </c>
      <c r="D58" s="1176" t="s">
        <v>1419</v>
      </c>
      <c r="E58" s="1177"/>
      <c r="F58" s="1178"/>
      <c r="I58" s="1917" t="s">
        <v>1554</v>
      </c>
      <c r="J58" s="1919" t="e">
        <f ca="1">IF(J55&lt;0.4,0.4,J55)</f>
        <v>#VALUE!</v>
      </c>
      <c r="K58" s="1896" t="s">
        <v>1555</v>
      </c>
      <c r="L58" s="1886" t="e">
        <f ca="1">ROUND(POWER(1+L52,L47-L48)*(POWER(1+L52,L48)-1)/(POWER(1+L52,L47)-1),4)</f>
        <v>#DIV/0!</v>
      </c>
      <c r="O58" s="1890" t="s">
        <v>1038</v>
      </c>
      <c r="P58" s="1881" t="s">
        <v>1556</v>
      </c>
      <c r="Q58" s="1882">
        <f>IF(L55="比较法",L49,IF(L55="基准地价",L50,0))</f>
        <v>0</v>
      </c>
      <c r="R58" s="1882" t="s">
        <v>1523</v>
      </c>
    </row>
    <row r="59" spans="1:18" s="1838" customFormat="1" ht="24.75" thickBot="1">
      <c r="A59" s="1198" t="s">
        <v>1031</v>
      </c>
      <c r="B59" s="1166" t="s">
        <v>1423</v>
      </c>
      <c r="C59" s="24">
        <f ca="1">ROUND(IF(项目基本情况!B11="自然人",C48*F59,C60+C61+C62),1)</f>
        <v>2954.5</v>
      </c>
      <c r="D59" s="1179" t="s">
        <v>1424</v>
      </c>
      <c r="E59" s="1180" t="s">
        <v>1425</v>
      </c>
      <c r="F59" s="366">
        <f ca="1">IF(项目基本情况!B11="企业","",IF(INDIRECT("'数据-取费表'!c"&amp;$G$1)="住宅",5%,IF(F49*F50*F51/12/(1+'数据-取费表'!C42)&gt;20000,12%,7%)))</f>
        <v>7.0000000000000007E-2</v>
      </c>
      <c r="I59" s="1917" t="s">
        <v>1557</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1558</v>
      </c>
      <c r="Q59" s="1893">
        <f>L52</f>
        <v>0</v>
      </c>
      <c r="R59" s="1882"/>
    </row>
    <row r="60" spans="1:18" s="1838" customFormat="1" ht="16.5" thickBot="1">
      <c r="A60" s="1198" t="s">
        <v>1030</v>
      </c>
      <c r="B60" s="1166" t="s">
        <v>1427</v>
      </c>
      <c r="C60" s="24">
        <f ca="1">IF(项目基本情况!B11="自然人","——",ROUND(C48*F60/(1+'数据-取费表'!C42),2))</f>
        <v>0</v>
      </c>
      <c r="D60" s="1180" t="s">
        <v>1428</v>
      </c>
      <c r="E60" s="1166" t="s">
        <v>1416</v>
      </c>
      <c r="F60" s="375">
        <f t="shared" ref="F60:F66" si="0">F32</f>
        <v>5.6000000000000001E-2</v>
      </c>
      <c r="I60" s="1920" t="s">
        <v>1559</v>
      </c>
      <c r="J60" s="1921" t="str">
        <f ca="1">IF(OR(M47="住宅",J51&lt;L48,J56="是"),"0",ROUND(J59/(1+J52)^J53,0))</f>
        <v>0</v>
      </c>
      <c r="K60" s="1922" t="s">
        <v>1560</v>
      </c>
      <c r="L60" s="1921">
        <f ca="1">IF(OR(M47="住宅",L48&lt;J51),0,ROUND(L57*(L58/L59-1),0))</f>
        <v>0</v>
      </c>
      <c r="O60" s="1890" t="s">
        <v>1040</v>
      </c>
      <c r="P60" s="1881" t="s">
        <v>1561</v>
      </c>
      <c r="Q60" s="1882" t="e">
        <f ca="1">L58</f>
        <v>#DIV/0!</v>
      </c>
      <c r="R60" s="1882" t="s">
        <v>1562</v>
      </c>
    </row>
    <row r="61" spans="1:18" s="1838" customFormat="1" ht="13.5" thickBot="1">
      <c r="A61" s="1198" t="s">
        <v>1486</v>
      </c>
      <c r="B61" s="1166" t="s">
        <v>1431</v>
      </c>
      <c r="C61" s="24">
        <f ca="1">IF(项目基本情况!B11="自然人","——",IF(D61="按租金收入计税",ROUND(C48*F61,2),IF(D61="按房产原值计税",ROUND(C57*F61*0.7,2),INDIRECT("'数据-取费表'!Aj"&amp;$G$1))))</f>
        <v>2860.45</v>
      </c>
      <c r="D61" s="1824" t="s">
        <v>1432</v>
      </c>
      <c r="E61" s="1166" t="s">
        <v>1416</v>
      </c>
      <c r="F61" s="365">
        <f t="shared" si="0"/>
        <v>0.12</v>
      </c>
      <c r="I61" s="1923"/>
      <c r="J61" s="1923"/>
      <c r="K61" s="1923"/>
      <c r="L61" s="1923"/>
      <c r="O61" s="1890" t="s">
        <v>1041</v>
      </c>
      <c r="P61" s="1881" t="str">
        <f>K59</f>
        <v>续建工期及建筑物耐用年限下的土地年期修正系数Kn</v>
      </c>
      <c r="Q61" s="1882" t="e">
        <f ca="1">L59</f>
        <v>#DIV/0!</v>
      </c>
      <c r="R61" s="1882" t="s">
        <v>1563</v>
      </c>
    </row>
    <row r="62" spans="1:18" s="1838" customFormat="1" ht="13.5" thickBot="1">
      <c r="A62" s="1198" t="s">
        <v>1489</v>
      </c>
      <c r="B62" s="1165" t="s">
        <v>1435</v>
      </c>
      <c r="C62" s="25">
        <f ca="1">IF(项目基本情况!B11="自然人","——",ROUND(F62*F63/10000,2))</f>
        <v>94.05</v>
      </c>
      <c r="D62" s="1181" t="s">
        <v>1436</v>
      </c>
      <c r="E62" s="1166" t="s">
        <v>1437</v>
      </c>
      <c r="F62" s="369">
        <f t="shared" si="0"/>
        <v>20</v>
      </c>
      <c r="I62" s="1924" t="s">
        <v>1564</v>
      </c>
      <c r="J62" s="1925" t="s">
        <v>1565</v>
      </c>
      <c r="K62" s="1925" t="s">
        <v>1566</v>
      </c>
      <c r="L62" s="1925" t="s">
        <v>1567</v>
      </c>
      <c r="M62" s="1926" t="s">
        <v>1568</v>
      </c>
      <c r="O62" s="1880" t="s">
        <v>1042</v>
      </c>
      <c r="P62" s="1881" t="s">
        <v>1543</v>
      </c>
      <c r="Q62" s="1882">
        <f ca="1">Q56+Q57</f>
        <v>33051</v>
      </c>
      <c r="R62" s="1882" t="s">
        <v>1043</v>
      </c>
    </row>
    <row r="63" spans="1:18" s="1838" customFormat="1" ht="13.5" thickBot="1">
      <c r="A63" s="370"/>
      <c r="B63" s="1172"/>
      <c r="C63" s="29"/>
      <c r="D63" s="1182"/>
      <c r="E63" s="1166" t="s">
        <v>1441</v>
      </c>
      <c r="F63" s="346">
        <f t="shared" ca="1" si="0"/>
        <v>47025.25</v>
      </c>
      <c r="I63" s="1924" t="s">
        <v>1570</v>
      </c>
      <c r="J63" s="1925">
        <v>70</v>
      </c>
      <c r="K63" s="1925">
        <v>50</v>
      </c>
      <c r="L63" s="1925">
        <v>80</v>
      </c>
      <c r="M63" s="1927">
        <v>0.02</v>
      </c>
      <c r="O63" s="1865" t="s">
        <v>1571</v>
      </c>
      <c r="P63" s="1835"/>
      <c r="Q63" s="1835"/>
      <c r="R63" s="1835"/>
    </row>
    <row r="64" spans="1:18" s="1838" customFormat="1" ht="13.5" thickBot="1">
      <c r="A64" s="1198" t="s">
        <v>1035</v>
      </c>
      <c r="B64" s="1166" t="s">
        <v>1443</v>
      </c>
      <c r="C64" s="24">
        <f ca="1">ROUND(C57*F64,1)</f>
        <v>510.8</v>
      </c>
      <c r="D64" s="1180" t="s">
        <v>1476</v>
      </c>
      <c r="E64" s="1166" t="s">
        <v>1416</v>
      </c>
      <c r="F64" s="372">
        <f t="shared" ca="1" si="0"/>
        <v>1.4999999999999999E-2</v>
      </c>
      <c r="I64" s="1924" t="s">
        <v>1572</v>
      </c>
      <c r="J64" s="1925">
        <v>50</v>
      </c>
      <c r="K64" s="1925">
        <v>35</v>
      </c>
      <c r="L64" s="1925">
        <v>60</v>
      </c>
      <c r="M64" s="1926">
        <v>0</v>
      </c>
      <c r="O64" s="1873" t="s">
        <v>1516</v>
      </c>
      <c r="P64" s="1874" t="s">
        <v>1517</v>
      </c>
      <c r="Q64" s="1875" t="s">
        <v>1518</v>
      </c>
      <c r="R64" s="1875" t="s">
        <v>1519</v>
      </c>
    </row>
    <row r="65" spans="1:18" s="1838" customFormat="1" ht="13.5" thickBot="1">
      <c r="A65" s="1198" t="s">
        <v>1497</v>
      </c>
      <c r="B65" s="1166" t="s">
        <v>1447</v>
      </c>
      <c r="C65" s="24">
        <f ca="1">ROUND(C56*F65,1)</f>
        <v>51.1</v>
      </c>
      <c r="D65" s="1180" t="s">
        <v>1448</v>
      </c>
      <c r="E65" s="1166" t="s">
        <v>1416</v>
      </c>
      <c r="F65" s="374">
        <f t="shared" ca="1" si="0"/>
        <v>1.5E-3</v>
      </c>
      <c r="I65" s="1924" t="s">
        <v>1573</v>
      </c>
      <c r="J65" s="1925">
        <v>40</v>
      </c>
      <c r="K65" s="1925">
        <v>30</v>
      </c>
      <c r="L65" s="1925">
        <v>50</v>
      </c>
      <c r="M65" s="1927">
        <v>0.02</v>
      </c>
      <c r="O65" s="1880" t="s">
        <v>1036</v>
      </c>
      <c r="P65" s="1881" t="s">
        <v>1522</v>
      </c>
      <c r="Q65" s="1882">
        <f ca="1">C40+J29</f>
        <v>33051</v>
      </c>
      <c r="R65" s="1882" t="s">
        <v>1523</v>
      </c>
    </row>
    <row r="66" spans="1:18" s="1838" customFormat="1" ht="16.5" thickBot="1">
      <c r="A66" s="1198" t="s">
        <v>1498</v>
      </c>
      <c r="B66" s="1166" t="s">
        <v>1433</v>
      </c>
      <c r="C66" s="24">
        <f ca="1">ROUND(C48*F66,1)</f>
        <v>0</v>
      </c>
      <c r="D66" s="1180" t="s">
        <v>1453</v>
      </c>
      <c r="E66" s="1166" t="s">
        <v>1416</v>
      </c>
      <c r="F66" s="355">
        <f t="shared" ca="1" si="0"/>
        <v>0.01</v>
      </c>
      <c r="O66" s="1880" t="s">
        <v>1037</v>
      </c>
      <c r="P66" s="1881" t="s">
        <v>1552</v>
      </c>
      <c r="Q66" s="1882">
        <f ca="1">L60</f>
        <v>0</v>
      </c>
      <c r="R66" s="1882" t="s">
        <v>1575</v>
      </c>
    </row>
    <row r="67" spans="1:18" s="1838" customFormat="1" ht="16.5" thickBot="1">
      <c r="A67" s="1173" t="s">
        <v>1027</v>
      </c>
      <c r="B67" s="1183" t="s">
        <v>1457</v>
      </c>
      <c r="C67" s="359">
        <f ca="1">C48-C58</f>
        <v>-3516</v>
      </c>
      <c r="D67" s="1179" t="s">
        <v>1458</v>
      </c>
      <c r="E67" s="1184"/>
      <c r="F67" s="1185"/>
      <c r="O67" s="1890" t="s">
        <v>1038</v>
      </c>
      <c r="P67" s="1881" t="s">
        <v>1556</v>
      </c>
      <c r="Q67" s="1928">
        <f ca="1">L51</f>
        <v>25023</v>
      </c>
      <c r="R67" s="1882" t="s">
        <v>1576</v>
      </c>
    </row>
    <row r="68" spans="1:18" s="1838" customFormat="1" ht="16.5" thickBot="1">
      <c r="A68" s="1163" t="s">
        <v>1028</v>
      </c>
      <c r="B68" s="1164" t="s">
        <v>1479</v>
      </c>
      <c r="C68" s="344">
        <f ca="1">ROUND(C67*(1-((1+F70)/(1+F68))^F69)/(F68-F70),0)</f>
        <v>-55946</v>
      </c>
      <c r="D68" s="1181" t="s">
        <v>1463</v>
      </c>
      <c r="E68" s="1166" t="s">
        <v>1464</v>
      </c>
      <c r="F68" s="355">
        <f ca="1">F40</f>
        <v>5.5E-2</v>
      </c>
      <c r="O68" s="1890" t="s">
        <v>1039</v>
      </c>
      <c r="P68" s="1929" t="s">
        <v>1577</v>
      </c>
      <c r="Q68" s="1882">
        <f ca="1">ROUND(Q69-Q70*Q71,0)</f>
        <v>1471</v>
      </c>
      <c r="R68" s="1882" t="s">
        <v>1047</v>
      </c>
    </row>
    <row r="69" spans="1:18" s="1838" customFormat="1" ht="13.5" thickBot="1">
      <c r="A69" s="1167"/>
      <c r="B69" s="1168"/>
      <c r="C69" s="349"/>
      <c r="D69" s="1186" t="s">
        <v>1467</v>
      </c>
      <c r="E69" s="1166" t="s">
        <v>1468</v>
      </c>
      <c r="F69" s="377">
        <f ca="1">F41</f>
        <v>38.86</v>
      </c>
      <c r="O69" s="1890" t="s">
        <v>1044</v>
      </c>
      <c r="P69" s="1929" t="s">
        <v>1578</v>
      </c>
      <c r="Q69" s="1882">
        <f ca="1">C39</f>
        <v>1471</v>
      </c>
      <c r="R69" s="1882" t="s">
        <v>1523</v>
      </c>
    </row>
    <row r="70" spans="1:18" s="1838" customFormat="1" ht="13.5" thickBot="1">
      <c r="A70" s="1170"/>
      <c r="B70" s="1171"/>
      <c r="C70" s="353"/>
      <c r="D70" s="1182"/>
      <c r="E70" s="1166" t="s">
        <v>1471</v>
      </c>
      <c r="F70" s="1272"/>
      <c r="O70" s="1890" t="s">
        <v>1045</v>
      </c>
      <c r="P70" s="1929" t="s">
        <v>1579</v>
      </c>
      <c r="Q70" s="1882">
        <f ca="1">C13</f>
        <v>34053</v>
      </c>
      <c r="R70" s="1882" t="s">
        <v>1523</v>
      </c>
    </row>
    <row r="71" spans="1:18" s="1838" customFormat="1" ht="13.5" thickBot="1">
      <c r="A71" s="1187" t="s">
        <v>1029</v>
      </c>
      <c r="B71" s="1188" t="s">
        <v>1481</v>
      </c>
      <c r="C71" s="380">
        <f ca="1">ROUND(C68*10000/F71,0)</f>
        <v>-10659</v>
      </c>
      <c r="D71" s="1189" t="s">
        <v>1482</v>
      </c>
      <c r="E71" s="1190" t="s">
        <v>1483</v>
      </c>
      <c r="F71" s="383">
        <f ca="1">F43</f>
        <v>52487.820000000007</v>
      </c>
      <c r="O71" s="1890" t="s">
        <v>1046</v>
      </c>
      <c r="P71" s="1929" t="s">
        <v>1580</v>
      </c>
      <c r="Q71" s="1893">
        <f ca="1">C76</f>
        <v>0</v>
      </c>
      <c r="R71" s="1882"/>
    </row>
    <row r="72" spans="1:18" s="1838" customFormat="1" ht="13.5" thickBot="1">
      <c r="B72" s="793"/>
      <c r="C72" s="793"/>
      <c r="O72" s="1890" t="s">
        <v>1040</v>
      </c>
      <c r="P72" s="1881" t="s">
        <v>1558</v>
      </c>
      <c r="Q72" s="1893">
        <f>L52</f>
        <v>0</v>
      </c>
      <c r="R72" s="1882"/>
    </row>
    <row r="73" spans="1:18" ht="16.5" thickBot="1">
      <c r="A73" s="1838"/>
      <c r="B73" s="793"/>
      <c r="C73" s="793"/>
      <c r="D73" s="1838"/>
      <c r="E73" s="1838"/>
      <c r="F73" s="1838"/>
      <c r="O73" s="1890" t="s">
        <v>1041</v>
      </c>
      <c r="P73" s="1881" t="s">
        <v>1561</v>
      </c>
      <c r="Q73" s="1882" t="e">
        <f ca="1">L58</f>
        <v>#DIV/0!</v>
      </c>
      <c r="R73" s="1882" t="s">
        <v>1562</v>
      </c>
    </row>
    <row r="74" spans="1:18" ht="13.5" thickBot="1">
      <c r="A74" s="1838"/>
      <c r="B74" s="315" t="s">
        <v>1581</v>
      </c>
      <c r="C74" s="1931"/>
      <c r="D74" s="1838"/>
      <c r="E74" s="1838"/>
      <c r="F74" s="1838"/>
      <c r="O74" s="1890" t="s">
        <v>1048</v>
      </c>
      <c r="P74" s="1881" t="str">
        <f>K59</f>
        <v>续建工期及建筑物耐用年限下的土地年期修正系数Kn</v>
      </c>
      <c r="Q74" s="1882" t="e">
        <f ca="1">L59</f>
        <v>#DIV/0!</v>
      </c>
      <c r="R74" s="1882" t="s">
        <v>1563</v>
      </c>
    </row>
    <row r="75" spans="1:18" ht="13.5" thickBot="1">
      <c r="A75" s="1838"/>
      <c r="B75" s="384" t="s">
        <v>1500</v>
      </c>
      <c r="C75" s="385">
        <f ca="1">ROUND(C13*C76,0)</f>
        <v>0</v>
      </c>
      <c r="D75" s="1838"/>
      <c r="E75" s="1838"/>
      <c r="F75" s="1838"/>
      <c r="K75" s="1864"/>
      <c r="L75" s="1838"/>
      <c r="O75" s="1880" t="s">
        <v>1042</v>
      </c>
      <c r="P75" s="1881" t="s">
        <v>1543</v>
      </c>
      <c r="Q75" s="1882">
        <f ca="1">Q65+Q66</f>
        <v>33051</v>
      </c>
      <c r="R75" s="1882" t="s">
        <v>1043</v>
      </c>
    </row>
    <row r="76" spans="1:18">
      <c r="B76" s="386" t="s">
        <v>1501</v>
      </c>
      <c r="C76" s="387">
        <f ca="1">INDIRECT("'数据-取费表'!j"&amp;$G$1)</f>
        <v>0</v>
      </c>
      <c r="I76" s="1838"/>
      <c r="J76" s="1838"/>
      <c r="K76" s="1864"/>
      <c r="L76" s="1838"/>
    </row>
    <row r="77" spans="1:18">
      <c r="B77" s="388" t="s">
        <v>1502</v>
      </c>
      <c r="C77" s="389"/>
      <c r="I77" s="1838"/>
      <c r="J77" s="1838"/>
      <c r="K77" s="1864"/>
      <c r="L77" s="1838"/>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-3.0000000000000027E-2</v>
      </c>
    </row>
    <row r="83" spans="2:3">
      <c r="B83" s="315" t="s">
        <v>1508</v>
      </c>
      <c r="C83" s="316">
        <f ca="1">ROUND(C13/C40,3)</f>
        <v>1.03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
  <sheetViews>
    <sheetView topLeftCell="A19" zoomScale="140" zoomScaleNormal="140" workbookViewId="0">
      <selection activeCell="F44" sqref="F44"/>
    </sheetView>
  </sheetViews>
  <sheetFormatPr defaultColWidth="8.875" defaultRowHeight="13.5"/>
  <cols>
    <col min="1" max="1" width="10.5" customWidth="1"/>
    <col min="2" max="2" width="12.875" customWidth="1"/>
    <col min="3" max="3" width="8.875" customWidth="1"/>
  </cols>
  <sheetData>
    <row r="1" spans="1:9" ht="14.25">
      <c r="A1" s="3289" t="s">
        <v>1072</v>
      </c>
      <c r="B1" s="3290"/>
      <c r="C1" s="3291"/>
      <c r="D1" s="3292">
        <f>SUM(I10,I15,I20,I21,I23)</f>
        <v>0</v>
      </c>
      <c r="E1" s="3292"/>
      <c r="F1" s="3292"/>
      <c r="G1" s="3292"/>
      <c r="H1" s="3292"/>
      <c r="I1" s="3293"/>
    </row>
    <row r="2" spans="1:9">
      <c r="A2" s="3294" t="s">
        <v>1073</v>
      </c>
      <c r="B2" s="3295" t="s">
        <v>1074</v>
      </c>
      <c r="C2" s="3295"/>
      <c r="D2" s="1298" t="s">
        <v>1075</v>
      </c>
      <c r="E2" s="1298" t="s">
        <v>1076</v>
      </c>
      <c r="F2" s="1298" t="s">
        <v>1077</v>
      </c>
      <c r="G2" s="1298" t="s">
        <v>1078</v>
      </c>
      <c r="H2" s="1298" t="s">
        <v>1079</v>
      </c>
      <c r="I2" s="1299" t="s">
        <v>1080</v>
      </c>
    </row>
    <row r="3" spans="1:9">
      <c r="A3" s="3294"/>
      <c r="B3" s="3295" t="s">
        <v>1081</v>
      </c>
      <c r="C3" s="3295"/>
      <c r="D3" s="1300"/>
      <c r="E3" s="1298"/>
      <c r="F3" s="1301"/>
      <c r="G3" s="1301"/>
      <c r="H3" s="1302"/>
      <c r="I3" s="1303">
        <f>ROUND(D3*E3*F3*G3*H3/10000,0)</f>
        <v>0</v>
      </c>
    </row>
    <row r="4" spans="1:9">
      <c r="A4" s="3294"/>
      <c r="B4" s="3295" t="s">
        <v>1082</v>
      </c>
      <c r="C4" s="3295"/>
      <c r="D4" s="1300"/>
      <c r="E4" s="1298"/>
      <c r="F4" s="1301"/>
      <c r="G4" s="1301"/>
      <c r="H4" s="1302"/>
      <c r="I4" s="1303">
        <f t="shared" ref="I4:I9" si="0">ROUND(D4*E4*F4*G4*H4/10000,0)</f>
        <v>0</v>
      </c>
    </row>
    <row r="5" spans="1:9">
      <c r="A5" s="3294"/>
      <c r="B5" s="3295" t="s">
        <v>1083</v>
      </c>
      <c r="C5" s="3295"/>
      <c r="D5" s="1300"/>
      <c r="E5" s="1298"/>
      <c r="F5" s="1301"/>
      <c r="G5" s="1301"/>
      <c r="H5" s="1302"/>
      <c r="I5" s="1303">
        <f t="shared" si="0"/>
        <v>0</v>
      </c>
    </row>
    <row r="6" spans="1:9">
      <c r="A6" s="3294"/>
      <c r="B6" s="3295" t="s">
        <v>1084</v>
      </c>
      <c r="C6" s="3295"/>
      <c r="D6" s="1300"/>
      <c r="E6" s="1298"/>
      <c r="F6" s="1301"/>
      <c r="G6" s="1301"/>
      <c r="H6" s="1302"/>
      <c r="I6" s="1303">
        <f t="shared" si="0"/>
        <v>0</v>
      </c>
    </row>
    <row r="7" spans="1:9">
      <c r="A7" s="3294"/>
      <c r="B7" s="3295" t="s">
        <v>1085</v>
      </c>
      <c r="C7" s="3295"/>
      <c r="D7" s="1300"/>
      <c r="E7" s="1298"/>
      <c r="F7" s="1301"/>
      <c r="G7" s="1301"/>
      <c r="H7" s="1302"/>
      <c r="I7" s="1303">
        <f t="shared" si="0"/>
        <v>0</v>
      </c>
    </row>
    <row r="8" spans="1:9">
      <c r="A8" s="3294"/>
      <c r="B8" s="3295" t="s">
        <v>1086</v>
      </c>
      <c r="C8" s="3295"/>
      <c r="D8" s="1300"/>
      <c r="E8" s="1298"/>
      <c r="F8" s="1301"/>
      <c r="G8" s="1301"/>
      <c r="H8" s="1302"/>
      <c r="I8" s="1303">
        <f t="shared" si="0"/>
        <v>0</v>
      </c>
    </row>
    <row r="9" spans="1:9">
      <c r="A9" s="3294"/>
      <c r="B9" s="3295" t="s">
        <v>1087</v>
      </c>
      <c r="C9" s="3295"/>
      <c r="D9" s="1300"/>
      <c r="E9" s="1298"/>
      <c r="F9" s="1301"/>
      <c r="G9" s="1301"/>
      <c r="H9" s="1302"/>
      <c r="I9" s="1303">
        <f t="shared" si="0"/>
        <v>0</v>
      </c>
    </row>
    <row r="10" spans="1:9">
      <c r="A10" s="3294"/>
      <c r="B10" s="3296" t="s">
        <v>1088</v>
      </c>
      <c r="C10" s="3296"/>
      <c r="D10" s="1304"/>
      <c r="E10" s="1304" t="e">
        <f>ROUND(D1*10000/D10/H9,0)</f>
        <v>#DIV/0!</v>
      </c>
      <c r="F10" s="1305"/>
      <c r="G10" s="1305"/>
      <c r="H10" s="1306"/>
      <c r="I10" s="1307">
        <f>SUM(I3:I9)</f>
        <v>0</v>
      </c>
    </row>
    <row r="11" spans="1:9" ht="14.25">
      <c r="A11" s="3294" t="s">
        <v>1089</v>
      </c>
      <c r="B11" s="3295" t="s">
        <v>1090</v>
      </c>
      <c r="C11" s="3295"/>
      <c r="D11" s="1300" t="s">
        <v>1091</v>
      </c>
      <c r="E11" s="1300" t="s">
        <v>1092</v>
      </c>
      <c r="F11" s="1301" t="s">
        <v>1093</v>
      </c>
      <c r="G11" s="1301" t="s">
        <v>1079</v>
      </c>
      <c r="H11" s="1308" t="s">
        <v>1094</v>
      </c>
      <c r="I11" s="1299" t="s">
        <v>1080</v>
      </c>
    </row>
    <row r="12" spans="1:9">
      <c r="A12" s="3294"/>
      <c r="B12" s="3295" t="s">
        <v>1095</v>
      </c>
      <c r="C12" s="3295"/>
      <c r="D12" s="1300"/>
      <c r="E12" s="1300"/>
      <c r="F12" s="1301"/>
      <c r="G12" s="1302"/>
      <c r="H12" s="1309"/>
      <c r="I12" s="1299">
        <f>ROUND(D12*E12*F12*G12/10000,0)</f>
        <v>0</v>
      </c>
    </row>
    <row r="13" spans="1:9">
      <c r="A13" s="3294"/>
      <c r="B13" s="3295" t="s">
        <v>1096</v>
      </c>
      <c r="C13" s="3295"/>
      <c r="D13" s="1300"/>
      <c r="E13" s="1300"/>
      <c r="F13" s="1301"/>
      <c r="G13" s="1302"/>
      <c r="H13" s="1309"/>
      <c r="I13" s="1299">
        <f>ROUND(D13*E13*F13*G13/10000,0)</f>
        <v>0</v>
      </c>
    </row>
    <row r="14" spans="1:9">
      <c r="A14" s="3294"/>
      <c r="B14" s="3295" t="s">
        <v>1097</v>
      </c>
      <c r="C14" s="3295"/>
      <c r="D14" s="1300"/>
      <c r="E14" s="1300"/>
      <c r="F14" s="1301"/>
      <c r="G14" s="1302"/>
      <c r="H14" s="1309"/>
      <c r="I14" s="1299">
        <f>ROUND(D14*E14*F14*G14/10000,0)</f>
        <v>0</v>
      </c>
    </row>
    <row r="15" spans="1:9">
      <c r="A15" s="3294"/>
      <c r="B15" s="3296" t="s">
        <v>1088</v>
      </c>
      <c r="C15" s="3296"/>
      <c r="D15" s="1304"/>
      <c r="E15" s="1304">
        <f>SUM(E12:E14)</f>
        <v>0</v>
      </c>
      <c r="F15" s="1305"/>
      <c r="G15" s="1302"/>
      <c r="H15" s="1309"/>
      <c r="I15" s="1310">
        <f>SUM(I12:I14)</f>
        <v>0</v>
      </c>
    </row>
    <row r="16" spans="1:9" ht="24">
      <c r="A16" s="3294" t="s">
        <v>1098</v>
      </c>
      <c r="B16" s="3295" t="s">
        <v>1099</v>
      </c>
      <c r="C16" s="3295"/>
      <c r="D16" s="1300" t="s">
        <v>1075</v>
      </c>
      <c r="E16" s="1311" t="s">
        <v>1100</v>
      </c>
      <c r="F16" s="1301" t="s">
        <v>1101</v>
      </c>
      <c r="G16" s="1302" t="s">
        <v>1079</v>
      </c>
      <c r="H16" s="1308" t="s">
        <v>1094</v>
      </c>
      <c r="I16" s="1299" t="s">
        <v>1080</v>
      </c>
    </row>
    <row r="17" spans="1:12" ht="14.25">
      <c r="A17" s="3294"/>
      <c r="B17" s="3295" t="s">
        <v>1102</v>
      </c>
      <c r="C17" s="3295"/>
      <c r="D17" s="1300"/>
      <c r="E17" s="1300"/>
      <c r="F17" s="1301"/>
      <c r="G17" s="1302"/>
      <c r="H17" s="1312"/>
      <c r="I17" s="1313">
        <f>ROUND(D17*E17*F17*G17/10000,0)</f>
        <v>0</v>
      </c>
    </row>
    <row r="18" spans="1:12" ht="14.25">
      <c r="A18" s="3294"/>
      <c r="B18" s="3295" t="s">
        <v>1103</v>
      </c>
      <c r="C18" s="3295"/>
      <c r="D18" s="1300"/>
      <c r="E18" s="1300"/>
      <c r="F18" s="1301"/>
      <c r="G18" s="1302"/>
      <c r="H18" s="1312"/>
      <c r="I18" s="1313">
        <f>ROUND(D18*E18*F18*G18/10000,0)</f>
        <v>0</v>
      </c>
    </row>
    <row r="19" spans="1:12" ht="14.25">
      <c r="A19" s="3294"/>
      <c r="B19" s="3295" t="s">
        <v>1104</v>
      </c>
      <c r="C19" s="3295"/>
      <c r="D19" s="1300"/>
      <c r="E19" s="1300"/>
      <c r="F19" s="1301"/>
      <c r="G19" s="1302"/>
      <c r="H19" s="1312"/>
      <c r="I19" s="1313">
        <f>ROUND(D19*E19*F19*G19/10000,0)</f>
        <v>0</v>
      </c>
    </row>
    <row r="20" spans="1:12">
      <c r="A20" s="3294"/>
      <c r="B20" s="3296" t="s">
        <v>1088</v>
      </c>
      <c r="C20" s="3296"/>
      <c r="D20" s="1304">
        <f>SUM(D17:D19)</f>
        <v>0</v>
      </c>
      <c r="E20" s="1304"/>
      <c r="F20" s="1305"/>
      <c r="G20" s="1302"/>
      <c r="H20" s="1309"/>
      <c r="I20" s="1310">
        <f>SUM(I17:I19)</f>
        <v>0</v>
      </c>
    </row>
    <row r="21" spans="1:12">
      <c r="A21" s="3294" t="s">
        <v>1105</v>
      </c>
      <c r="B21" s="3298"/>
      <c r="C21" s="3298"/>
      <c r="D21" s="3298"/>
      <c r="E21" s="3298"/>
      <c r="F21" s="3298"/>
      <c r="G21" s="3298"/>
      <c r="H21" s="1761">
        <v>0.1</v>
      </c>
      <c r="I21" s="1307">
        <f>ROUND(I10*H21,0)</f>
        <v>0</v>
      </c>
    </row>
    <row r="22" spans="1:12" ht="14.25">
      <c r="A22" s="3299" t="s">
        <v>1106</v>
      </c>
      <c r="B22" s="3300"/>
      <c r="C22" s="3301"/>
      <c r="D22" s="1314" t="s">
        <v>1107</v>
      </c>
      <c r="E22" s="1314" t="s">
        <v>1108</v>
      </c>
      <c r="F22" s="1315" t="s">
        <v>1109</v>
      </c>
      <c r="G22" s="1315" t="s">
        <v>1110</v>
      </c>
      <c r="H22" s="1308" t="s">
        <v>1111</v>
      </c>
      <c r="I22" s="1299" t="s">
        <v>1112</v>
      </c>
    </row>
    <row r="23" spans="1:12" ht="14.25" thickBot="1">
      <c r="A23" s="3302"/>
      <c r="B23" s="3303"/>
      <c r="C23" s="3304"/>
      <c r="D23" s="1316"/>
      <c r="E23" s="1316"/>
      <c r="F23" s="1316"/>
      <c r="G23" s="1317"/>
      <c r="H23" s="1318"/>
      <c r="I23" s="1319">
        <f>ROUND(E23*D23*F23*(1-G23)/10000,0)</f>
        <v>0</v>
      </c>
    </row>
    <row r="26" spans="1:12">
      <c r="A26" s="1320" t="s">
        <v>1113</v>
      </c>
      <c r="B26" s="1320"/>
      <c r="C26" s="1320"/>
      <c r="D26" s="1320"/>
      <c r="E26" s="3305">
        <f>C27-C30-C31-C32</f>
        <v>35843.182500000003</v>
      </c>
      <c r="F26" s="3305"/>
      <c r="G26" s="3305"/>
      <c r="H26" s="1733" t="s">
        <v>1335</v>
      </c>
      <c r="L26">
        <f>E26*10000/'数据-汇总表'!E3/365</f>
        <v>4.4868534720370157</v>
      </c>
    </row>
    <row r="27" spans="1:12">
      <c r="A27" s="1321">
        <v>1</v>
      </c>
      <c r="B27" s="1322" t="s">
        <v>1114</v>
      </c>
      <c r="C27" s="1322">
        <f>C28+C29</f>
        <v>47790.91</v>
      </c>
      <c r="D27" s="1322"/>
      <c r="E27" s="3306"/>
      <c r="F27" s="3306"/>
      <c r="G27" s="3306"/>
    </row>
    <row r="28" spans="1:12">
      <c r="A28" s="1323" t="s">
        <v>1115</v>
      </c>
      <c r="B28" s="1322" t="s">
        <v>1116</v>
      </c>
      <c r="C28" s="1322">
        <v>26006.25</v>
      </c>
      <c r="D28" s="1322"/>
      <c r="E28" s="3306"/>
      <c r="F28" s="3306"/>
      <c r="G28" s="3306"/>
    </row>
    <row r="29" spans="1:12">
      <c r="A29" s="1323" t="s">
        <v>1117</v>
      </c>
      <c r="B29" s="1322" t="s">
        <v>1118</v>
      </c>
      <c r="C29" s="1322">
        <f>7446+8942.5+5396.16</f>
        <v>21784.66</v>
      </c>
      <c r="D29" s="1322"/>
      <c r="E29" s="1322" t="s">
        <v>1119</v>
      </c>
      <c r="F29" s="1322"/>
      <c r="G29" s="1322"/>
    </row>
    <row r="30" spans="1:12">
      <c r="A30" s="1321">
        <v>2</v>
      </c>
      <c r="B30" s="1322" t="s">
        <v>1120</v>
      </c>
      <c r="C30" s="1322">
        <f>C27*D30</f>
        <v>9558.1820000000007</v>
      </c>
      <c r="D30" s="1324">
        <v>0.2</v>
      </c>
      <c r="E30" s="1322" t="s">
        <v>1121</v>
      </c>
      <c r="F30" s="1322"/>
      <c r="G30" s="1322"/>
    </row>
    <row r="31" spans="1:12">
      <c r="A31" s="1321">
        <v>3</v>
      </c>
      <c r="B31" s="1322" t="s">
        <v>1122</v>
      </c>
      <c r="C31" s="1322">
        <f>C25*D31</f>
        <v>0</v>
      </c>
      <c r="D31" s="1324">
        <v>0.15</v>
      </c>
      <c r="E31" s="1322" t="s">
        <v>1123</v>
      </c>
      <c r="F31" s="1322"/>
      <c r="G31" s="1322"/>
    </row>
    <row r="32" spans="1:12">
      <c r="A32" s="1321">
        <v>4</v>
      </c>
      <c r="B32" s="1322" t="s">
        <v>1124</v>
      </c>
      <c r="C32" s="1322">
        <f>C27*D32</f>
        <v>2389.5455000000002</v>
      </c>
      <c r="D32" s="1324">
        <v>0.05</v>
      </c>
      <c r="E32" s="3297"/>
      <c r="F32" s="3297"/>
      <c r="G32" s="3297"/>
    </row>
    <row r="33" spans="1:7" hidden="1">
      <c r="A33" s="3307" t="s">
        <v>1125</v>
      </c>
      <c r="B33" s="3308"/>
      <c r="C33" s="3308"/>
      <c r="D33" s="3309"/>
      <c r="E33" s="3305"/>
      <c r="F33" s="3305"/>
      <c r="G33" s="3305"/>
    </row>
    <row r="34" spans="1:7" hidden="1">
      <c r="A34" s="1325">
        <v>1</v>
      </c>
      <c r="B34" s="1322" t="s">
        <v>1126</v>
      </c>
      <c r="C34" s="1322"/>
      <c r="D34" s="1322"/>
      <c r="E34" s="3306"/>
      <c r="F34" s="3306"/>
      <c r="G34" s="3306"/>
    </row>
    <row r="35" spans="1:7" hidden="1">
      <c r="A35" s="1325">
        <v>2</v>
      </c>
      <c r="B35" s="1322" t="s">
        <v>1127</v>
      </c>
      <c r="C35" s="1322"/>
      <c r="D35" s="1322"/>
      <c r="E35" s="3306"/>
      <c r="F35" s="3306"/>
      <c r="G35" s="3306"/>
    </row>
    <row r="36" spans="1:7" hidden="1">
      <c r="A36" s="1325">
        <v>3</v>
      </c>
      <c r="B36" s="1322" t="s">
        <v>1128</v>
      </c>
      <c r="C36" s="1322"/>
      <c r="D36" s="1322"/>
      <c r="E36" s="3306"/>
      <c r="F36" s="3306"/>
      <c r="G36" s="3306"/>
    </row>
    <row r="37" spans="1:7" hidden="1">
      <c r="A37" s="1325">
        <v>4</v>
      </c>
      <c r="B37" s="1322" t="s">
        <v>1129</v>
      </c>
      <c r="C37" s="1322"/>
      <c r="D37" s="1322"/>
      <c r="E37" s="3306"/>
      <c r="F37" s="3306"/>
      <c r="G37" s="3306"/>
    </row>
    <row r="38" spans="1:7" hidden="1">
      <c r="A38" s="3307" t="s">
        <v>1130</v>
      </c>
      <c r="B38" s="3308"/>
      <c r="C38" s="3308"/>
      <c r="D38" s="3309"/>
      <c r="E38" s="3305"/>
      <c r="F38" s="3305"/>
      <c r="G38" s="33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R43" sqref="R43:W43"/>
    </sheetView>
  </sheetViews>
  <sheetFormatPr defaultColWidth="9" defaultRowHeight="14.25"/>
  <cols>
    <col min="1" max="1" width="10.5" style="401" customWidth="1"/>
    <col min="2" max="2" width="15.875" style="401" customWidth="1"/>
    <col min="3" max="3" width="15.1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875" style="2622"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29" s="1625" customFormat="1" ht="28.5" customHeight="1" thickBot="1">
      <c r="A1" s="1614" t="s">
        <v>2524</v>
      </c>
      <c r="B1" s="2580" t="s">
        <v>2525</v>
      </c>
      <c r="C1" s="1630" t="s">
        <v>2526</v>
      </c>
      <c r="D1" s="1617"/>
      <c r="E1" s="2581"/>
      <c r="F1" s="2582" t="s">
        <v>2527</v>
      </c>
      <c r="G1" s="1627" t="s">
        <v>2528</v>
      </c>
      <c r="H1" s="1626"/>
      <c r="I1" s="1626"/>
      <c r="J1" s="1626"/>
      <c r="K1" s="1628"/>
      <c r="L1" s="1629"/>
      <c r="M1" s="1630"/>
      <c r="N1" s="1630"/>
      <c r="O1" s="1630"/>
      <c r="P1" s="2583"/>
      <c r="Q1" s="1616"/>
      <c r="R1" s="1616"/>
      <c r="S1" s="1616"/>
      <c r="T1" s="1616"/>
      <c r="U1" s="1616"/>
      <c r="V1" s="1616"/>
      <c r="W1" s="1616"/>
      <c r="X1" s="1616"/>
      <c r="Y1" s="1616"/>
      <c r="Z1" s="1616"/>
      <c r="AA1" s="1616"/>
      <c r="AB1" s="1616"/>
      <c r="AC1" s="1624"/>
    </row>
    <row r="2" spans="1:29" s="391" customFormat="1" ht="28.5" customHeight="1" thickTop="1">
      <c r="A2" s="1613" t="s">
        <v>1388</v>
      </c>
      <c r="B2" s="1415" t="e">
        <f ca="1">IF(C2="——",ROUND(C49*D3/10000,0),ROUND(C49*D3/10000,0)-D2)</f>
        <v>#DIV/0!</v>
      </c>
      <c r="C2" s="2584"/>
      <c r="D2" s="1362" t="e">
        <f ca="1">SUMIF(INDIRECT("'"&amp;F2&amp;"'"&amp;"!A:A"),"承租人权益价值",INDIRECT("'"&amp;F2&amp;"'"&amp;"!c:c"))</f>
        <v>#REF!</v>
      </c>
      <c r="E2" s="2585" t="s">
        <v>2529</v>
      </c>
      <c r="F2" s="2586"/>
      <c r="G2" s="1121"/>
      <c r="H2" s="1121"/>
      <c r="I2" s="1121"/>
      <c r="J2" s="1121"/>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1389</v>
      </c>
      <c r="B3" s="397" t="e">
        <f ca="1">IF(C2="——",C49,ROUND(B2*10000/D3,0))</f>
        <v>#DIV/0!</v>
      </c>
      <c r="C3" s="398" t="s">
        <v>2530</v>
      </c>
      <c r="D3" s="397">
        <f>IF(D1="",'数据-汇总表'!E3,SUMIF('数据-汇总表'!$C19:$C33,D1,'数据-汇总表'!$E19:$E33))</f>
        <v>218862.73</v>
      </c>
      <c r="E3" s="1121"/>
      <c r="F3" s="2593"/>
      <c r="G3" s="1121"/>
      <c r="H3" s="1121"/>
      <c r="I3" s="1121"/>
      <c r="J3" s="1121"/>
      <c r="K3" s="2587"/>
      <c r="L3" s="2588"/>
      <c r="M3" s="2589"/>
      <c r="N3" s="2589"/>
      <c r="O3" s="2589"/>
      <c r="P3" s="2590"/>
      <c r="Q3" s="2591"/>
      <c r="R3" s="2591"/>
      <c r="S3" s="2591"/>
      <c r="T3" s="2591"/>
      <c r="U3" s="2591"/>
      <c r="V3" s="2591"/>
      <c r="W3" s="2591"/>
      <c r="X3" s="2591"/>
      <c r="Y3" s="2591"/>
      <c r="Z3" s="2591"/>
      <c r="AA3" s="2591"/>
      <c r="AB3" s="2591"/>
      <c r="AC3" s="1279"/>
    </row>
    <row r="4" spans="1:29" ht="15">
      <c r="A4" s="399" t="s">
        <v>2531</v>
      </c>
      <c r="B4" s="400"/>
      <c r="C4" s="3258" t="s">
        <v>2532</v>
      </c>
      <c r="D4" s="3259"/>
      <c r="E4" s="3260" t="s">
        <v>2533</v>
      </c>
      <c r="F4" s="3261"/>
      <c r="G4" s="3258" t="s">
        <v>2534</v>
      </c>
      <c r="H4" s="3259"/>
      <c r="I4" s="3258" t="s">
        <v>2535</v>
      </c>
      <c r="J4" s="3259"/>
      <c r="K4" s="2594" t="s">
        <v>2536</v>
      </c>
      <c r="L4" s="1127"/>
      <c r="M4" s="1128"/>
      <c r="N4" s="1128"/>
      <c r="O4" s="1128"/>
      <c r="P4" s="3262" t="s">
        <v>2537</v>
      </c>
      <c r="Q4" s="3263"/>
      <c r="R4" s="3245" t="s">
        <v>2533</v>
      </c>
      <c r="S4" s="3246"/>
      <c r="T4" s="3245" t="s">
        <v>2534</v>
      </c>
      <c r="U4" s="3246"/>
      <c r="V4" s="3270" t="s">
        <v>2535</v>
      </c>
      <c r="W4" s="3270"/>
      <c r="X4" s="1809"/>
      <c r="Y4" s="3245" t="s">
        <v>2537</v>
      </c>
      <c r="Z4" s="3246"/>
      <c r="AA4" s="3240" t="s">
        <v>2533</v>
      </c>
      <c r="AB4" s="3240" t="s">
        <v>2534</v>
      </c>
      <c r="AC4" s="3240" t="s">
        <v>2535</v>
      </c>
    </row>
    <row r="5" spans="1:29" ht="15">
      <c r="A5" s="402"/>
      <c r="B5" s="403"/>
      <c r="C5" s="3251" t="s">
        <v>2538</v>
      </c>
      <c r="D5" s="3252"/>
      <c r="E5" s="3249" t="s">
        <v>2539</v>
      </c>
      <c r="F5" s="3250"/>
      <c r="G5" s="3251" t="s">
        <v>2540</v>
      </c>
      <c r="H5" s="3252"/>
      <c r="I5" s="3251" t="s">
        <v>2541</v>
      </c>
      <c r="J5" s="3252"/>
      <c r="K5" s="2595"/>
      <c r="L5" s="1127"/>
      <c r="M5" s="1128"/>
      <c r="N5" s="1128"/>
      <c r="O5" s="1128"/>
      <c r="P5" s="3264"/>
      <c r="Q5" s="3265"/>
      <c r="R5" s="3247"/>
      <c r="S5" s="3248"/>
      <c r="T5" s="3247"/>
      <c r="U5" s="3248"/>
      <c r="V5" s="3270"/>
      <c r="W5" s="3270"/>
      <c r="X5" s="1809"/>
      <c r="Y5" s="3247"/>
      <c r="Z5" s="3248"/>
      <c r="AA5" s="3241"/>
      <c r="AB5" s="3241"/>
      <c r="AC5" s="3241"/>
    </row>
    <row r="6" spans="1:29" ht="15.75" thickBot="1">
      <c r="A6" s="404"/>
      <c r="B6" s="405"/>
      <c r="C6" s="3253" t="s">
        <v>2542</v>
      </c>
      <c r="D6" s="3254"/>
      <c r="E6" s="3255" t="s">
        <v>2542</v>
      </c>
      <c r="F6" s="3256"/>
      <c r="G6" s="3253" t="s">
        <v>2542</v>
      </c>
      <c r="H6" s="3254"/>
      <c r="I6" s="3253" t="s">
        <v>2542</v>
      </c>
      <c r="J6" s="3254"/>
      <c r="K6" s="2595" t="s">
        <v>2543</v>
      </c>
      <c r="L6" s="1127"/>
      <c r="M6" s="1128"/>
      <c r="N6" s="1128"/>
      <c r="O6" s="1128"/>
      <c r="P6" s="3266"/>
      <c r="Q6" s="3267"/>
      <c r="R6" s="3247"/>
      <c r="S6" s="3248"/>
      <c r="T6" s="3268"/>
      <c r="U6" s="3269"/>
      <c r="V6" s="3270"/>
      <c r="W6" s="3270"/>
      <c r="X6" s="1809"/>
      <c r="Y6" s="3268"/>
      <c r="Z6" s="3269"/>
      <c r="AA6" s="3242"/>
      <c r="AB6" s="3242"/>
      <c r="AC6" s="3242"/>
    </row>
    <row r="7" spans="1:29" s="117" customFormat="1" ht="15.75" thickBot="1">
      <c r="A7" s="406" t="s">
        <v>2544</v>
      </c>
      <c r="B7" s="407"/>
      <c r="C7" s="408">
        <f>'数据-取费表'!B2</f>
        <v>43905</v>
      </c>
      <c r="D7" s="409">
        <v>100</v>
      </c>
      <c r="E7" s="410"/>
      <c r="F7" s="411">
        <f>SUMIF(58:58,YEAR(E7)&amp;"-"&amp;MONTH(E7),59:59)</f>
        <v>0</v>
      </c>
      <c r="G7" s="410"/>
      <c r="H7" s="409">
        <f>SUMIF(58:58,YEAR(G7)&amp;"-"&amp;MONTH(G7),59:59)</f>
        <v>0</v>
      </c>
      <c r="I7" s="410"/>
      <c r="J7" s="409">
        <f>SUMIF(58:58,YEAR(I7)&amp;"-"&amp;MONTH(I7),59:59)</f>
        <v>0</v>
      </c>
      <c r="K7" s="2596"/>
      <c r="L7" s="1129"/>
      <c r="M7" s="1130"/>
      <c r="N7" s="1130"/>
      <c r="O7" s="1130"/>
      <c r="P7" s="3243" t="s">
        <v>2545</v>
      </c>
      <c r="Q7" s="3271"/>
      <c r="R7" s="767" t="s">
        <v>23</v>
      </c>
      <c r="S7" s="768">
        <f t="shared" ref="S7:S15" si="0">F7</f>
        <v>0</v>
      </c>
      <c r="T7" s="767" t="s">
        <v>23</v>
      </c>
      <c r="U7" s="768">
        <f t="shared" ref="U7:U15" si="1">H7</f>
        <v>0</v>
      </c>
      <c r="V7" s="767" t="s">
        <v>23</v>
      </c>
      <c r="W7" s="768">
        <f t="shared" ref="W7:W15" si="2">J7</f>
        <v>0</v>
      </c>
      <c r="X7" s="769"/>
      <c r="Y7" s="3243" t="s">
        <v>2545</v>
      </c>
      <c r="Z7" s="3244"/>
      <c r="AA7" s="770" t="e">
        <f>D7/F7</f>
        <v>#DIV/0!</v>
      </c>
      <c r="AB7" s="770" t="e">
        <f>D7/H7</f>
        <v>#DIV/0!</v>
      </c>
      <c r="AC7" s="770" t="e">
        <f>D7/J7</f>
        <v>#DIV/0!</v>
      </c>
    </row>
    <row r="8" spans="1:29" s="117" customFormat="1" ht="15.75" thickBot="1">
      <c r="A8" s="406" t="s">
        <v>2546</v>
      </c>
      <c r="B8" s="407"/>
      <c r="C8" s="412" t="s">
        <v>2547</v>
      </c>
      <c r="D8" s="409">
        <v>100</v>
      </c>
      <c r="E8" s="2597"/>
      <c r="F8" s="411">
        <f>SUMIF(61:61,E8,62:62)-SUMIF(61:61,C8,62:62)+100</f>
        <v>0</v>
      </c>
      <c r="G8" s="412"/>
      <c r="H8" s="409">
        <f>SUMIF(61:61,G8,62:62)-SUMIF(61:61,C8,62:62)+100</f>
        <v>0</v>
      </c>
      <c r="I8" s="2597"/>
      <c r="J8" s="409">
        <f>SUMIF(61:61,I8,62:62)-SUMIF(61:61,C8,62:62)+100</f>
        <v>0</v>
      </c>
      <c r="K8" s="2596"/>
      <c r="L8" s="1129"/>
      <c r="M8" s="1130"/>
      <c r="N8" s="1130"/>
      <c r="O8" s="1130"/>
      <c r="P8" s="3243" t="s">
        <v>2548</v>
      </c>
      <c r="Q8" s="3244"/>
      <c r="R8" s="767" t="s">
        <v>23</v>
      </c>
      <c r="S8" s="768">
        <f t="shared" si="0"/>
        <v>0</v>
      </c>
      <c r="T8" s="767" t="s">
        <v>23</v>
      </c>
      <c r="U8" s="768">
        <f t="shared" si="1"/>
        <v>0</v>
      </c>
      <c r="V8" s="767" t="s">
        <v>23</v>
      </c>
      <c r="W8" s="768">
        <f t="shared" si="2"/>
        <v>0</v>
      </c>
      <c r="X8" s="769"/>
      <c r="Y8" s="3243" t="s">
        <v>2548</v>
      </c>
      <c r="Z8" s="3244"/>
      <c r="AA8" s="770" t="e">
        <f t="shared" ref="AA8:AA19" si="3">D8/F8</f>
        <v>#DIV/0!</v>
      </c>
      <c r="AB8" s="770" t="e">
        <f t="shared" ref="AB8:AB19" si="4">D8/H8</f>
        <v>#DIV/0!</v>
      </c>
      <c r="AC8" s="770" t="e">
        <f t="shared" ref="AC8:AC19" si="5">D8/J8</f>
        <v>#DIV/0!</v>
      </c>
    </row>
    <row r="9" spans="1:29" s="117" customFormat="1">
      <c r="A9" s="413" t="s">
        <v>2549</v>
      </c>
      <c r="B9" s="71" t="s">
        <v>2550</v>
      </c>
      <c r="C9" s="414"/>
      <c r="D9" s="135">
        <v>100</v>
      </c>
      <c r="E9" s="415"/>
      <c r="F9" s="416">
        <f>SUMIF(63:63,E9,64:64)-SUMIF(63:63,C9,64:64)+100</f>
        <v>100</v>
      </c>
      <c r="G9" s="417"/>
      <c r="H9" s="135">
        <f>SUMIF(63:63,G9,64:64)-SUMIF(63:63,C9,64:64)+100</f>
        <v>100</v>
      </c>
      <c r="I9" s="417"/>
      <c r="J9" s="135">
        <f>SUMIF(63:63,I9,64:64)-SUMIF(63:63,C9,64:64)+100</f>
        <v>100</v>
      </c>
      <c r="K9" s="2596"/>
      <c r="L9" s="1129"/>
      <c r="M9" s="1130"/>
      <c r="N9" s="1130"/>
      <c r="O9" s="1130"/>
      <c r="P9" s="3281" t="s">
        <v>2551</v>
      </c>
      <c r="Q9" s="1791" t="str">
        <f t="shared" ref="Q9:Q15" si="6">B9</f>
        <v>用途</v>
      </c>
      <c r="R9" s="767" t="s">
        <v>17</v>
      </c>
      <c r="S9" s="768">
        <f t="shared" si="0"/>
        <v>100</v>
      </c>
      <c r="T9" s="767" t="s">
        <v>17</v>
      </c>
      <c r="U9" s="768">
        <f t="shared" si="1"/>
        <v>100</v>
      </c>
      <c r="V9" s="767" t="s">
        <v>17</v>
      </c>
      <c r="W9" s="768">
        <f t="shared" si="2"/>
        <v>100</v>
      </c>
      <c r="X9" s="769"/>
      <c r="Y9" s="3091" t="s">
        <v>2552</v>
      </c>
      <c r="Z9" s="55" t="str">
        <f t="shared" ref="Z9:Z15" si="7">Q9</f>
        <v>用途</v>
      </c>
      <c r="AA9" s="770">
        <f t="shared" si="3"/>
        <v>1</v>
      </c>
      <c r="AB9" s="770">
        <f t="shared" si="4"/>
        <v>1</v>
      </c>
      <c r="AC9" s="770">
        <f t="shared" si="5"/>
        <v>1</v>
      </c>
    </row>
    <row r="10" spans="1:29" s="425" customFormat="1" ht="27">
      <c r="A10" s="419"/>
      <c r="B10" s="420" t="s">
        <v>2553</v>
      </c>
      <c r="C10" s="421"/>
      <c r="D10" s="136">
        <v>100</v>
      </c>
      <c r="E10" s="422"/>
      <c r="F10" s="423">
        <f>SUMIF(65:65,E10,66:66)-SUMIF(65:65,C10,66:66)+100</f>
        <v>100</v>
      </c>
      <c r="G10" s="421"/>
      <c r="H10" s="136">
        <f>SUMIF(65:65,G10,66:66)-SUMIF(65:65,C10,66:66)+100</f>
        <v>100</v>
      </c>
      <c r="I10" s="421"/>
      <c r="J10" s="136">
        <f>SUMIF(65:65,I10,66:66)-SUMIF(65:65,C10,66:66)+100</f>
        <v>100</v>
      </c>
      <c r="K10" s="424"/>
      <c r="L10" s="1132"/>
      <c r="M10" s="1133"/>
      <c r="N10" s="1133"/>
      <c r="O10" s="1133"/>
      <c r="P10" s="3281"/>
      <c r="Q10" s="1791" t="str">
        <f t="shared" si="6"/>
        <v>土地使用年限（年）</v>
      </c>
      <c r="R10" s="767" t="s">
        <v>17</v>
      </c>
      <c r="S10" s="768">
        <f t="shared" si="0"/>
        <v>100</v>
      </c>
      <c r="T10" s="767" t="s">
        <v>17</v>
      </c>
      <c r="U10" s="768">
        <f t="shared" si="1"/>
        <v>100</v>
      </c>
      <c r="V10" s="767" t="s">
        <v>17</v>
      </c>
      <c r="W10" s="768">
        <f t="shared" si="2"/>
        <v>100</v>
      </c>
      <c r="X10" s="769"/>
      <c r="Y10" s="3091"/>
      <c r="Z10" s="55" t="str">
        <f t="shared" si="7"/>
        <v>土地使用年限（年）</v>
      </c>
      <c r="AA10" s="770">
        <f t="shared" si="3"/>
        <v>1</v>
      </c>
      <c r="AB10" s="770">
        <f t="shared" si="4"/>
        <v>1</v>
      </c>
      <c r="AC10" s="770">
        <f t="shared" si="5"/>
        <v>1</v>
      </c>
    </row>
    <row r="11" spans="1:29" ht="15">
      <c r="A11" s="426"/>
      <c r="B11" s="420" t="s">
        <v>2554</v>
      </c>
      <c r="C11" s="427"/>
      <c r="D11" s="136">
        <v>100</v>
      </c>
      <c r="E11" s="428"/>
      <c r="F11" s="423" t="e">
        <f>LOOKUP(E11,68:68,69:69)-LOOKUP(C11,68:68,69:69)+100</f>
        <v>#N/A</v>
      </c>
      <c r="G11" s="427"/>
      <c r="H11" s="136" t="e">
        <f>LOOKUP(G11,68:68,69:69)-LOOKUP(C11,68:68,69:69)+100</f>
        <v>#N/A</v>
      </c>
      <c r="I11" s="427"/>
      <c r="J11" s="136" t="e">
        <f>LOOKUP(I11,68:68,69:69)-LOOKUP(C11,68:68,69:69)+100</f>
        <v>#N/A</v>
      </c>
      <c r="K11" s="424"/>
      <c r="L11" s="1135"/>
      <c r="M11" s="1128"/>
      <c r="N11" s="1128"/>
      <c r="O11" s="1128"/>
      <c r="P11" s="3281"/>
      <c r="Q11" s="1791" t="str">
        <f t="shared" si="6"/>
        <v>容积率</v>
      </c>
      <c r="R11" s="767" t="s">
        <v>21</v>
      </c>
      <c r="S11" s="768" t="e">
        <f t="shared" si="0"/>
        <v>#N/A</v>
      </c>
      <c r="T11" s="767" t="s">
        <v>21</v>
      </c>
      <c r="U11" s="768" t="e">
        <f t="shared" si="1"/>
        <v>#N/A</v>
      </c>
      <c r="V11" s="767" t="s">
        <v>21</v>
      </c>
      <c r="W11" s="768" t="e">
        <f t="shared" si="2"/>
        <v>#N/A</v>
      </c>
      <c r="X11" s="769"/>
      <c r="Y11" s="3091"/>
      <c r="Z11" s="55" t="str">
        <f t="shared" si="7"/>
        <v>容积率</v>
      </c>
      <c r="AA11" s="770" t="e">
        <f t="shared" si="3"/>
        <v>#N/A</v>
      </c>
      <c r="AB11" s="770" t="e">
        <f t="shared" si="4"/>
        <v>#N/A</v>
      </c>
      <c r="AC11" s="770" t="e">
        <f t="shared" si="5"/>
        <v>#N/A</v>
      </c>
    </row>
    <row r="12" spans="1:29" s="117" customFormat="1" ht="15">
      <c r="A12" s="429"/>
      <c r="B12" s="2598">
        <v>111</v>
      </c>
      <c r="C12" s="430"/>
      <c r="D12" s="431">
        <v>100</v>
      </c>
      <c r="E12" s="430"/>
      <c r="F12" s="423">
        <f>SUMIF(70:70,E12,71:71)-SUMIF(70:70,C12,71:71)+100</f>
        <v>100</v>
      </c>
      <c r="G12" s="430"/>
      <c r="H12" s="136">
        <f>SUMIF(70:70,G12,71:71)-SUMIF(70:70,C12,71:71)+100</f>
        <v>100</v>
      </c>
      <c r="I12" s="430"/>
      <c r="J12" s="136">
        <f>SUMIF(70:70,I12,71:71)-SUMIF(70:70,C12,71:71)+100</f>
        <v>100</v>
      </c>
      <c r="K12" s="2599"/>
      <c r="L12" s="1129"/>
      <c r="M12" s="1130"/>
      <c r="N12" s="1130"/>
      <c r="O12" s="1130"/>
      <c r="P12" s="3281"/>
      <c r="Q12" s="1791">
        <f t="shared" si="6"/>
        <v>111</v>
      </c>
      <c r="R12" s="767" t="s">
        <v>21</v>
      </c>
      <c r="S12" s="768">
        <f t="shared" si="0"/>
        <v>100</v>
      </c>
      <c r="T12" s="767" t="s">
        <v>21</v>
      </c>
      <c r="U12" s="768">
        <f t="shared" si="1"/>
        <v>100</v>
      </c>
      <c r="V12" s="767" t="s">
        <v>21</v>
      </c>
      <c r="W12" s="768">
        <f t="shared" si="2"/>
        <v>100</v>
      </c>
      <c r="X12" s="769"/>
      <c r="Y12" s="3091"/>
      <c r="Z12" s="55">
        <f t="shared" si="7"/>
        <v>111</v>
      </c>
      <c r="AA12" s="770">
        <f>D12/F12</f>
        <v>1</v>
      </c>
      <c r="AB12" s="770">
        <f>D12/H12</f>
        <v>1</v>
      </c>
      <c r="AC12" s="770">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37"/>
      <c r="M13" s="1128"/>
      <c r="N13" s="1128"/>
      <c r="O13" s="1128"/>
      <c r="P13" s="3281"/>
      <c r="Q13" s="1791">
        <f t="shared" si="6"/>
        <v>111</v>
      </c>
      <c r="R13" s="767" t="s">
        <v>21</v>
      </c>
      <c r="S13" s="768">
        <f t="shared" si="0"/>
        <v>100</v>
      </c>
      <c r="T13" s="767" t="s">
        <v>21</v>
      </c>
      <c r="U13" s="768">
        <f t="shared" si="1"/>
        <v>100</v>
      </c>
      <c r="V13" s="767" t="s">
        <v>21</v>
      </c>
      <c r="W13" s="768">
        <f t="shared" si="2"/>
        <v>100</v>
      </c>
      <c r="X13" s="769"/>
      <c r="Y13" s="3091"/>
      <c r="Z13" s="55">
        <f t="shared" si="7"/>
        <v>111</v>
      </c>
      <c r="AA13" s="770">
        <f t="shared" si="3"/>
        <v>1</v>
      </c>
      <c r="AB13" s="770">
        <f t="shared" si="4"/>
        <v>1</v>
      </c>
      <c r="AC13" s="770">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37"/>
      <c r="M14" s="1128"/>
      <c r="N14" s="1128"/>
      <c r="O14" s="1128"/>
      <c r="P14" s="3281"/>
      <c r="Q14" s="1791">
        <f t="shared" si="6"/>
        <v>111</v>
      </c>
      <c r="R14" s="767" t="s">
        <v>21</v>
      </c>
      <c r="S14" s="768">
        <f t="shared" si="0"/>
        <v>100</v>
      </c>
      <c r="T14" s="767" t="s">
        <v>21</v>
      </c>
      <c r="U14" s="768">
        <f t="shared" si="1"/>
        <v>100</v>
      </c>
      <c r="V14" s="767" t="s">
        <v>21</v>
      </c>
      <c r="W14" s="768">
        <f t="shared" si="2"/>
        <v>100</v>
      </c>
      <c r="X14" s="769"/>
      <c r="Y14" s="3091"/>
      <c r="Z14" s="55">
        <f t="shared" si="7"/>
        <v>111</v>
      </c>
      <c r="AA14" s="770">
        <f t="shared" si="3"/>
        <v>1</v>
      </c>
      <c r="AB14" s="770">
        <f t="shared" si="4"/>
        <v>1</v>
      </c>
      <c r="AC14" s="770">
        <f t="shared" si="5"/>
        <v>1</v>
      </c>
    </row>
    <row r="15" spans="1:29" ht="99.75">
      <c r="A15" s="438" t="s">
        <v>2555</v>
      </c>
      <c r="B15" s="69" t="s">
        <v>2084</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16" t="s">
        <v>2556</v>
      </c>
      <c r="Q15" s="1806" t="str">
        <f t="shared" si="6"/>
        <v>居住社区成熟度</v>
      </c>
      <c r="R15" s="771" t="s">
        <v>21</v>
      </c>
      <c r="S15" s="772">
        <f t="shared" si="0"/>
        <v>100</v>
      </c>
      <c r="T15" s="771" t="s">
        <v>21</v>
      </c>
      <c r="U15" s="772">
        <f t="shared" si="1"/>
        <v>100</v>
      </c>
      <c r="V15" s="771" t="s">
        <v>21</v>
      </c>
      <c r="W15" s="772">
        <f t="shared" si="2"/>
        <v>100</v>
      </c>
      <c r="X15" s="1809"/>
      <c r="Y15" s="3272" t="s">
        <v>2556</v>
      </c>
      <c r="Z15" s="1810" t="str">
        <f t="shared" si="7"/>
        <v>居住社区成熟度</v>
      </c>
      <c r="AA15" s="1807">
        <f t="shared" si="3"/>
        <v>1</v>
      </c>
      <c r="AB15" s="1807">
        <f t="shared" si="4"/>
        <v>1</v>
      </c>
      <c r="AC15" s="1807">
        <f t="shared" si="5"/>
        <v>1</v>
      </c>
    </row>
    <row r="16" spans="1:29" ht="15">
      <c r="A16" s="426"/>
      <c r="B16" s="444"/>
      <c r="C16" s="445"/>
      <c r="D16" s="446"/>
      <c r="E16" s="2602"/>
      <c r="F16" s="446"/>
      <c r="G16" s="2603"/>
      <c r="H16" s="448"/>
      <c r="I16" s="2603"/>
      <c r="J16" s="446"/>
      <c r="K16" s="2604"/>
      <c r="L16" s="1137"/>
      <c r="M16" s="1128"/>
      <c r="N16" s="1128"/>
      <c r="O16" s="1128"/>
      <c r="P16" s="3317"/>
      <c r="Q16" s="1806"/>
      <c r="R16" s="771"/>
      <c r="S16" s="772"/>
      <c r="T16" s="771"/>
      <c r="U16" s="772"/>
      <c r="V16" s="771"/>
      <c r="W16" s="772"/>
      <c r="X16" s="1809"/>
      <c r="Y16" s="3273"/>
      <c r="Z16" s="1810"/>
      <c r="AA16" s="1807">
        <v>1</v>
      </c>
      <c r="AB16" s="1807">
        <v>1</v>
      </c>
      <c r="AC16" s="1807">
        <v>1</v>
      </c>
    </row>
    <row r="17" spans="1:29" ht="85.5">
      <c r="A17" s="426"/>
      <c r="B17" s="449" t="s">
        <v>2096</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17"/>
      <c r="Q17" s="1806" t="str">
        <f>B17</f>
        <v>交通便捷度</v>
      </c>
      <c r="R17" s="771" t="s">
        <v>21</v>
      </c>
      <c r="S17" s="772">
        <f>F17</f>
        <v>100</v>
      </c>
      <c r="T17" s="771" t="s">
        <v>21</v>
      </c>
      <c r="U17" s="772">
        <f>H17</f>
        <v>100</v>
      </c>
      <c r="V17" s="771" t="s">
        <v>21</v>
      </c>
      <c r="W17" s="772">
        <f>J17</f>
        <v>100</v>
      </c>
      <c r="X17" s="1809"/>
      <c r="Y17" s="3273"/>
      <c r="Z17" s="1810" t="str">
        <f>Q17</f>
        <v>交通便捷度</v>
      </c>
      <c r="AA17" s="1807">
        <f t="shared" si="3"/>
        <v>1</v>
      </c>
      <c r="AB17" s="1807">
        <f t="shared" si="4"/>
        <v>1</v>
      </c>
      <c r="AC17" s="1807">
        <f t="shared" si="5"/>
        <v>1</v>
      </c>
    </row>
    <row r="18" spans="1:29" ht="15">
      <c r="A18" s="426"/>
      <c r="B18" s="454"/>
      <c r="C18" s="2606"/>
      <c r="D18" s="448"/>
      <c r="E18" s="2607"/>
      <c r="F18" s="448"/>
      <c r="G18" s="2608"/>
      <c r="H18" s="446"/>
      <c r="I18" s="2608"/>
      <c r="J18" s="446"/>
      <c r="K18" s="2604"/>
      <c r="L18" s="1137"/>
      <c r="M18" s="1128"/>
      <c r="N18" s="1128"/>
      <c r="O18" s="1128"/>
      <c r="P18" s="3317"/>
      <c r="Q18" s="1806"/>
      <c r="R18" s="771"/>
      <c r="S18" s="772"/>
      <c r="T18" s="771"/>
      <c r="U18" s="772"/>
      <c r="V18" s="771"/>
      <c r="W18" s="772"/>
      <c r="X18" s="1809"/>
      <c r="Y18" s="3273"/>
      <c r="Z18" s="1810"/>
      <c r="AA18" s="1807">
        <v>1</v>
      </c>
      <c r="AB18" s="1807">
        <v>1</v>
      </c>
      <c r="AC18" s="1807">
        <v>1</v>
      </c>
    </row>
    <row r="19" spans="1:29" ht="42.75">
      <c r="A19" s="426"/>
      <c r="B19" s="449" t="s">
        <v>2094</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17"/>
      <c r="Q19" s="1806" t="str">
        <f>B19</f>
        <v>公共配套设施</v>
      </c>
      <c r="R19" s="771" t="s">
        <v>21</v>
      </c>
      <c r="S19" s="772">
        <f>F19</f>
        <v>100</v>
      </c>
      <c r="T19" s="771" t="s">
        <v>21</v>
      </c>
      <c r="U19" s="772">
        <f>H19</f>
        <v>100</v>
      </c>
      <c r="V19" s="771" t="s">
        <v>21</v>
      </c>
      <c r="W19" s="772">
        <f>J19</f>
        <v>100</v>
      </c>
      <c r="X19" s="1809"/>
      <c r="Y19" s="3273"/>
      <c r="Z19" s="1810" t="str">
        <f>Q19</f>
        <v>公共配套设施</v>
      </c>
      <c r="AA19" s="1807">
        <f t="shared" si="3"/>
        <v>1</v>
      </c>
      <c r="AB19" s="1807">
        <f t="shared" si="4"/>
        <v>1</v>
      </c>
      <c r="AC19" s="1807">
        <f t="shared" si="5"/>
        <v>1</v>
      </c>
    </row>
    <row r="20" spans="1:29" ht="15">
      <c r="A20" s="426"/>
      <c r="B20" s="454"/>
      <c r="C20" s="445"/>
      <c r="D20" s="446"/>
      <c r="E20" s="2602"/>
      <c r="F20" s="446"/>
      <c r="G20" s="2603"/>
      <c r="H20" s="446"/>
      <c r="I20" s="2603"/>
      <c r="J20" s="446"/>
      <c r="K20" s="2604"/>
      <c r="L20" s="1137"/>
      <c r="M20" s="1128"/>
      <c r="N20" s="1128"/>
      <c r="O20" s="1128"/>
      <c r="P20" s="3317"/>
      <c r="Q20" s="1806"/>
      <c r="R20" s="771"/>
      <c r="S20" s="772"/>
      <c r="T20" s="771"/>
      <c r="U20" s="772"/>
      <c r="V20" s="771"/>
      <c r="W20" s="772"/>
      <c r="X20" s="1809"/>
      <c r="Y20" s="3273"/>
      <c r="Z20" s="1810"/>
      <c r="AA20" s="1807">
        <v>1</v>
      </c>
      <c r="AB20" s="1807">
        <v>1</v>
      </c>
      <c r="AC20" s="1807">
        <v>1</v>
      </c>
    </row>
    <row r="21" spans="1:29" ht="28.5">
      <c r="A21" s="426"/>
      <c r="B21" s="1381" t="s">
        <v>2097</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17"/>
      <c r="Q21" s="1806" t="str">
        <f>B21</f>
        <v>基础设施水平</v>
      </c>
      <c r="R21" s="771" t="s">
        <v>17</v>
      </c>
      <c r="S21" s="772">
        <f>F21</f>
        <v>100</v>
      </c>
      <c r="T21" s="771" t="s">
        <v>17</v>
      </c>
      <c r="U21" s="772">
        <f>H21</f>
        <v>100</v>
      </c>
      <c r="V21" s="771" t="s">
        <v>17</v>
      </c>
      <c r="W21" s="772">
        <f>J21</f>
        <v>100</v>
      </c>
      <c r="X21" s="1809"/>
      <c r="Y21" s="3273"/>
      <c r="Z21" s="1810" t="str">
        <f>Q21</f>
        <v>基础设施水平</v>
      </c>
      <c r="AA21" s="1807">
        <f t="shared" ref="AA21" si="8">D21/F21</f>
        <v>1</v>
      </c>
      <c r="AB21" s="1807">
        <f t="shared" ref="AB21" si="9">D21/H21</f>
        <v>1</v>
      </c>
      <c r="AC21" s="1807">
        <f t="shared" ref="AC21" si="10">D21/J21</f>
        <v>1</v>
      </c>
    </row>
    <row r="22" spans="1:29" ht="15">
      <c r="A22" s="426"/>
      <c r="B22" s="1381"/>
      <c r="C22" s="2606"/>
      <c r="D22" s="446"/>
      <c r="E22" s="445"/>
      <c r="F22" s="446"/>
      <c r="G22" s="2609"/>
      <c r="H22" s="446"/>
      <c r="I22" s="445"/>
      <c r="J22" s="446"/>
      <c r="K22" s="2610"/>
      <c r="L22" s="1137"/>
      <c r="M22" s="1128"/>
      <c r="N22" s="1128"/>
      <c r="O22" s="1128"/>
      <c r="P22" s="3317"/>
      <c r="Q22" s="1806"/>
      <c r="R22" s="771"/>
      <c r="S22" s="772"/>
      <c r="T22" s="771"/>
      <c r="U22" s="772"/>
      <c r="V22" s="771"/>
      <c r="W22" s="772"/>
      <c r="X22" s="1809"/>
      <c r="Y22" s="3273"/>
      <c r="Z22" s="1810"/>
      <c r="AA22" s="1807">
        <v>1</v>
      </c>
      <c r="AB22" s="1807">
        <v>1</v>
      </c>
      <c r="AC22" s="1807">
        <v>1</v>
      </c>
    </row>
    <row r="23" spans="1:29" ht="57">
      <c r="A23" s="426"/>
      <c r="B23" s="449" t="s">
        <v>2101</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17"/>
      <c r="Q23" s="1806" t="str">
        <f>B23</f>
        <v>自然及人文环境</v>
      </c>
      <c r="R23" s="771" t="s">
        <v>21</v>
      </c>
      <c r="S23" s="772">
        <f>F23</f>
        <v>100</v>
      </c>
      <c r="T23" s="771" t="s">
        <v>21</v>
      </c>
      <c r="U23" s="772">
        <f>H23</f>
        <v>100</v>
      </c>
      <c r="V23" s="771" t="s">
        <v>21</v>
      </c>
      <c r="W23" s="772">
        <f>J23</f>
        <v>100</v>
      </c>
      <c r="X23" s="1809"/>
      <c r="Y23" s="3273"/>
      <c r="Z23" s="1810" t="str">
        <f>Q23</f>
        <v>自然及人文环境</v>
      </c>
      <c r="AA23" s="1807">
        <f>D23/F23</f>
        <v>1</v>
      </c>
      <c r="AB23" s="1807">
        <f>D23/H23</f>
        <v>1</v>
      </c>
      <c r="AC23" s="1807">
        <f>D23/J23</f>
        <v>1</v>
      </c>
    </row>
    <row r="24" spans="1:29" ht="15">
      <c r="A24" s="426"/>
      <c r="B24" s="454"/>
      <c r="C24" s="445"/>
      <c r="D24" s="446"/>
      <c r="E24" s="2602"/>
      <c r="F24" s="446"/>
      <c r="G24" s="2603"/>
      <c r="H24" s="446"/>
      <c r="I24" s="2603"/>
      <c r="J24" s="446"/>
      <c r="K24" s="2604"/>
      <c r="L24" s="1137"/>
      <c r="M24" s="1128"/>
      <c r="N24" s="1128"/>
      <c r="O24" s="1128"/>
      <c r="P24" s="3317"/>
      <c r="Q24" s="1806"/>
      <c r="R24" s="771"/>
      <c r="S24" s="772"/>
      <c r="T24" s="771"/>
      <c r="U24" s="772"/>
      <c r="V24" s="771"/>
      <c r="W24" s="772"/>
      <c r="X24" s="1809"/>
      <c r="Y24" s="3273"/>
      <c r="Z24" s="1810"/>
      <c r="AA24" s="1807">
        <v>1</v>
      </c>
      <c r="AB24" s="1807">
        <v>1</v>
      </c>
      <c r="AC24" s="1807">
        <v>1</v>
      </c>
    </row>
    <row r="25" spans="1:29" ht="15">
      <c r="A25" s="426"/>
      <c r="B25" s="420" t="s">
        <v>2557</v>
      </c>
      <c r="C25" s="458"/>
      <c r="D25" s="433">
        <v>100</v>
      </c>
      <c r="E25" s="2611"/>
      <c r="F25" s="433">
        <f>SUMIF(86:86,E25,87:87)-SUMIF(86:86,C25,87:87)+100</f>
        <v>100</v>
      </c>
      <c r="G25" s="2612"/>
      <c r="H25" s="433">
        <f>SUMIF(86:86,G25,87:87)-SUMIF(86:86,C25,87:87)+100</f>
        <v>100</v>
      </c>
      <c r="I25" s="2612"/>
      <c r="J25" s="433">
        <f>SUMIF(86:86,I25,87:87)-SUMIF(86:86,C25,87:87)+100</f>
        <v>100</v>
      </c>
      <c r="K25" s="424"/>
      <c r="L25" s="1137"/>
      <c r="M25" s="1128"/>
      <c r="N25" s="1128"/>
      <c r="O25" s="1128"/>
      <c r="P25" s="3317"/>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73"/>
      <c r="Z25" s="1810" t="str">
        <f>Q25</f>
        <v>楼层-1</v>
      </c>
      <c r="AA25" s="1807">
        <f t="shared" ref="AA25:AA46" si="15">D25/F25</f>
        <v>1</v>
      </c>
      <c r="AB25" s="1807">
        <f t="shared" ref="AB25:AB46" si="16">D25/H25</f>
        <v>1</v>
      </c>
      <c r="AC25" s="1807">
        <f t="shared" ref="AC25:AC46" si="17">D25/J25</f>
        <v>1</v>
      </c>
    </row>
    <row r="26" spans="1:29" ht="15">
      <c r="A26" s="426"/>
      <c r="B26" s="420" t="s">
        <v>2558</v>
      </c>
      <c r="C26" s="458"/>
      <c r="D26" s="433">
        <v>100</v>
      </c>
      <c r="E26" s="2611"/>
      <c r="F26" s="433">
        <f>SUMIF(88:88,E26,89:89)-SUMIF(88:88,C26,89:89)+100</f>
        <v>100</v>
      </c>
      <c r="G26" s="2612"/>
      <c r="H26" s="433">
        <f>SUMIF(88:88,G26,89:89)-SUMIF(88:88,C26,89:89)+100</f>
        <v>100</v>
      </c>
      <c r="I26" s="2612"/>
      <c r="J26" s="433">
        <f>SUMIF(88:88,I26,89:89)-SUMIF(88:88,C26,89:89)+100</f>
        <v>100</v>
      </c>
      <c r="K26" s="424"/>
      <c r="L26" s="1137"/>
      <c r="M26" s="1128"/>
      <c r="N26" s="1128"/>
      <c r="O26" s="1128"/>
      <c r="P26" s="3317"/>
      <c r="Q26" s="1806" t="str">
        <f t="shared" si="11"/>
        <v>朝向</v>
      </c>
      <c r="R26" s="771" t="s">
        <v>21</v>
      </c>
      <c r="S26" s="772">
        <f t="shared" si="12"/>
        <v>100</v>
      </c>
      <c r="T26" s="771" t="s">
        <v>21</v>
      </c>
      <c r="U26" s="772">
        <f t="shared" si="13"/>
        <v>100</v>
      </c>
      <c r="V26" s="771" t="s">
        <v>21</v>
      </c>
      <c r="W26" s="772">
        <f t="shared" si="14"/>
        <v>100</v>
      </c>
      <c r="X26" s="1809"/>
      <c r="Y26" s="3273"/>
      <c r="Z26" s="1810" t="str">
        <f>Q26</f>
        <v>朝向</v>
      </c>
      <c r="AA26" s="1807">
        <f t="shared" si="15"/>
        <v>1</v>
      </c>
      <c r="AB26" s="1807">
        <f t="shared" si="16"/>
        <v>1</v>
      </c>
      <c r="AC26" s="1807">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9"/>
      <c r="L27" s="1129"/>
      <c r="M27" s="1130"/>
      <c r="N27" s="1130"/>
      <c r="O27" s="1130"/>
      <c r="P27" s="3317"/>
      <c r="Q27" s="1791">
        <f t="shared" si="11"/>
        <v>111</v>
      </c>
      <c r="R27" s="767" t="s">
        <v>21</v>
      </c>
      <c r="S27" s="768">
        <f t="shared" si="12"/>
        <v>100</v>
      </c>
      <c r="T27" s="767" t="s">
        <v>21</v>
      </c>
      <c r="U27" s="768">
        <f t="shared" si="13"/>
        <v>100</v>
      </c>
      <c r="V27" s="767" t="s">
        <v>21</v>
      </c>
      <c r="W27" s="768">
        <f t="shared" si="14"/>
        <v>100</v>
      </c>
      <c r="X27" s="769"/>
      <c r="Y27" s="3273"/>
      <c r="Z27" s="55">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13"/>
      <c r="H28" s="433">
        <f>SUMIF(92:92,G28,93:93)-SUMIF(92:92,C28,93:93)+100</f>
        <v>100</v>
      </c>
      <c r="I28" s="432"/>
      <c r="J28" s="433">
        <f>SUMIF(92:92,I28,93:93)-SUMIF(92:92,C28,93:93)+100</f>
        <v>100</v>
      </c>
      <c r="K28" s="2599"/>
      <c r="L28" s="1137"/>
      <c r="M28" s="1128"/>
      <c r="N28" s="1128"/>
      <c r="O28" s="1128"/>
      <c r="P28" s="3317"/>
      <c r="Q28" s="1806">
        <f t="shared" si="11"/>
        <v>111</v>
      </c>
      <c r="R28" s="771" t="s">
        <v>21</v>
      </c>
      <c r="S28" s="772">
        <f t="shared" si="12"/>
        <v>100</v>
      </c>
      <c r="T28" s="771" t="s">
        <v>21</v>
      </c>
      <c r="U28" s="772">
        <f t="shared" si="13"/>
        <v>100</v>
      </c>
      <c r="V28" s="771" t="s">
        <v>21</v>
      </c>
      <c r="W28" s="772">
        <f t="shared" si="14"/>
        <v>100</v>
      </c>
      <c r="X28" s="1809"/>
      <c r="Y28" s="3273"/>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13"/>
      <c r="H29" s="433">
        <f>SUMIF(94:94,G29,95:95)-SUMIF(94:94,C29,95:95)+100</f>
        <v>100</v>
      </c>
      <c r="I29" s="432"/>
      <c r="J29" s="433">
        <f>SUMIF(94:94,I29,95:95)-SUMIF(94:94,C29,95:95)+100</f>
        <v>100</v>
      </c>
      <c r="K29" s="2599"/>
      <c r="L29" s="1137"/>
      <c r="M29" s="1128"/>
      <c r="N29" s="1128"/>
      <c r="O29" s="1128"/>
      <c r="P29" s="3317"/>
      <c r="Q29" s="1806">
        <f t="shared" si="11"/>
        <v>111</v>
      </c>
      <c r="R29" s="771" t="s">
        <v>21</v>
      </c>
      <c r="S29" s="772">
        <f t="shared" si="12"/>
        <v>100</v>
      </c>
      <c r="T29" s="771" t="s">
        <v>21</v>
      </c>
      <c r="U29" s="772">
        <f t="shared" si="13"/>
        <v>100</v>
      </c>
      <c r="V29" s="771" t="s">
        <v>21</v>
      </c>
      <c r="W29" s="772">
        <f t="shared" si="14"/>
        <v>100</v>
      </c>
      <c r="X29" s="1809"/>
      <c r="Y29" s="3273"/>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13"/>
      <c r="H30" s="433">
        <f>SUMIF(96:96,G30,97:97)-SUMIF(96:96,C30,97:97)+100</f>
        <v>100</v>
      </c>
      <c r="I30" s="432"/>
      <c r="J30" s="433">
        <f>SUMIF(96:96,I30,97:97)-SUMIF(96:96,C30,97:97)+100</f>
        <v>100</v>
      </c>
      <c r="K30" s="2599"/>
      <c r="L30" s="1137"/>
      <c r="M30" s="1128"/>
      <c r="N30" s="1128"/>
      <c r="O30" s="1128"/>
      <c r="P30" s="3317"/>
      <c r="Q30" s="1806">
        <f t="shared" si="11"/>
        <v>111</v>
      </c>
      <c r="R30" s="771" t="s">
        <v>21</v>
      </c>
      <c r="S30" s="772">
        <f t="shared" si="12"/>
        <v>100</v>
      </c>
      <c r="T30" s="771" t="s">
        <v>21</v>
      </c>
      <c r="U30" s="772">
        <f t="shared" si="13"/>
        <v>100</v>
      </c>
      <c r="V30" s="771" t="s">
        <v>21</v>
      </c>
      <c r="W30" s="772">
        <f t="shared" si="14"/>
        <v>100</v>
      </c>
      <c r="X30" s="1809"/>
      <c r="Y30" s="3273"/>
      <c r="Z30" s="1810">
        <f t="shared" si="18"/>
        <v>111</v>
      </c>
      <c r="AA30" s="1807">
        <f t="shared" si="15"/>
        <v>1</v>
      </c>
      <c r="AB30" s="1807">
        <f t="shared" si="16"/>
        <v>1</v>
      </c>
      <c r="AC30" s="1807">
        <f t="shared" si="17"/>
        <v>1</v>
      </c>
    </row>
    <row r="31" spans="1:29" ht="15.75" thickBot="1">
      <c r="A31" s="434"/>
      <c r="B31" s="1383">
        <v>111</v>
      </c>
      <c r="C31" s="435"/>
      <c r="D31" s="436">
        <v>100</v>
      </c>
      <c r="E31" s="435"/>
      <c r="F31" s="436">
        <f>SUMIF(98:98,E31,99:99)-SUMIF(98:98,C31,99:99)+100</f>
        <v>100</v>
      </c>
      <c r="G31" s="2614"/>
      <c r="H31" s="436">
        <f>SUMIF(98:98,G31,99:99)-SUMIF(98:98,C31,99:99)+100</f>
        <v>100</v>
      </c>
      <c r="I31" s="435"/>
      <c r="J31" s="436">
        <f>SUMIF(98:98,I31,99:99)-SUMIF(98:98,C31,99:99)+100</f>
        <v>100</v>
      </c>
      <c r="K31" s="2599"/>
      <c r="L31" s="1137"/>
      <c r="M31" s="1128"/>
      <c r="N31" s="1128"/>
      <c r="O31" s="1128"/>
      <c r="P31" s="3317"/>
      <c r="Q31" s="1806">
        <f t="shared" si="11"/>
        <v>111</v>
      </c>
      <c r="R31" s="771" t="s">
        <v>21</v>
      </c>
      <c r="S31" s="772">
        <f t="shared" si="12"/>
        <v>100</v>
      </c>
      <c r="T31" s="771" t="s">
        <v>21</v>
      </c>
      <c r="U31" s="772">
        <f t="shared" si="13"/>
        <v>100</v>
      </c>
      <c r="V31" s="771" t="s">
        <v>21</v>
      </c>
      <c r="W31" s="772">
        <f t="shared" si="14"/>
        <v>100</v>
      </c>
      <c r="X31" s="1809"/>
      <c r="Y31" s="3273"/>
      <c r="Z31" s="1810">
        <f t="shared" si="18"/>
        <v>111</v>
      </c>
      <c r="AA31" s="1807">
        <f t="shared" si="15"/>
        <v>1</v>
      </c>
      <c r="AB31" s="1807">
        <f t="shared" si="16"/>
        <v>1</v>
      </c>
      <c r="AC31" s="1807">
        <f t="shared" si="17"/>
        <v>1</v>
      </c>
    </row>
    <row r="32" spans="1:29" ht="15">
      <c r="A32" s="438" t="s">
        <v>2559</v>
      </c>
      <c r="B32" s="71" t="s">
        <v>2560</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37"/>
      <c r="M32" s="1128"/>
      <c r="N32" s="1128"/>
      <c r="O32" s="1128"/>
      <c r="P32" s="3312" t="s">
        <v>2561</v>
      </c>
      <c r="Q32" s="1806" t="str">
        <f t="shared" si="11"/>
        <v>建筑类型</v>
      </c>
      <c r="R32" s="771" t="s">
        <v>21</v>
      </c>
      <c r="S32" s="772">
        <f t="shared" si="12"/>
        <v>100</v>
      </c>
      <c r="T32" s="771" t="s">
        <v>21</v>
      </c>
      <c r="U32" s="772">
        <f t="shared" si="13"/>
        <v>100</v>
      </c>
      <c r="V32" s="771" t="s">
        <v>21</v>
      </c>
      <c r="W32" s="772">
        <f t="shared" si="14"/>
        <v>100</v>
      </c>
      <c r="X32" s="1809"/>
      <c r="Y32" s="3275" t="s">
        <v>2561</v>
      </c>
      <c r="Z32" s="1810" t="str">
        <f t="shared" si="18"/>
        <v>建筑类型</v>
      </c>
      <c r="AA32" s="1807">
        <f t="shared" si="15"/>
        <v>1</v>
      </c>
      <c r="AB32" s="1807">
        <f t="shared" si="16"/>
        <v>1</v>
      </c>
      <c r="AC32" s="1807">
        <f t="shared" si="17"/>
        <v>1</v>
      </c>
    </row>
    <row r="33" spans="1:29" s="469" customFormat="1" ht="15">
      <c r="A33" s="466"/>
      <c r="B33" s="420" t="s">
        <v>2562</v>
      </c>
      <c r="C33" s="467"/>
      <c r="D33" s="136">
        <v>100</v>
      </c>
      <c r="E33" s="428"/>
      <c r="F33" s="423" t="e">
        <f>LOOKUP(E33,103:103,104:104)-LOOKUP(C33,103:103,104:104)+100</f>
        <v>#N/A</v>
      </c>
      <c r="G33" s="427"/>
      <c r="H33" s="136" t="e">
        <f>LOOKUP(G33,103:103,104:104)-LOOKUP(C33,103:103,104:104)+100</f>
        <v>#N/A</v>
      </c>
      <c r="I33" s="428"/>
      <c r="J33" s="136" t="e">
        <f>LOOKUP(I33,103:103,104:104)-LOOKUP(C33,103:103,104:104)+100</f>
        <v>#N/A</v>
      </c>
      <c r="K33" s="2599"/>
      <c r="L33" s="1135"/>
      <c r="M33" s="1138"/>
      <c r="N33" s="1138"/>
      <c r="O33" s="1138"/>
      <c r="P33" s="3313"/>
      <c r="Q33" s="773" t="str">
        <f t="shared" si="11"/>
        <v>项目建筑规模</v>
      </c>
      <c r="R33" s="774" t="s">
        <v>21</v>
      </c>
      <c r="S33" s="775" t="e">
        <f t="shared" si="12"/>
        <v>#N/A</v>
      </c>
      <c r="T33" s="774" t="s">
        <v>21</v>
      </c>
      <c r="U33" s="775" t="e">
        <f t="shared" si="13"/>
        <v>#N/A</v>
      </c>
      <c r="V33" s="774" t="s">
        <v>21</v>
      </c>
      <c r="W33" s="775" t="e">
        <f t="shared" si="14"/>
        <v>#N/A</v>
      </c>
      <c r="X33" s="776"/>
      <c r="Y33" s="3275"/>
      <c r="Z33" s="777" t="str">
        <f t="shared" si="18"/>
        <v>项目建筑规模</v>
      </c>
      <c r="AA33" s="1807" t="e">
        <f t="shared" si="15"/>
        <v>#N/A</v>
      </c>
      <c r="AB33" s="1807" t="e">
        <f t="shared" si="16"/>
        <v>#N/A</v>
      </c>
      <c r="AC33" s="1807" t="e">
        <f t="shared" si="17"/>
        <v>#N/A</v>
      </c>
    </row>
    <row r="34" spans="1:29" ht="15">
      <c r="A34" s="470"/>
      <c r="B34" s="420" t="s">
        <v>2563</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37"/>
      <c r="M34" s="1128"/>
      <c r="N34" s="1128"/>
      <c r="O34" s="1128"/>
      <c r="P34" s="3313"/>
      <c r="Q34" s="1806" t="str">
        <f t="shared" si="11"/>
        <v>建筑结构</v>
      </c>
      <c r="R34" s="771" t="s">
        <v>21</v>
      </c>
      <c r="S34" s="772">
        <f t="shared" si="12"/>
        <v>100</v>
      </c>
      <c r="T34" s="771" t="s">
        <v>21</v>
      </c>
      <c r="U34" s="772">
        <f t="shared" si="13"/>
        <v>100</v>
      </c>
      <c r="V34" s="771" t="s">
        <v>21</v>
      </c>
      <c r="W34" s="772">
        <f t="shared" si="14"/>
        <v>100</v>
      </c>
      <c r="X34" s="1809"/>
      <c r="Y34" s="3275"/>
      <c r="Z34" s="1810" t="str">
        <f t="shared" si="18"/>
        <v>建筑结构</v>
      </c>
      <c r="AA34" s="1807">
        <f t="shared" si="15"/>
        <v>1</v>
      </c>
      <c r="AB34" s="1807">
        <f t="shared" si="16"/>
        <v>1</v>
      </c>
      <c r="AC34" s="1807">
        <f t="shared" si="17"/>
        <v>1</v>
      </c>
    </row>
    <row r="35" spans="1:29" ht="15">
      <c r="A35" s="470"/>
      <c r="B35" s="420" t="s">
        <v>2564</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37"/>
      <c r="M35" s="1128"/>
      <c r="N35" s="1128"/>
      <c r="O35" s="1128"/>
      <c r="P35" s="3313"/>
      <c r="Q35" s="1806" t="str">
        <f t="shared" si="11"/>
        <v>建筑品质</v>
      </c>
      <c r="R35" s="771" t="s">
        <v>21</v>
      </c>
      <c r="S35" s="772">
        <f t="shared" si="12"/>
        <v>100</v>
      </c>
      <c r="T35" s="771" t="s">
        <v>21</v>
      </c>
      <c r="U35" s="772">
        <f t="shared" si="13"/>
        <v>100</v>
      </c>
      <c r="V35" s="771" t="s">
        <v>21</v>
      </c>
      <c r="W35" s="772">
        <f t="shared" si="14"/>
        <v>100</v>
      </c>
      <c r="X35" s="1809"/>
      <c r="Y35" s="3275"/>
      <c r="Z35" s="1810" t="str">
        <f t="shared" si="18"/>
        <v>建筑品质</v>
      </c>
      <c r="AA35" s="1807">
        <f t="shared" si="15"/>
        <v>1</v>
      </c>
      <c r="AB35" s="1807">
        <f t="shared" si="16"/>
        <v>1</v>
      </c>
      <c r="AC35" s="1807">
        <f t="shared" si="17"/>
        <v>1</v>
      </c>
    </row>
    <row r="36" spans="1:29" ht="15">
      <c r="A36" s="470"/>
      <c r="B36" s="420" t="s">
        <v>2565</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37"/>
      <c r="M36" s="1128"/>
      <c r="N36" s="1128"/>
      <c r="O36" s="1128"/>
      <c r="P36" s="3313"/>
      <c r="Q36" s="1806" t="str">
        <f t="shared" si="11"/>
        <v>公共部分装修</v>
      </c>
      <c r="R36" s="771" t="s">
        <v>21</v>
      </c>
      <c r="S36" s="772">
        <f t="shared" si="12"/>
        <v>100</v>
      </c>
      <c r="T36" s="771" t="s">
        <v>21</v>
      </c>
      <c r="U36" s="772">
        <f t="shared" si="13"/>
        <v>100</v>
      </c>
      <c r="V36" s="771" t="s">
        <v>21</v>
      </c>
      <c r="W36" s="772">
        <f t="shared" si="14"/>
        <v>100</v>
      </c>
      <c r="X36" s="1809"/>
      <c r="Y36" s="3275"/>
      <c r="Z36" s="1810" t="str">
        <f t="shared" si="18"/>
        <v>公共部分装修</v>
      </c>
      <c r="AA36" s="1807">
        <f t="shared" si="15"/>
        <v>1</v>
      </c>
      <c r="AB36" s="1807">
        <f t="shared" si="16"/>
        <v>1</v>
      </c>
      <c r="AC36" s="1807">
        <f t="shared" si="17"/>
        <v>1</v>
      </c>
    </row>
    <row r="37" spans="1:29" s="117" customFormat="1" ht="15">
      <c r="A37" s="471"/>
      <c r="B37" s="420" t="s">
        <v>2566</v>
      </c>
      <c r="C37" s="472"/>
      <c r="D37" s="136">
        <v>100</v>
      </c>
      <c r="E37" s="472"/>
      <c r="F37" s="423" t="e">
        <f>LOOKUP(E37,112:112,113:113)-LOOKUP(C37,112:112,113:113)+100</f>
        <v>#N/A</v>
      </c>
      <c r="G37" s="474"/>
      <c r="H37" s="136" t="e">
        <f>LOOKUP(G37,112:112,113:113)-LOOKUP(C37,112:112,113:113)+100</f>
        <v>#N/A</v>
      </c>
      <c r="I37" s="473"/>
      <c r="J37" s="136" t="e">
        <f>LOOKUP(I37,112:112,113:113)-LOOKUP(C37,112:112,113:113)+100</f>
        <v>#N/A</v>
      </c>
      <c r="K37" s="424"/>
      <c r="L37" s="1129"/>
      <c r="M37" s="1130"/>
      <c r="N37" s="1130"/>
      <c r="O37" s="1130"/>
      <c r="P37" s="3313"/>
      <c r="Q37" s="1791" t="str">
        <f t="shared" si="11"/>
        <v>成新度</v>
      </c>
      <c r="R37" s="767" t="s">
        <v>21</v>
      </c>
      <c r="S37" s="768" t="e">
        <f t="shared" si="12"/>
        <v>#N/A</v>
      </c>
      <c r="T37" s="767" t="s">
        <v>21</v>
      </c>
      <c r="U37" s="768" t="e">
        <f t="shared" si="13"/>
        <v>#N/A</v>
      </c>
      <c r="V37" s="767" t="s">
        <v>21</v>
      </c>
      <c r="W37" s="768" t="e">
        <f t="shared" si="14"/>
        <v>#N/A</v>
      </c>
      <c r="X37" s="769"/>
      <c r="Y37" s="3275"/>
      <c r="Z37" s="55" t="str">
        <f t="shared" si="18"/>
        <v>成新度</v>
      </c>
      <c r="AA37" s="770" t="e">
        <f t="shared" si="15"/>
        <v>#N/A</v>
      </c>
      <c r="AB37" s="770" t="e">
        <f t="shared" si="16"/>
        <v>#N/A</v>
      </c>
      <c r="AC37" s="770" t="e">
        <f t="shared" si="17"/>
        <v>#N/A</v>
      </c>
    </row>
    <row r="38" spans="1:29" ht="15">
      <c r="A38" s="470"/>
      <c r="B38" s="420" t="s">
        <v>2567</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37"/>
      <c r="M38" s="1128"/>
      <c r="N38" s="1128"/>
      <c r="O38" s="1128"/>
      <c r="P38" s="3313" t="s">
        <v>2561</v>
      </c>
      <c r="Q38" s="1806" t="str">
        <f t="shared" si="11"/>
        <v>物业管理</v>
      </c>
      <c r="R38" s="771" t="s">
        <v>21</v>
      </c>
      <c r="S38" s="772">
        <f t="shared" si="12"/>
        <v>100</v>
      </c>
      <c r="T38" s="771" t="s">
        <v>21</v>
      </c>
      <c r="U38" s="772">
        <f t="shared" si="13"/>
        <v>100</v>
      </c>
      <c r="V38" s="771" t="s">
        <v>21</v>
      </c>
      <c r="W38" s="772">
        <f t="shared" si="14"/>
        <v>100</v>
      </c>
      <c r="X38" s="1809"/>
      <c r="Y38" s="3275" t="s">
        <v>2561</v>
      </c>
      <c r="Z38" s="1810" t="str">
        <f t="shared" si="18"/>
        <v>物业管理</v>
      </c>
      <c r="AA38" s="1807">
        <f t="shared" si="15"/>
        <v>1</v>
      </c>
      <c r="AB38" s="1807">
        <f t="shared" si="16"/>
        <v>1</v>
      </c>
      <c r="AC38" s="1807">
        <f t="shared" si="17"/>
        <v>1</v>
      </c>
    </row>
    <row r="39" spans="1:29" ht="15">
      <c r="A39" s="470"/>
      <c r="B39" s="420" t="s">
        <v>2568</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37"/>
      <c r="M39" s="1128"/>
      <c r="N39" s="1128"/>
      <c r="O39" s="1128"/>
      <c r="P39" s="3313"/>
      <c r="Q39" s="1806" t="str">
        <f t="shared" si="11"/>
        <v>市政基础设施</v>
      </c>
      <c r="R39" s="771" t="s">
        <v>21</v>
      </c>
      <c r="S39" s="772">
        <f t="shared" si="12"/>
        <v>100</v>
      </c>
      <c r="T39" s="771" t="s">
        <v>21</v>
      </c>
      <c r="U39" s="772">
        <f t="shared" si="13"/>
        <v>100</v>
      </c>
      <c r="V39" s="771" t="s">
        <v>21</v>
      </c>
      <c r="W39" s="772">
        <f t="shared" si="14"/>
        <v>100</v>
      </c>
      <c r="X39" s="1809"/>
      <c r="Y39" s="3275"/>
      <c r="Z39" s="1810" t="str">
        <f t="shared" si="18"/>
        <v>市政基础设施</v>
      </c>
      <c r="AA39" s="1807">
        <f t="shared" si="15"/>
        <v>1</v>
      </c>
      <c r="AB39" s="1807">
        <f t="shared" si="16"/>
        <v>1</v>
      </c>
      <c r="AC39" s="1807">
        <f t="shared" si="17"/>
        <v>1</v>
      </c>
    </row>
    <row r="40" spans="1:29" ht="15">
      <c r="A40" s="470"/>
      <c r="B40" s="420" t="s">
        <v>2569</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37"/>
      <c r="M40" s="1128"/>
      <c r="N40" s="1128"/>
      <c r="O40" s="1128"/>
      <c r="P40" s="3313"/>
      <c r="Q40" s="1806" t="str">
        <f t="shared" si="11"/>
        <v>房型</v>
      </c>
      <c r="R40" s="771" t="s">
        <v>21</v>
      </c>
      <c r="S40" s="772">
        <f t="shared" si="12"/>
        <v>100</v>
      </c>
      <c r="T40" s="771" t="s">
        <v>21</v>
      </c>
      <c r="U40" s="772">
        <f t="shared" si="13"/>
        <v>100</v>
      </c>
      <c r="V40" s="771" t="s">
        <v>21</v>
      </c>
      <c r="W40" s="772">
        <f t="shared" si="14"/>
        <v>100</v>
      </c>
      <c r="X40" s="1809"/>
      <c r="Y40" s="3275"/>
      <c r="Z40" s="1810" t="str">
        <f t="shared" si="18"/>
        <v>房型</v>
      </c>
      <c r="AA40" s="1807">
        <f t="shared" si="15"/>
        <v>1</v>
      </c>
      <c r="AB40" s="1807">
        <f t="shared" si="16"/>
        <v>1</v>
      </c>
      <c r="AC40" s="1807">
        <f t="shared" si="17"/>
        <v>1</v>
      </c>
    </row>
    <row r="41" spans="1:29" s="469" customFormat="1" ht="28.5">
      <c r="A41" s="466"/>
      <c r="B41" s="420" t="s">
        <v>2570</v>
      </c>
      <c r="C41" s="467"/>
      <c r="D41" s="136">
        <v>100</v>
      </c>
      <c r="E41" s="428"/>
      <c r="F41" s="423">
        <f>SUMIF(120:120,E41,121:121)-SUMIF(120:120,C41,121:121)+100</f>
        <v>100</v>
      </c>
      <c r="G41" s="427"/>
      <c r="H41" s="136">
        <f>SUMIF(120:120,G41,121:121)-SUMIF(120:120,C41,121:121)+100</f>
        <v>100</v>
      </c>
      <c r="I41" s="475"/>
      <c r="J41" s="433">
        <f>SUMIF(120:120,I41,121:121)-SUMIF(120:120,C41,121:121)+100</f>
        <v>100</v>
      </c>
      <c r="K41" s="2599"/>
      <c r="L41" s="1135"/>
      <c r="M41" s="1138"/>
      <c r="N41" s="1138"/>
      <c r="O41" s="1138"/>
      <c r="P41" s="3313"/>
      <c r="Q41" s="773" t="str">
        <f t="shared" si="11"/>
        <v>单套/主力户型建筑面积</v>
      </c>
      <c r="R41" s="774" t="s">
        <v>21</v>
      </c>
      <c r="S41" s="775">
        <f t="shared" si="12"/>
        <v>100</v>
      </c>
      <c r="T41" s="774" t="s">
        <v>21</v>
      </c>
      <c r="U41" s="775">
        <f t="shared" si="13"/>
        <v>100</v>
      </c>
      <c r="V41" s="774" t="s">
        <v>21</v>
      </c>
      <c r="W41" s="775">
        <f t="shared" si="14"/>
        <v>100</v>
      </c>
      <c r="X41" s="776"/>
      <c r="Y41" s="3275"/>
      <c r="Z41" s="777" t="str">
        <f t="shared" si="18"/>
        <v>单套/主力户型建筑面积</v>
      </c>
      <c r="AA41" s="1807">
        <f t="shared" si="15"/>
        <v>1</v>
      </c>
      <c r="AB41" s="1807">
        <f t="shared" si="16"/>
        <v>1</v>
      </c>
      <c r="AC41" s="1807">
        <f t="shared" si="17"/>
        <v>1</v>
      </c>
    </row>
    <row r="42" spans="1:29" ht="15">
      <c r="A42" s="470"/>
      <c r="B42" s="420" t="s">
        <v>2571</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37"/>
      <c r="M42" s="1128"/>
      <c r="N42" s="1128"/>
      <c r="O42" s="1128"/>
      <c r="P42" s="3313"/>
      <c r="Q42" s="1806" t="str">
        <f t="shared" si="11"/>
        <v>内部装修</v>
      </c>
      <c r="R42" s="771" t="s">
        <v>21</v>
      </c>
      <c r="S42" s="772">
        <f t="shared" si="12"/>
        <v>100</v>
      </c>
      <c r="T42" s="771" t="s">
        <v>21</v>
      </c>
      <c r="U42" s="772">
        <f t="shared" si="13"/>
        <v>100</v>
      </c>
      <c r="V42" s="771" t="s">
        <v>21</v>
      </c>
      <c r="W42" s="772">
        <f t="shared" si="14"/>
        <v>100</v>
      </c>
      <c r="X42" s="1809"/>
      <c r="Y42" s="3275"/>
      <c r="Z42" s="1810" t="str">
        <f t="shared" si="18"/>
        <v>内部装修</v>
      </c>
      <c r="AA42" s="1807">
        <f t="shared" si="15"/>
        <v>1</v>
      </c>
      <c r="AB42" s="1807">
        <f t="shared" si="16"/>
        <v>1</v>
      </c>
      <c r="AC42" s="1807">
        <f t="shared" si="17"/>
        <v>1</v>
      </c>
    </row>
    <row r="43" spans="1:29" ht="15">
      <c r="A43" s="470"/>
      <c r="B43" s="420" t="s">
        <v>2572</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37"/>
      <c r="M43" s="1128"/>
      <c r="N43" s="1128"/>
      <c r="O43" s="1128"/>
      <c r="P43" s="3313"/>
      <c r="Q43" s="1806" t="str">
        <f t="shared" si="11"/>
        <v>内部装修维护情况</v>
      </c>
      <c r="R43" s="771" t="s">
        <v>21</v>
      </c>
      <c r="S43" s="772">
        <f t="shared" si="12"/>
        <v>100</v>
      </c>
      <c r="T43" s="771" t="s">
        <v>21</v>
      </c>
      <c r="U43" s="772">
        <f t="shared" si="13"/>
        <v>100</v>
      </c>
      <c r="V43" s="771" t="s">
        <v>21</v>
      </c>
      <c r="W43" s="772">
        <f t="shared" si="14"/>
        <v>100</v>
      </c>
      <c r="X43" s="1809"/>
      <c r="Y43" s="3275"/>
      <c r="Z43" s="1810" t="str">
        <f t="shared" si="18"/>
        <v>内部装修维护情况</v>
      </c>
      <c r="AA43" s="1807">
        <f t="shared" si="15"/>
        <v>1</v>
      </c>
      <c r="AB43" s="1807">
        <f t="shared" si="16"/>
        <v>1</v>
      </c>
      <c r="AC43" s="1807">
        <f t="shared" si="17"/>
        <v>1</v>
      </c>
    </row>
    <row r="44" spans="1:29" s="117" customFormat="1" ht="15">
      <c r="A44" s="471"/>
      <c r="B44" s="1383">
        <v>111</v>
      </c>
      <c r="C44" s="467"/>
      <c r="D44" s="136">
        <v>100</v>
      </c>
      <c r="E44" s="467"/>
      <c r="F44" s="423">
        <f>SUMIF(126:126,E44,127:127)-SUMIF(126:126,C44,127:127)+100</f>
        <v>100</v>
      </c>
      <c r="G44" s="467"/>
      <c r="H44" s="136">
        <f>SUMIF(126:126,G44,127:127)-SUMIF(126:126,C44,127:127)+100</f>
        <v>100</v>
      </c>
      <c r="I44" s="467"/>
      <c r="J44" s="136">
        <f>SUMIF(126:126,I44,127:127)-SUMIF(126:126,C44,127:127)+100</f>
        <v>100</v>
      </c>
      <c r="K44" s="2599"/>
      <c r="L44" s="1129"/>
      <c r="M44" s="1130"/>
      <c r="N44" s="1130"/>
      <c r="O44" s="1130"/>
      <c r="P44" s="3313"/>
      <c r="Q44" s="1791">
        <f t="shared" si="11"/>
        <v>111</v>
      </c>
      <c r="R44" s="767" t="s">
        <v>21</v>
      </c>
      <c r="S44" s="768">
        <f t="shared" si="12"/>
        <v>100</v>
      </c>
      <c r="T44" s="767" t="s">
        <v>21</v>
      </c>
      <c r="U44" s="768">
        <f t="shared" si="13"/>
        <v>100</v>
      </c>
      <c r="V44" s="767" t="s">
        <v>21</v>
      </c>
      <c r="W44" s="768">
        <f t="shared" si="14"/>
        <v>100</v>
      </c>
      <c r="X44" s="769"/>
      <c r="Y44" s="3275"/>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7"/>
      <c r="M45" s="1128"/>
      <c r="N45" s="1128"/>
      <c r="O45" s="1128"/>
      <c r="P45" s="3313"/>
      <c r="Q45" s="1806">
        <f t="shared" si="11"/>
        <v>111</v>
      </c>
      <c r="R45" s="771" t="s">
        <v>21</v>
      </c>
      <c r="S45" s="772">
        <f t="shared" si="12"/>
        <v>100</v>
      </c>
      <c r="T45" s="771" t="s">
        <v>21</v>
      </c>
      <c r="U45" s="772">
        <f t="shared" si="13"/>
        <v>100</v>
      </c>
      <c r="V45" s="771" t="s">
        <v>21</v>
      </c>
      <c r="W45" s="772">
        <f t="shared" si="14"/>
        <v>100</v>
      </c>
      <c r="X45" s="1809"/>
      <c r="Y45" s="3275"/>
      <c r="Z45" s="1810">
        <f t="shared" si="18"/>
        <v>111</v>
      </c>
      <c r="AA45" s="1807">
        <f t="shared" si="15"/>
        <v>1</v>
      </c>
      <c r="AB45" s="1807">
        <f t="shared" si="16"/>
        <v>1</v>
      </c>
      <c r="AC45" s="1807">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7"/>
      <c r="M46" s="1128"/>
      <c r="N46" s="1128"/>
      <c r="O46" s="1128"/>
      <c r="P46" s="3314"/>
      <c r="Q46" s="1806">
        <f t="shared" si="11"/>
        <v>111</v>
      </c>
      <c r="R46" s="771" t="s">
        <v>20</v>
      </c>
      <c r="S46" s="772">
        <f t="shared" si="12"/>
        <v>100</v>
      </c>
      <c r="T46" s="771" t="s">
        <v>20</v>
      </c>
      <c r="U46" s="772">
        <f t="shared" si="13"/>
        <v>100</v>
      </c>
      <c r="V46" s="771" t="s">
        <v>20</v>
      </c>
      <c r="W46" s="772">
        <f t="shared" si="14"/>
        <v>100</v>
      </c>
      <c r="X46" s="1809"/>
      <c r="Y46" s="3315"/>
      <c r="Z46" s="1810">
        <f t="shared" si="18"/>
        <v>111</v>
      </c>
      <c r="AA46" s="1807">
        <f t="shared" si="15"/>
        <v>1</v>
      </c>
      <c r="AB46" s="1807">
        <f t="shared" si="16"/>
        <v>1</v>
      </c>
      <c r="AC46" s="1807">
        <f t="shared" si="17"/>
        <v>1</v>
      </c>
    </row>
    <row r="47" spans="1:29" ht="15">
      <c r="A47" s="477" t="s">
        <v>2573</v>
      </c>
      <c r="B47" s="478"/>
      <c r="C47" s="1404" t="s">
        <v>19</v>
      </c>
      <c r="D47" s="1405"/>
      <c r="E47" s="1406"/>
      <c r="F47" s="1407"/>
      <c r="G47" s="1408"/>
      <c r="H47" s="1409"/>
      <c r="I47" s="1406"/>
      <c r="J47" s="1409"/>
      <c r="K47" s="2619"/>
      <c r="L47" s="1140"/>
      <c r="M47" s="1141"/>
      <c r="N47" s="1128"/>
      <c r="O47" s="1141"/>
      <c r="P47" s="3257" t="str">
        <f>A47</f>
        <v>成交单价（元/平方米）</v>
      </c>
      <c r="Q47" s="3257"/>
      <c r="R47" s="3311">
        <f>E47</f>
        <v>0</v>
      </c>
      <c r="S47" s="3311"/>
      <c r="T47" s="3311">
        <f>G47</f>
        <v>0</v>
      </c>
      <c r="U47" s="3311"/>
      <c r="V47" s="3311">
        <f>I47</f>
        <v>0</v>
      </c>
      <c r="W47" s="3311"/>
      <c r="X47" s="756"/>
      <c r="Y47" s="778"/>
      <c r="Z47" s="756"/>
      <c r="AA47" s="756"/>
      <c r="AB47" s="756"/>
      <c r="AC47" s="756"/>
    </row>
    <row r="48" spans="1:29" ht="15.75" thickBot="1">
      <c r="A48" s="484" t="s">
        <v>2574</v>
      </c>
      <c r="B48" s="485"/>
      <c r="C48" s="1410" t="e">
        <f>R49</f>
        <v>#DIV/0!</v>
      </c>
      <c r="D48" s="1411"/>
      <c r="E48" s="1412" t="e">
        <f>R48</f>
        <v>#DIV/0!</v>
      </c>
      <c r="F48" s="1412"/>
      <c r="G48" s="1410" t="e">
        <f>T48</f>
        <v>#DIV/0!</v>
      </c>
      <c r="H48" s="1411"/>
      <c r="I48" s="1412" t="e">
        <f>V48</f>
        <v>#DIV/0!</v>
      </c>
      <c r="J48" s="1411"/>
      <c r="K48" s="2620"/>
      <c r="L48" s="1140"/>
      <c r="M48" s="1141"/>
      <c r="N48" s="1141"/>
      <c r="O48" s="1141"/>
      <c r="P48" s="3257" t="str">
        <f>A48</f>
        <v>比较价值（元/平方米）</v>
      </c>
      <c r="Q48" s="3257"/>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756"/>
      <c r="Y48" s="756"/>
      <c r="Z48" s="756"/>
      <c r="AA48" s="756"/>
      <c r="AB48" s="756"/>
      <c r="AC48" s="756"/>
    </row>
    <row r="49" spans="1:29" ht="15.75" thickBot="1">
      <c r="A49" s="490" t="s">
        <v>2575</v>
      </c>
      <c r="B49" s="491"/>
      <c r="C49" s="1413" t="e">
        <f>R49</f>
        <v>#DIV/0!</v>
      </c>
      <c r="D49" s="1414"/>
      <c r="E49" s="1414"/>
      <c r="F49" s="1414"/>
      <c r="G49" s="1414"/>
      <c r="H49" s="1414"/>
      <c r="I49" s="1414"/>
      <c r="J49" s="1414"/>
      <c r="K49" s="2621"/>
      <c r="L49" s="1140"/>
      <c r="M49" s="1141"/>
      <c r="N49" s="1141"/>
      <c r="O49" s="1141"/>
      <c r="P49" s="3277" t="str">
        <f>A49</f>
        <v>估价对象XX用房的比较价值（楼面单价，元/平方米）</v>
      </c>
      <c r="Q49" s="3278"/>
      <c r="R49" s="3310" t="e">
        <f>IF(F1="售价",ROUND(AVERAGE(R48:V48),0),ROUND(AVERAGE(R48:V48),1))</f>
        <v>#DIV/0!</v>
      </c>
      <c r="S49" s="3310"/>
      <c r="T49" s="3310"/>
      <c r="U49" s="3310"/>
      <c r="V49" s="3310"/>
      <c r="W49" s="331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3"/>
    </row>
    <row r="55" spans="1:29" s="500" customFormat="1">
      <c r="A55" s="1142"/>
      <c r="B55" s="1143"/>
      <c r="C55" s="1147"/>
      <c r="D55" s="1142"/>
      <c r="E55" s="1142"/>
      <c r="F55" s="1142"/>
      <c r="G55" s="1142"/>
      <c r="H55" s="1142"/>
      <c r="I55" s="1142"/>
      <c r="J55" s="1142"/>
      <c r="K55" s="1145"/>
      <c r="L55" s="1146"/>
      <c r="M55" s="1142"/>
      <c r="N55" s="1142"/>
      <c r="O55" s="1142"/>
      <c r="P55" s="2623"/>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24"/>
      <c r="Q57" s="502"/>
    </row>
    <row r="58" spans="1:29" s="506" customFormat="1" ht="15">
      <c r="A58" s="503" t="s">
        <v>2580</v>
      </c>
      <c r="B58" s="504"/>
      <c r="C58" s="1572" t="str">
        <f>YEAR(C7)&amp;"-"&amp;MONTH(C7)</f>
        <v>2020-3</v>
      </c>
      <c r="D58" s="1571">
        <f>EDATE(C58,-1)</f>
        <v>43862</v>
      </c>
      <c r="E58" s="1571">
        <f>EDATE(D58,-1)</f>
        <v>43831</v>
      </c>
      <c r="F58" s="1571">
        <f t="shared" ref="F58:O58" si="19">EDATE(E58,-1)</f>
        <v>43800</v>
      </c>
      <c r="G58" s="1571">
        <f t="shared" si="19"/>
        <v>43770</v>
      </c>
      <c r="H58" s="1571">
        <f t="shared" si="19"/>
        <v>43739</v>
      </c>
      <c r="I58" s="1571">
        <f t="shared" si="19"/>
        <v>43709</v>
      </c>
      <c r="J58" s="1571">
        <f t="shared" si="19"/>
        <v>43678</v>
      </c>
      <c r="K58" s="1571">
        <f t="shared" si="19"/>
        <v>43647</v>
      </c>
      <c r="L58" s="1571">
        <f t="shared" si="19"/>
        <v>43617</v>
      </c>
      <c r="M58" s="1571">
        <f t="shared" si="19"/>
        <v>43586</v>
      </c>
      <c r="N58" s="1571">
        <f t="shared" si="19"/>
        <v>43556</v>
      </c>
      <c r="O58" s="1571">
        <f t="shared" si="19"/>
        <v>43525</v>
      </c>
      <c r="P58" s="1566"/>
    </row>
    <row r="59" spans="1:29" s="117" customFormat="1" ht="15">
      <c r="A59" s="507"/>
      <c r="B59" s="2625"/>
      <c r="C59" s="1569">
        <v>100</v>
      </c>
      <c r="D59" s="509"/>
      <c r="E59" s="510"/>
      <c r="F59" s="510"/>
      <c r="G59" s="510"/>
      <c r="H59" s="510"/>
      <c r="I59" s="510"/>
      <c r="J59" s="510"/>
      <c r="K59" s="510"/>
      <c r="L59" s="510"/>
      <c r="M59" s="511"/>
      <c r="N59" s="510"/>
      <c r="O59" s="511"/>
      <c r="P59" s="2626"/>
    </row>
    <row r="60" spans="1:29" s="117" customFormat="1" ht="15.75" thickBot="1">
      <c r="A60" s="513" t="s">
        <v>2581</v>
      </c>
      <c r="B60" s="514"/>
      <c r="C60" s="515"/>
      <c r="D60" s="516"/>
      <c r="E60" s="516"/>
      <c r="F60" s="516"/>
      <c r="G60" s="516"/>
      <c r="H60" s="516"/>
      <c r="I60" s="516"/>
      <c r="J60" s="516"/>
      <c r="K60" s="516"/>
      <c r="L60" s="516"/>
      <c r="M60" s="517"/>
      <c r="N60" s="516"/>
      <c r="O60" s="517"/>
      <c r="P60" s="2626"/>
      <c r="Q60" s="502"/>
    </row>
    <row r="61" spans="1:29" s="117" customFormat="1" ht="15">
      <c r="A61" s="519" t="s">
        <v>2582</v>
      </c>
      <c r="B61" s="508"/>
      <c r="C61" s="520" t="s">
        <v>2583</v>
      </c>
      <c r="D61" s="521"/>
      <c r="E61" s="521"/>
      <c r="F61" s="521"/>
      <c r="G61" s="521"/>
      <c r="H61" s="521"/>
      <c r="I61" s="521"/>
      <c r="J61" s="521"/>
      <c r="K61" s="521"/>
      <c r="L61" s="522"/>
      <c r="M61" s="523"/>
      <c r="N61" s="1148"/>
      <c r="O61" s="1148"/>
      <c r="P61" s="2627"/>
      <c r="Q61" s="502"/>
    </row>
    <row r="62" spans="1:29" s="117" customFormat="1" ht="15.75" thickBot="1">
      <c r="A62" s="519"/>
      <c r="B62" s="508"/>
      <c r="C62" s="509">
        <v>100</v>
      </c>
      <c r="D62" s="510"/>
      <c r="E62" s="510"/>
      <c r="F62" s="510"/>
      <c r="G62" s="510"/>
      <c r="H62" s="510"/>
      <c r="I62" s="510"/>
      <c r="J62" s="510"/>
      <c r="K62" s="510"/>
      <c r="L62" s="510"/>
      <c r="M62" s="512"/>
      <c r="N62" s="1148"/>
      <c r="O62" s="1148"/>
      <c r="P62" s="2626"/>
      <c r="Q62" s="502"/>
    </row>
    <row r="63" spans="1:29">
      <c r="A63" s="525" t="s">
        <v>2584</v>
      </c>
      <c r="B63" s="526" t="s">
        <v>2550</v>
      </c>
      <c r="C63" s="527">
        <f>C9</f>
        <v>0</v>
      </c>
      <c r="D63" s="528"/>
      <c r="E63" s="528"/>
      <c r="F63" s="528"/>
      <c r="G63" s="528"/>
      <c r="H63" s="528"/>
      <c r="I63" s="528"/>
      <c r="J63" s="528"/>
      <c r="K63" s="529"/>
      <c r="L63" s="530"/>
      <c r="M63" s="531"/>
      <c r="N63" s="1149"/>
      <c r="O63" s="1149"/>
      <c r="P63" s="2628"/>
      <c r="Q63" s="502"/>
    </row>
    <row r="64" spans="1:29" ht="15.75" thickBot="1">
      <c r="A64" s="532"/>
      <c r="B64" s="533"/>
      <c r="C64" s="534">
        <v>100</v>
      </c>
      <c r="D64" s="534"/>
      <c r="E64" s="534"/>
      <c r="F64" s="534"/>
      <c r="G64" s="534"/>
      <c r="H64" s="534"/>
      <c r="I64" s="534"/>
      <c r="J64" s="534"/>
      <c r="K64" s="534"/>
      <c r="L64" s="534"/>
      <c r="M64" s="535"/>
      <c r="N64" s="1150"/>
      <c r="O64" s="1150"/>
      <c r="P64" s="2628"/>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9"/>
      <c r="O65" s="1149"/>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8"/>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8"/>
      <c r="Q67" s="502"/>
    </row>
    <row r="68" spans="1:17" ht="15">
      <c r="A68" s="532"/>
      <c r="B68" s="546"/>
      <c r="C68" s="547"/>
      <c r="D68" s="547"/>
      <c r="E68" s="547"/>
      <c r="F68" s="547"/>
      <c r="G68" s="547"/>
      <c r="H68" s="547"/>
      <c r="I68" s="547"/>
      <c r="J68" s="547"/>
      <c r="K68" s="548"/>
      <c r="L68" s="549"/>
      <c r="M68" s="550"/>
      <c r="N68" s="1149"/>
      <c r="O68" s="1149"/>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8"/>
      <c r="Q69" s="502"/>
    </row>
    <row r="70" spans="1:17" s="469" customFormat="1" ht="15.75" thickTop="1">
      <c r="A70" s="551"/>
      <c r="B70" s="536">
        <f>B12</f>
        <v>111</v>
      </c>
      <c r="C70" s="552"/>
      <c r="D70" s="552"/>
      <c r="E70" s="552"/>
      <c r="F70" s="552"/>
      <c r="G70" s="552"/>
      <c r="H70" s="553"/>
      <c r="I70" s="553"/>
      <c r="J70" s="553"/>
      <c r="K70" s="553"/>
      <c r="L70" s="554"/>
      <c r="M70" s="555"/>
      <c r="N70" s="1151"/>
      <c r="O70" s="1151"/>
      <c r="P70" s="2629"/>
      <c r="Q70" s="557"/>
    </row>
    <row r="71" spans="1:17" s="469" customFormat="1" ht="15.75" thickBot="1">
      <c r="A71" s="551"/>
      <c r="B71" s="541"/>
      <c r="C71" s="558"/>
      <c r="D71" s="534"/>
      <c r="E71" s="534"/>
      <c r="F71" s="534"/>
      <c r="G71" s="534"/>
      <c r="H71" s="534"/>
      <c r="I71" s="534"/>
      <c r="J71" s="534"/>
      <c r="K71" s="534"/>
      <c r="L71" s="534"/>
      <c r="M71" s="535"/>
      <c r="N71" s="1150"/>
      <c r="O71" s="1150"/>
      <c r="P71" s="2629"/>
      <c r="Q71" s="557"/>
    </row>
    <row r="72" spans="1:17" s="469" customFormat="1" ht="15.75" thickTop="1">
      <c r="A72" s="551"/>
      <c r="B72" s="536">
        <f>B13</f>
        <v>111</v>
      </c>
      <c r="C72" s="552"/>
      <c r="D72" s="552"/>
      <c r="E72" s="552"/>
      <c r="F72" s="552"/>
      <c r="G72" s="552"/>
      <c r="H72" s="553"/>
      <c r="I72" s="553"/>
      <c r="J72" s="553"/>
      <c r="K72" s="553"/>
      <c r="L72" s="554"/>
      <c r="M72" s="555"/>
      <c r="N72" s="1151"/>
      <c r="O72" s="1151"/>
      <c r="P72" s="2630"/>
      <c r="Q72" s="559"/>
    </row>
    <row r="73" spans="1:17" s="469" customFormat="1" ht="15.75" thickBot="1">
      <c r="A73" s="551"/>
      <c r="B73" s="541"/>
      <c r="C73" s="558"/>
      <c r="D73" s="558"/>
      <c r="E73" s="558"/>
      <c r="F73" s="558"/>
      <c r="G73" s="558"/>
      <c r="H73" s="560"/>
      <c r="I73" s="560"/>
      <c r="J73" s="560"/>
      <c r="K73" s="560"/>
      <c r="L73" s="560"/>
      <c r="M73" s="561"/>
      <c r="N73" s="1151"/>
      <c r="O73" s="1151"/>
      <c r="P73" s="2629"/>
      <c r="Q73" s="557"/>
    </row>
    <row r="74" spans="1:17" s="469" customFormat="1" ht="15.75" thickTop="1">
      <c r="A74" s="551"/>
      <c r="B74" s="544">
        <f>B14</f>
        <v>111</v>
      </c>
      <c r="C74" s="552"/>
      <c r="D74" s="552"/>
      <c r="E74" s="552"/>
      <c r="F74" s="552"/>
      <c r="G74" s="521"/>
      <c r="H74" s="562"/>
      <c r="I74" s="562"/>
      <c r="J74" s="562"/>
      <c r="K74" s="562"/>
      <c r="L74" s="563"/>
      <c r="M74" s="564"/>
      <c r="N74" s="1151"/>
      <c r="O74" s="1151"/>
      <c r="P74" s="2631"/>
      <c r="Q74" s="557"/>
    </row>
    <row r="75" spans="1:17" s="469" customFormat="1" ht="15.75" thickBot="1">
      <c r="A75" s="566"/>
      <c r="B75" s="567"/>
      <c r="C75" s="568"/>
      <c r="D75" s="568"/>
      <c r="E75" s="568"/>
      <c r="F75" s="568"/>
      <c r="G75" s="568"/>
      <c r="H75" s="569"/>
      <c r="I75" s="569"/>
      <c r="J75" s="569"/>
      <c r="K75" s="569"/>
      <c r="L75" s="569"/>
      <c r="M75" s="570"/>
      <c r="N75" s="1151"/>
      <c r="O75" s="1151"/>
      <c r="P75" s="2629"/>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9"/>
      <c r="O76" s="1149"/>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8"/>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9"/>
      <c r="O78" s="1149"/>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8"/>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9"/>
      <c r="O80" s="1149"/>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8"/>
      <c r="Q81" s="502"/>
    </row>
    <row r="82" spans="1:17" ht="15.75" thickTop="1">
      <c r="A82" s="532"/>
      <c r="B82" s="544" t="s">
        <v>2097</v>
      </c>
      <c r="C82" s="537" t="s">
        <v>2600</v>
      </c>
      <c r="D82" s="537" t="s">
        <v>2601</v>
      </c>
      <c r="E82" s="537" t="s">
        <v>2602</v>
      </c>
      <c r="F82" s="537" t="s">
        <v>2603</v>
      </c>
      <c r="G82" s="537" t="s">
        <v>2604</v>
      </c>
      <c r="H82" s="537"/>
      <c r="I82" s="537"/>
      <c r="J82" s="537"/>
      <c r="K82" s="537"/>
      <c r="L82" s="537"/>
      <c r="M82" s="1379"/>
      <c r="N82" s="1150"/>
      <c r="O82" s="1150"/>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8"/>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9"/>
      <c r="O84" s="1149"/>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8"/>
      <c r="Q85" s="502"/>
    </row>
    <row r="86" spans="1:17" s="117" customFormat="1" ht="15.75" thickTop="1">
      <c r="A86" s="577"/>
      <c r="B86" s="536" t="s">
        <v>2606</v>
      </c>
      <c r="C86" s="552"/>
      <c r="D86" s="552"/>
      <c r="E86" s="552"/>
      <c r="F86" s="552"/>
      <c r="G86" s="552"/>
      <c r="H86" s="552"/>
      <c r="I86" s="552"/>
      <c r="J86" s="552"/>
      <c r="K86" s="552"/>
      <c r="L86" s="578"/>
      <c r="M86" s="579"/>
      <c r="N86" s="1148"/>
      <c r="O86" s="1148"/>
      <c r="P86" s="2628"/>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8"/>
      <c r="Q87" s="502"/>
    </row>
    <row r="88" spans="1:17" s="117" customFormat="1" ht="15.75" thickTop="1">
      <c r="A88" s="577"/>
      <c r="B88" s="536" t="s">
        <v>2607</v>
      </c>
      <c r="C88" s="552"/>
      <c r="D88" s="552"/>
      <c r="E88" s="552"/>
      <c r="F88" s="2633"/>
      <c r="G88" s="552"/>
      <c r="H88" s="552"/>
      <c r="I88" s="552"/>
      <c r="J88" s="552"/>
      <c r="K88" s="552"/>
      <c r="L88" s="552"/>
      <c r="M88" s="579"/>
      <c r="N88" s="1148"/>
      <c r="O88" s="1148"/>
      <c r="P88" s="2628"/>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8"/>
      <c r="Q89" s="502"/>
    </row>
    <row r="90" spans="1:17" s="469" customFormat="1" ht="15.75" thickTop="1">
      <c r="A90" s="551"/>
      <c r="B90" s="536">
        <f>B27</f>
        <v>111</v>
      </c>
      <c r="C90" s="552"/>
      <c r="D90" s="552"/>
      <c r="E90" s="552"/>
      <c r="F90" s="552"/>
      <c r="G90" s="552"/>
      <c r="H90" s="553"/>
      <c r="I90" s="553"/>
      <c r="J90" s="553"/>
      <c r="K90" s="553"/>
      <c r="L90" s="554"/>
      <c r="M90" s="555"/>
      <c r="N90" s="1151"/>
      <c r="O90" s="1151"/>
      <c r="P90" s="2629"/>
      <c r="Q90" s="557"/>
    </row>
    <row r="91" spans="1:17" s="469" customFormat="1" ht="15.75" thickBot="1">
      <c r="A91" s="551"/>
      <c r="B91" s="541"/>
      <c r="C91" s="558"/>
      <c r="D91" s="558"/>
      <c r="E91" s="558"/>
      <c r="F91" s="558"/>
      <c r="G91" s="558"/>
      <c r="H91" s="560"/>
      <c r="I91" s="560"/>
      <c r="J91" s="560"/>
      <c r="K91" s="560"/>
      <c r="L91" s="560"/>
      <c r="M91" s="561"/>
      <c r="N91" s="1151"/>
      <c r="O91" s="1151"/>
      <c r="P91" s="2629"/>
      <c r="Q91" s="557"/>
    </row>
    <row r="92" spans="1:17" ht="15.75" thickTop="1">
      <c r="A92" s="532"/>
      <c r="B92" s="536">
        <f>B28</f>
        <v>111</v>
      </c>
      <c r="C92" s="552"/>
      <c r="D92" s="552"/>
      <c r="E92" s="552"/>
      <c r="F92" s="552"/>
      <c r="G92" s="581"/>
      <c r="H92" s="581"/>
      <c r="I92" s="581"/>
      <c r="J92" s="581"/>
      <c r="K92" s="582"/>
      <c r="L92" s="583"/>
      <c r="M92" s="584"/>
      <c r="N92" s="1149"/>
      <c r="O92" s="1149"/>
      <c r="P92" s="2628"/>
      <c r="Q92" s="502"/>
    </row>
    <row r="93" spans="1:17" ht="15.75" thickBot="1">
      <c r="A93" s="532"/>
      <c r="B93" s="541"/>
      <c r="C93" s="558"/>
      <c r="D93" s="534"/>
      <c r="E93" s="534"/>
      <c r="F93" s="534"/>
      <c r="G93" s="534"/>
      <c r="H93" s="534"/>
      <c r="I93" s="534"/>
      <c r="J93" s="534"/>
      <c r="K93" s="534"/>
      <c r="L93" s="534"/>
      <c r="M93" s="535"/>
      <c r="N93" s="1150"/>
      <c r="O93" s="1150"/>
      <c r="P93" s="2628"/>
      <c r="Q93" s="502"/>
    </row>
    <row r="94" spans="1:17" ht="15.75" thickTop="1">
      <c r="A94" s="532"/>
      <c r="B94" s="536">
        <f>B29</f>
        <v>111</v>
      </c>
      <c r="C94" s="552"/>
      <c r="D94" s="552"/>
      <c r="E94" s="552"/>
      <c r="F94" s="552"/>
      <c r="G94" s="581"/>
      <c r="H94" s="581"/>
      <c r="I94" s="581"/>
      <c r="J94" s="581"/>
      <c r="K94" s="582"/>
      <c r="L94" s="583"/>
      <c r="M94" s="584"/>
      <c r="N94" s="1149"/>
      <c r="O94" s="1149"/>
      <c r="P94" s="2628"/>
      <c r="Q94" s="502"/>
    </row>
    <row r="95" spans="1:17" ht="15.75" thickBot="1">
      <c r="A95" s="532"/>
      <c r="B95" s="541"/>
      <c r="C95" s="558"/>
      <c r="D95" s="558"/>
      <c r="E95" s="558"/>
      <c r="F95" s="558"/>
      <c r="G95" s="534"/>
      <c r="H95" s="534"/>
      <c r="I95" s="534"/>
      <c r="J95" s="534"/>
      <c r="K95" s="534"/>
      <c r="L95" s="534"/>
      <c r="M95" s="535"/>
      <c r="N95" s="1150"/>
      <c r="O95" s="1150"/>
      <c r="P95" s="2628"/>
      <c r="Q95" s="502"/>
    </row>
    <row r="96" spans="1:17" ht="15.75" thickTop="1">
      <c r="A96" s="532"/>
      <c r="B96" s="536">
        <f>B30</f>
        <v>111</v>
      </c>
      <c r="C96" s="552"/>
      <c r="D96" s="552"/>
      <c r="E96" s="552"/>
      <c r="F96" s="552"/>
      <c r="G96" s="581"/>
      <c r="H96" s="581"/>
      <c r="I96" s="581"/>
      <c r="J96" s="581"/>
      <c r="K96" s="582"/>
      <c r="L96" s="583"/>
      <c r="M96" s="584"/>
      <c r="N96" s="1149"/>
      <c r="O96" s="1149"/>
      <c r="P96" s="2628"/>
      <c r="Q96" s="502"/>
    </row>
    <row r="97" spans="1:17" ht="15.75" thickBot="1">
      <c r="A97" s="532"/>
      <c r="B97" s="541"/>
      <c r="C97" s="568"/>
      <c r="D97" s="568"/>
      <c r="E97" s="568"/>
      <c r="F97" s="568"/>
      <c r="G97" s="534"/>
      <c r="H97" s="534"/>
      <c r="I97" s="534"/>
      <c r="J97" s="534"/>
      <c r="K97" s="534"/>
      <c r="L97" s="534"/>
      <c r="M97" s="535"/>
      <c r="N97" s="1150"/>
      <c r="O97" s="1150"/>
      <c r="P97" s="2628"/>
      <c r="Q97" s="502"/>
    </row>
    <row r="98" spans="1:17" ht="15.75" thickTop="1">
      <c r="A98" s="532"/>
      <c r="B98" s="544">
        <f>B31</f>
        <v>111</v>
      </c>
      <c r="C98" s="585"/>
      <c r="D98" s="585"/>
      <c r="E98" s="585"/>
      <c r="F98" s="585"/>
      <c r="G98" s="585"/>
      <c r="H98" s="585"/>
      <c r="I98" s="585"/>
      <c r="J98" s="585"/>
      <c r="K98" s="586"/>
      <c r="L98" s="587"/>
      <c r="M98" s="588"/>
      <c r="N98" s="1149"/>
      <c r="O98" s="1149"/>
      <c r="P98" s="2628"/>
      <c r="Q98" s="502"/>
    </row>
    <row r="99" spans="1:17" ht="15.75" thickBot="1">
      <c r="A99" s="2634"/>
      <c r="B99" s="567"/>
      <c r="C99" s="589"/>
      <c r="D99" s="589"/>
      <c r="E99" s="589"/>
      <c r="F99" s="589"/>
      <c r="G99" s="589"/>
      <c r="H99" s="589"/>
      <c r="I99" s="589"/>
      <c r="J99" s="589"/>
      <c r="K99" s="589"/>
      <c r="L99" s="589"/>
      <c r="M99" s="590"/>
      <c r="N99" s="1150"/>
      <c r="O99" s="1150"/>
      <c r="P99" s="2628"/>
      <c r="Q99" s="502"/>
    </row>
    <row r="100" spans="1:17">
      <c r="A100" s="525" t="s">
        <v>2559</v>
      </c>
      <c r="B100" s="526" t="s">
        <v>2608</v>
      </c>
      <c r="C100" s="528"/>
      <c r="D100" s="528"/>
      <c r="E100" s="528"/>
      <c r="F100" s="528"/>
      <c r="G100" s="528"/>
      <c r="H100" s="528"/>
      <c r="I100" s="528"/>
      <c r="J100" s="528"/>
      <c r="K100" s="529"/>
      <c r="L100" s="530"/>
      <c r="M100" s="531"/>
      <c r="N100" s="1149"/>
      <c r="O100" s="1149"/>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8"/>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8"/>
      <c r="Q102" s="502"/>
    </row>
    <row r="103" spans="1:17" s="469" customFormat="1">
      <c r="A103" s="591"/>
      <c r="B103" s="592"/>
      <c r="C103" s="593"/>
      <c r="D103" s="593"/>
      <c r="E103" s="593"/>
      <c r="F103" s="593"/>
      <c r="G103" s="593"/>
      <c r="H103" s="593"/>
      <c r="I103" s="593"/>
      <c r="J103" s="594"/>
      <c r="K103" s="594"/>
      <c r="L103" s="595"/>
      <c r="M103" s="596"/>
      <c r="N103" s="1151"/>
      <c r="O103" s="1151"/>
      <c r="P103" s="2629"/>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9"/>
      <c r="Q104" s="557"/>
    </row>
    <row r="105" spans="1:17" ht="15" thickTop="1">
      <c r="A105" s="597"/>
      <c r="B105" s="536" t="s">
        <v>2610</v>
      </c>
      <c r="C105" s="552"/>
      <c r="D105" s="552"/>
      <c r="E105" s="581"/>
      <c r="F105" s="581"/>
      <c r="G105" s="581"/>
      <c r="H105" s="581"/>
      <c r="I105" s="581"/>
      <c r="J105" s="581"/>
      <c r="K105" s="582"/>
      <c r="L105" s="583"/>
      <c r="M105" s="584"/>
      <c r="N105" s="1149"/>
      <c r="O105" s="1149"/>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8"/>
      <c r="Q106" s="502"/>
    </row>
    <row r="107" spans="1:17" ht="15" thickTop="1">
      <c r="A107" s="597"/>
      <c r="B107" s="536" t="s">
        <v>2611</v>
      </c>
      <c r="C107" s="581"/>
      <c r="D107" s="581"/>
      <c r="E107" s="581"/>
      <c r="F107" s="581"/>
      <c r="G107" s="581"/>
      <c r="H107" s="581"/>
      <c r="I107" s="581"/>
      <c r="J107" s="581"/>
      <c r="K107" s="582"/>
      <c r="L107" s="583"/>
      <c r="M107" s="584"/>
      <c r="N107" s="1149"/>
      <c r="O107" s="1149"/>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8"/>
      <c r="Q108" s="502"/>
    </row>
    <row r="109" spans="1:17" ht="15" thickTop="1">
      <c r="A109" s="597"/>
      <c r="B109" s="536" t="s">
        <v>2612</v>
      </c>
      <c r="C109" s="552"/>
      <c r="D109" s="552"/>
      <c r="E109" s="552"/>
      <c r="F109" s="581"/>
      <c r="G109" s="581"/>
      <c r="H109" s="581"/>
      <c r="I109" s="581"/>
      <c r="J109" s="581"/>
      <c r="K109" s="582"/>
      <c r="L109" s="583"/>
      <c r="M109" s="584"/>
      <c r="N109" s="1149"/>
      <c r="O109" s="1149"/>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9"/>
      <c r="Q113" s="557"/>
    </row>
    <row r="114" spans="1:17" ht="15" thickTop="1">
      <c r="A114" s="597"/>
      <c r="B114" s="536" t="s">
        <v>2613</v>
      </c>
      <c r="C114" s="552"/>
      <c r="D114" s="552"/>
      <c r="E114" s="581"/>
      <c r="F114" s="581"/>
      <c r="G114" s="581"/>
      <c r="H114" s="581"/>
      <c r="I114" s="581"/>
      <c r="J114" s="581"/>
      <c r="K114" s="582"/>
      <c r="L114" s="583"/>
      <c r="M114" s="584"/>
      <c r="N114" s="1149"/>
      <c r="O114" s="1149"/>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8"/>
      <c r="Q115" s="502"/>
    </row>
    <row r="116" spans="1:17" ht="15" thickTop="1">
      <c r="A116" s="597"/>
      <c r="B116" s="536" t="s">
        <v>2614</v>
      </c>
      <c r="C116" s="552"/>
      <c r="D116" s="552"/>
      <c r="E116" s="552"/>
      <c r="F116" s="552"/>
      <c r="G116" s="552"/>
      <c r="H116" s="581"/>
      <c r="I116" s="581"/>
      <c r="J116" s="581"/>
      <c r="K116" s="582"/>
      <c r="L116" s="583"/>
      <c r="M116" s="584"/>
      <c r="N116" s="1149"/>
      <c r="O116" s="1149"/>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8"/>
      <c r="Q117" s="502"/>
    </row>
    <row r="118" spans="1:17" ht="15" thickTop="1">
      <c r="A118" s="597"/>
      <c r="B118" s="536" t="s">
        <v>2615</v>
      </c>
      <c r="C118" s="581"/>
      <c r="D118" s="581"/>
      <c r="E118" s="581"/>
      <c r="F118" s="581"/>
      <c r="G118" s="581"/>
      <c r="H118" s="581"/>
      <c r="I118" s="581"/>
      <c r="J118" s="581"/>
      <c r="K118" s="582"/>
      <c r="L118" s="583"/>
      <c r="M118" s="584"/>
      <c r="N118" s="1149"/>
      <c r="O118" s="1149"/>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8"/>
      <c r="Q119" s="502"/>
    </row>
    <row r="120" spans="1:17" s="469" customFormat="1" ht="28.5" thickTop="1">
      <c r="A120" s="591"/>
      <c r="B120" s="536" t="s">
        <v>2570</v>
      </c>
      <c r="C120" s="552"/>
      <c r="D120" s="552"/>
      <c r="E120" s="552"/>
      <c r="F120" s="552"/>
      <c r="G120" s="552"/>
      <c r="H120" s="552"/>
      <c r="I120" s="552"/>
      <c r="J120" s="552"/>
      <c r="K120" s="552"/>
      <c r="L120" s="578"/>
      <c r="M120" s="579"/>
      <c r="N120" s="1151"/>
      <c r="O120" s="1151"/>
      <c r="P120" s="2629"/>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9"/>
      <c r="Q121" s="557"/>
    </row>
    <row r="122" spans="1:17" ht="15" thickTop="1">
      <c r="A122" s="597"/>
      <c r="B122" s="536" t="s">
        <v>2616</v>
      </c>
      <c r="C122" s="552"/>
      <c r="D122" s="552"/>
      <c r="E122" s="552"/>
      <c r="F122" s="581"/>
      <c r="G122" s="581"/>
      <c r="H122" s="581"/>
      <c r="I122" s="581"/>
      <c r="J122" s="581"/>
      <c r="K122" s="582"/>
      <c r="L122" s="583"/>
      <c r="M122" s="584"/>
      <c r="N122" s="1149"/>
      <c r="O122" s="1149"/>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8"/>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9"/>
      <c r="O124" s="1149"/>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8"/>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9"/>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9"/>
      <c r="Q127" s="557"/>
    </row>
    <row r="128" spans="1:17" ht="15" thickTop="1">
      <c r="A128" s="597"/>
      <c r="B128" s="536">
        <f>B45</f>
        <v>111</v>
      </c>
      <c r="C128" s="552"/>
      <c r="D128" s="552"/>
      <c r="E128" s="552"/>
      <c r="F128" s="552"/>
      <c r="G128" s="581"/>
      <c r="H128" s="581"/>
      <c r="I128" s="581"/>
      <c r="J128" s="581"/>
      <c r="K128" s="582"/>
      <c r="L128" s="583"/>
      <c r="M128" s="584"/>
      <c r="N128" s="1149"/>
      <c r="O128" s="1149"/>
      <c r="P128" s="2628"/>
      <c r="Q128" s="502"/>
    </row>
    <row r="129" spans="1:17" ht="15.75" thickBot="1">
      <c r="A129" s="532"/>
      <c r="B129" s="541"/>
      <c r="C129" s="558"/>
      <c r="D129" s="558"/>
      <c r="E129" s="558"/>
      <c r="F129" s="558"/>
      <c r="G129" s="534"/>
      <c r="H129" s="534"/>
      <c r="I129" s="534"/>
      <c r="J129" s="534"/>
      <c r="K129" s="534"/>
      <c r="L129" s="534"/>
      <c r="M129" s="535"/>
      <c r="N129" s="1150"/>
      <c r="O129" s="1150"/>
      <c r="P129" s="2628"/>
      <c r="Q129" s="502"/>
    </row>
    <row r="130" spans="1:17" ht="15" thickTop="1">
      <c r="A130" s="597"/>
      <c r="B130" s="544">
        <f>B46</f>
        <v>111</v>
      </c>
      <c r="C130" s="552"/>
      <c r="D130" s="552"/>
      <c r="E130" s="552"/>
      <c r="F130" s="552"/>
      <c r="G130" s="585"/>
      <c r="H130" s="585"/>
      <c r="I130" s="585"/>
      <c r="J130" s="585"/>
      <c r="K130" s="521"/>
      <c r="L130" s="522"/>
      <c r="M130" s="588"/>
      <c r="N130" s="1149"/>
      <c r="O130" s="1149"/>
      <c r="P130" s="2628"/>
      <c r="Q130" s="502"/>
    </row>
    <row r="131" spans="1:17" ht="15.75" thickBot="1">
      <c r="A131" s="2634"/>
      <c r="B131" s="567"/>
      <c r="C131" s="568"/>
      <c r="D131" s="568"/>
      <c r="E131" s="568"/>
      <c r="F131" s="568"/>
      <c r="G131" s="589"/>
      <c r="H131" s="589"/>
      <c r="I131" s="589"/>
      <c r="J131" s="589"/>
      <c r="K131" s="589"/>
      <c r="L131" s="589"/>
      <c r="M131" s="590"/>
      <c r="N131" s="1150"/>
      <c r="O131" s="1150"/>
      <c r="P131" s="2628"/>
      <c r="Q131" s="502"/>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1">
        <v>6</v>
      </c>
      <c r="C139" s="1082">
        <v>96</v>
      </c>
      <c r="D139" s="2646" t="s">
        <v>2627</v>
      </c>
      <c r="E139" s="1083">
        <v>100</v>
      </c>
      <c r="F139" s="1084">
        <v>102.5</v>
      </c>
      <c r="G139" s="2646" t="s">
        <v>2627</v>
      </c>
      <c r="H139" s="1085">
        <v>105</v>
      </c>
      <c r="I139" s="2647" t="s">
        <v>2628</v>
      </c>
      <c r="J139" s="1082">
        <v>20</v>
      </c>
      <c r="K139" s="1086">
        <f>C145/(J139-2)</f>
        <v>4.0555555555555553E-3</v>
      </c>
    </row>
    <row r="140" spans="1:17" ht="15">
      <c r="B140" s="1087">
        <v>5</v>
      </c>
      <c r="C140" s="1088">
        <v>100</v>
      </c>
      <c r="D140" s="1088"/>
      <c r="E140" s="1089"/>
      <c r="F140" s="1090">
        <v>102</v>
      </c>
      <c r="G140" s="1088"/>
      <c r="H140" s="1091"/>
      <c r="I140" s="2648" t="s">
        <v>2629</v>
      </c>
      <c r="J140" s="313">
        <f>ROUNDUP((J139-1)/2,0)</f>
        <v>10</v>
      </c>
      <c r="K140" s="1092">
        <v>100</v>
      </c>
    </row>
    <row r="141" spans="1:17" ht="15">
      <c r="B141" s="1087">
        <v>4</v>
      </c>
      <c r="C141" s="1088">
        <v>102</v>
      </c>
      <c r="D141" s="1088"/>
      <c r="E141" s="1089"/>
      <c r="F141" s="1090">
        <v>101.5</v>
      </c>
      <c r="G141" s="1088"/>
      <c r="H141" s="1091"/>
      <c r="I141" s="2648" t="s">
        <v>2630</v>
      </c>
      <c r="J141" s="313">
        <v>1</v>
      </c>
      <c r="K141" s="1093">
        <f>ROUND(100+(J141-J140)*K139*100,1)</f>
        <v>96.4</v>
      </c>
    </row>
    <row r="142" spans="1:17" ht="15">
      <c r="B142" s="1087">
        <v>3</v>
      </c>
      <c r="C142" s="1088">
        <v>103</v>
      </c>
      <c r="D142" s="1088"/>
      <c r="E142" s="1089"/>
      <c r="F142" s="1090">
        <v>101</v>
      </c>
      <c r="G142" s="1088"/>
      <c r="H142" s="1091"/>
      <c r="I142" s="2648" t="s">
        <v>2631</v>
      </c>
      <c r="J142" s="313">
        <f>J139</f>
        <v>20</v>
      </c>
      <c r="K142" s="1094">
        <v>95</v>
      </c>
    </row>
    <row r="143" spans="1:17" ht="15">
      <c r="B143" s="1087">
        <v>2</v>
      </c>
      <c r="C143" s="1088">
        <v>100</v>
      </c>
      <c r="D143" s="1088"/>
      <c r="E143" s="1089"/>
      <c r="F143" s="1090">
        <v>100.5</v>
      </c>
      <c r="G143" s="1088"/>
      <c r="H143" s="1091"/>
      <c r="I143" s="2648" t="s">
        <v>2632</v>
      </c>
      <c r="J143" s="1088">
        <v>15</v>
      </c>
      <c r="K143" s="1093">
        <f>ROUND(100+(J143-J140)*K139*100,1)</f>
        <v>102</v>
      </c>
    </row>
    <row r="144" spans="1:17" ht="15">
      <c r="B144" s="1087">
        <v>1</v>
      </c>
      <c r="C144" s="1088">
        <v>98</v>
      </c>
      <c r="D144" s="2649" t="s">
        <v>2633</v>
      </c>
      <c r="E144" s="1089">
        <v>102</v>
      </c>
      <c r="F144" s="1095">
        <v>100</v>
      </c>
      <c r="G144" s="2649" t="s">
        <v>2633</v>
      </c>
      <c r="H144" s="1091">
        <v>105</v>
      </c>
      <c r="I144" s="2648" t="s">
        <v>2632</v>
      </c>
      <c r="J144" s="1088">
        <v>18</v>
      </c>
      <c r="K144" s="1093">
        <f>ROUND(100+(J144-J140)*K139*100,1)</f>
        <v>103.2</v>
      </c>
    </row>
    <row r="145" spans="2:11" ht="15.75" thickBot="1">
      <c r="B145" s="2650" t="s">
        <v>2634</v>
      </c>
      <c r="C145" s="1096">
        <f>ROUND(MAX(C139:C144)/MIN(C139:C144)-1,3)</f>
        <v>7.2999999999999995E-2</v>
      </c>
      <c r="D145" s="1097"/>
      <c r="E145" s="1097"/>
      <c r="F145" s="2651" t="s">
        <v>2635</v>
      </c>
      <c r="G145" s="2652"/>
      <c r="H145" s="2653"/>
      <c r="I145" s="2654" t="s">
        <v>2632</v>
      </c>
      <c r="J145" s="1098">
        <v>8</v>
      </c>
      <c r="K145" s="1099">
        <f>ROUND(100+(J145-J140)*K139*100,1)</f>
        <v>99.2</v>
      </c>
    </row>
    <row r="147" spans="2:11">
      <c r="B147" s="2635" t="s">
        <v>2636</v>
      </c>
    </row>
    <row r="148" spans="2:11">
      <c r="B148" s="263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R43" sqref="R43:W43"/>
    </sheetView>
  </sheetViews>
  <sheetFormatPr defaultColWidth="9" defaultRowHeight="14.25"/>
  <cols>
    <col min="1" max="1" width="10.5" style="401" customWidth="1"/>
    <col min="2" max="2" width="15.875" style="401" customWidth="1"/>
    <col min="3" max="3" width="15.1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875" style="2622"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29" s="1625" customFormat="1" ht="28.5" customHeight="1" thickBot="1">
      <c r="A1" s="1614" t="s">
        <v>2524</v>
      </c>
      <c r="B1" s="2580" t="s">
        <v>2638</v>
      </c>
      <c r="C1" s="1630" t="s">
        <v>2526</v>
      </c>
      <c r="D1" s="1617"/>
      <c r="E1" s="2655"/>
      <c r="F1" s="2582"/>
      <c r="G1" s="1627" t="s">
        <v>2639</v>
      </c>
      <c r="H1" s="1626"/>
      <c r="I1" s="1626"/>
      <c r="J1" s="1626"/>
      <c r="K1" s="1628"/>
      <c r="L1" s="1629"/>
      <c r="M1" s="1630"/>
      <c r="N1" s="1630"/>
      <c r="O1" s="1630"/>
      <c r="P1" s="2656"/>
      <c r="Q1" s="2657"/>
      <c r="R1" s="2657"/>
      <c r="S1" s="2657"/>
      <c r="T1" s="2657"/>
      <c r="U1" s="2657"/>
      <c r="V1" s="2657"/>
      <c r="W1" s="2657"/>
      <c r="X1" s="2657"/>
      <c r="Y1" s="2657"/>
      <c r="Z1" s="2657"/>
      <c r="AA1" s="2657"/>
      <c r="AB1" s="2657"/>
      <c r="AC1" s="2658"/>
    </row>
    <row r="2" spans="1:29" s="396" customFormat="1" ht="28.5" customHeight="1" thickTop="1">
      <c r="A2" s="1613" t="s">
        <v>2326</v>
      </c>
      <c r="B2" s="1415" t="e">
        <f ca="1">IF(C2="——",ROUND(C49*D3/10000,0),ROUND(C49*D3/10000,0)-D2)</f>
        <v>#DIV/0!</v>
      </c>
      <c r="C2" s="2584"/>
      <c r="D2" s="1362" t="e">
        <f ca="1">SUMIF(INDIRECT("'"&amp;F2&amp;"'"&amp;"!A:A"),"承租人权益价值",INDIRECT("'"&amp;F2&amp;"'"&amp;"!c:c"))</f>
        <v>#REF!</v>
      </c>
      <c r="E2" s="2585" t="s">
        <v>2327</v>
      </c>
      <c r="F2" s="2586"/>
      <c r="G2" s="1122"/>
      <c r="H2" s="1122"/>
      <c r="I2" s="1122"/>
      <c r="J2" s="1122"/>
      <c r="K2" s="1122"/>
      <c r="L2" s="1125"/>
      <c r="M2" s="1126"/>
      <c r="N2" s="1126"/>
      <c r="O2" s="1126"/>
      <c r="P2" s="2659"/>
      <c r="Q2" s="1126"/>
      <c r="R2" s="1126"/>
      <c r="S2" s="1126"/>
      <c r="T2" s="1126"/>
      <c r="U2" s="1126"/>
      <c r="V2" s="1126"/>
      <c r="W2" s="1126"/>
      <c r="X2" s="1126"/>
      <c r="Y2" s="1126"/>
      <c r="Z2" s="1126"/>
      <c r="AA2" s="1126"/>
      <c r="AB2" s="1126"/>
      <c r="AC2" s="2660"/>
    </row>
    <row r="3" spans="1:29" s="396" customFormat="1" ht="28.5" customHeight="1" thickBot="1">
      <c r="A3" s="245" t="s">
        <v>2328</v>
      </c>
      <c r="B3" s="607" t="e">
        <f ca="1">IF(C2="——",C49,ROUND(B2*10000/D3,0))</f>
        <v>#DIV/0!</v>
      </c>
      <c r="C3" s="398" t="s">
        <v>2640</v>
      </c>
      <c r="D3" s="397">
        <f>IF(D1="",'数据-汇总表'!E3,SUMIF('数据-汇总表'!$C19:$C33,D1,'数据-汇总表'!$E19:$E33))</f>
        <v>218862.73</v>
      </c>
      <c r="E3" s="2661"/>
      <c r="F3" s="1123"/>
      <c r="G3" s="1122"/>
      <c r="H3" s="1122"/>
      <c r="I3" s="1122"/>
      <c r="J3" s="1122"/>
      <c r="K3" s="1124"/>
      <c r="L3" s="1125"/>
      <c r="M3" s="1126"/>
      <c r="N3" s="1126"/>
      <c r="O3" s="1126"/>
      <c r="P3" s="2659"/>
      <c r="Q3" s="1126"/>
      <c r="R3" s="1126"/>
      <c r="S3" s="1126"/>
      <c r="T3" s="1126"/>
      <c r="U3" s="1126"/>
      <c r="V3" s="1126"/>
      <c r="W3" s="1126"/>
      <c r="X3" s="1126"/>
      <c r="Y3" s="1126"/>
      <c r="Z3" s="1126"/>
      <c r="AA3" s="1126"/>
      <c r="AB3" s="1126"/>
      <c r="AC3" s="2661"/>
    </row>
    <row r="4" spans="1:29" ht="15">
      <c r="A4" s="399" t="s">
        <v>2641</v>
      </c>
      <c r="B4" s="400"/>
      <c r="C4" s="3258" t="s">
        <v>2642</v>
      </c>
      <c r="D4" s="3259"/>
      <c r="E4" s="3260" t="s">
        <v>2643</v>
      </c>
      <c r="F4" s="3261"/>
      <c r="G4" s="3258" t="s">
        <v>2644</v>
      </c>
      <c r="H4" s="3259"/>
      <c r="I4" s="3258" t="s">
        <v>2645</v>
      </c>
      <c r="J4" s="3259"/>
      <c r="K4" s="608" t="s">
        <v>2646</v>
      </c>
      <c r="L4" s="1127"/>
      <c r="M4" s="1128"/>
      <c r="N4" s="1128"/>
      <c r="O4" s="1128"/>
      <c r="P4" s="3262" t="s">
        <v>2647</v>
      </c>
      <c r="Q4" s="3263"/>
      <c r="R4" s="3245" t="s">
        <v>2643</v>
      </c>
      <c r="S4" s="3246"/>
      <c r="T4" s="3245" t="s">
        <v>2644</v>
      </c>
      <c r="U4" s="3246"/>
      <c r="V4" s="3270" t="s">
        <v>2645</v>
      </c>
      <c r="W4" s="3270"/>
      <c r="X4" s="1809"/>
      <c r="Y4" s="3245" t="s">
        <v>2647</v>
      </c>
      <c r="Z4" s="3246"/>
      <c r="AA4" s="3240" t="s">
        <v>2643</v>
      </c>
      <c r="AB4" s="3270" t="s">
        <v>2644</v>
      </c>
      <c r="AC4" s="3240" t="s">
        <v>2645</v>
      </c>
    </row>
    <row r="5" spans="1:29" ht="15">
      <c r="A5" s="402"/>
      <c r="B5" s="403"/>
      <c r="C5" s="3251" t="s">
        <v>2538</v>
      </c>
      <c r="D5" s="3252"/>
      <c r="E5" s="3249" t="s">
        <v>2539</v>
      </c>
      <c r="F5" s="3250"/>
      <c r="G5" s="3251" t="s">
        <v>2540</v>
      </c>
      <c r="H5" s="3252"/>
      <c r="I5" s="3251" t="s">
        <v>2541</v>
      </c>
      <c r="J5" s="3252"/>
      <c r="K5" s="608"/>
      <c r="L5" s="1127"/>
      <c r="M5" s="1128"/>
      <c r="N5" s="1128"/>
      <c r="O5" s="1128"/>
      <c r="P5" s="3264"/>
      <c r="Q5" s="3265"/>
      <c r="R5" s="3247"/>
      <c r="S5" s="3248"/>
      <c r="T5" s="3247"/>
      <c r="U5" s="3248"/>
      <c r="V5" s="3270"/>
      <c r="W5" s="3270"/>
      <c r="X5" s="1809"/>
      <c r="Y5" s="3247"/>
      <c r="Z5" s="3248"/>
      <c r="AA5" s="3241"/>
      <c r="AB5" s="3270"/>
      <c r="AC5" s="3241"/>
    </row>
    <row r="6" spans="1:29" ht="15.75" thickBot="1">
      <c r="A6" s="404"/>
      <c r="B6" s="405"/>
      <c r="C6" s="3253" t="s">
        <v>2542</v>
      </c>
      <c r="D6" s="3254"/>
      <c r="E6" s="3255" t="s">
        <v>2542</v>
      </c>
      <c r="F6" s="3256"/>
      <c r="G6" s="3253" t="s">
        <v>2542</v>
      </c>
      <c r="H6" s="3254"/>
      <c r="I6" s="3253" t="s">
        <v>2542</v>
      </c>
      <c r="J6" s="3254"/>
      <c r="K6" s="608" t="s">
        <v>2543</v>
      </c>
      <c r="L6" s="1127"/>
      <c r="M6" s="1128"/>
      <c r="N6" s="1128"/>
      <c r="O6" s="1128"/>
      <c r="P6" s="3266"/>
      <c r="Q6" s="3267"/>
      <c r="R6" s="3247"/>
      <c r="S6" s="3248"/>
      <c r="T6" s="3268"/>
      <c r="U6" s="3269"/>
      <c r="V6" s="3270"/>
      <c r="W6" s="3270"/>
      <c r="X6" s="1809"/>
      <c r="Y6" s="3268"/>
      <c r="Z6" s="3269"/>
      <c r="AA6" s="3242"/>
      <c r="AB6" s="3270"/>
      <c r="AC6" s="3242"/>
    </row>
    <row r="7" spans="1:29" s="117" customFormat="1" ht="15.75" thickBot="1">
      <c r="A7" s="406" t="s">
        <v>2544</v>
      </c>
      <c r="B7" s="407"/>
      <c r="C7" s="408">
        <f>'数据-取费表'!B2</f>
        <v>43905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43" t="s">
        <v>2545</v>
      </c>
      <c r="Q7" s="3271"/>
      <c r="R7" s="767" t="s">
        <v>17</v>
      </c>
      <c r="S7" s="768">
        <f t="shared" ref="S7:S15" si="0">F7</f>
        <v>0</v>
      </c>
      <c r="T7" s="767" t="s">
        <v>17</v>
      </c>
      <c r="U7" s="768">
        <f t="shared" ref="U7:U15" si="1">H7</f>
        <v>0</v>
      </c>
      <c r="V7" s="767" t="s">
        <v>17</v>
      </c>
      <c r="W7" s="768">
        <f t="shared" ref="W7:W15" si="2">J7</f>
        <v>0</v>
      </c>
      <c r="X7" s="769"/>
      <c r="Y7" s="3243" t="s">
        <v>2545</v>
      </c>
      <c r="Z7" s="3244"/>
      <c r="AA7" s="770" t="e">
        <f>D7/F7</f>
        <v>#DIV/0!</v>
      </c>
      <c r="AB7" s="770" t="e">
        <f>D7/H7</f>
        <v>#DIV/0!</v>
      </c>
      <c r="AC7" s="770" t="e">
        <f>D7/J7</f>
        <v>#DIV/0!</v>
      </c>
    </row>
    <row r="8" spans="1:29" s="117"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43" t="s">
        <v>2548</v>
      </c>
      <c r="Q8" s="3244"/>
      <c r="R8" s="767" t="s">
        <v>17</v>
      </c>
      <c r="S8" s="768">
        <f t="shared" si="0"/>
        <v>0</v>
      </c>
      <c r="T8" s="767" t="s">
        <v>17</v>
      </c>
      <c r="U8" s="768">
        <f t="shared" si="1"/>
        <v>0</v>
      </c>
      <c r="V8" s="767" t="s">
        <v>17</v>
      </c>
      <c r="W8" s="768">
        <f t="shared" si="2"/>
        <v>0</v>
      </c>
      <c r="X8" s="769"/>
      <c r="Y8" s="3243" t="s">
        <v>2548</v>
      </c>
      <c r="Z8" s="3244"/>
      <c r="AA8" s="770" t="e">
        <f t="shared" ref="AA8:AA46" si="3">D8/F8</f>
        <v>#DIV/0!</v>
      </c>
      <c r="AB8" s="770" t="e">
        <f t="shared" ref="AB8:AB46" si="4">D8/H8</f>
        <v>#DIV/0!</v>
      </c>
      <c r="AC8" s="770" t="e">
        <f t="shared" ref="AC8:AC46" si="5">D8/J8</f>
        <v>#DIV/0!</v>
      </c>
    </row>
    <row r="9" spans="1:29" s="117" customFormat="1">
      <c r="A9" s="413" t="s">
        <v>2549</v>
      </c>
      <c r="B9" s="71" t="s">
        <v>2550</v>
      </c>
      <c r="C9" s="414"/>
      <c r="D9" s="135">
        <v>100</v>
      </c>
      <c r="E9" s="415"/>
      <c r="F9" s="416">
        <f>SUMIF(63:63,E9,64:64)-SUMIF(63:63,C9,64:64)+100</f>
        <v>100</v>
      </c>
      <c r="G9" s="415"/>
      <c r="H9" s="135">
        <f>SUMIF(63:63,G9,64:64)-SUMIF(63:63,C9,64:64)+100</f>
        <v>100</v>
      </c>
      <c r="I9" s="415"/>
      <c r="J9" s="135">
        <f>SUMIF(63:63,I9,64:64)-SUMIF(63:63,C9,64:64)+100</f>
        <v>100</v>
      </c>
      <c r="K9" s="609"/>
      <c r="L9" s="1129"/>
      <c r="M9" s="1130"/>
      <c r="N9" s="1130"/>
      <c r="O9" s="1130"/>
      <c r="P9" s="3281" t="s">
        <v>2551</v>
      </c>
      <c r="Q9" s="1791" t="str">
        <f t="shared" ref="Q9:Q15" si="6">B9</f>
        <v>用途</v>
      </c>
      <c r="R9" s="767" t="s">
        <v>17</v>
      </c>
      <c r="S9" s="768">
        <f t="shared" si="0"/>
        <v>100</v>
      </c>
      <c r="T9" s="767" t="s">
        <v>17</v>
      </c>
      <c r="U9" s="768">
        <f t="shared" si="1"/>
        <v>100</v>
      </c>
      <c r="V9" s="767" t="s">
        <v>17</v>
      </c>
      <c r="W9" s="768">
        <f t="shared" si="2"/>
        <v>100</v>
      </c>
      <c r="X9" s="769"/>
      <c r="Y9" s="3091" t="s">
        <v>2552</v>
      </c>
      <c r="Z9" s="55" t="str">
        <f t="shared" ref="Z9:Z15" si="7">Q9</f>
        <v>用途</v>
      </c>
      <c r="AA9" s="770">
        <f t="shared" si="3"/>
        <v>1</v>
      </c>
      <c r="AB9" s="770">
        <f t="shared" si="4"/>
        <v>1</v>
      </c>
      <c r="AC9" s="770">
        <f t="shared" si="5"/>
        <v>1</v>
      </c>
    </row>
    <row r="10" spans="1:29" s="425" customFormat="1" ht="27">
      <c r="A10" s="419"/>
      <c r="B10" s="420" t="s">
        <v>2553</v>
      </c>
      <c r="C10" s="421"/>
      <c r="D10" s="136">
        <v>100</v>
      </c>
      <c r="E10" s="422"/>
      <c r="F10" s="423">
        <f>SUMIF(65:65,E10,66:66)-SUMIF(65:65,C10,66:66)+100</f>
        <v>100</v>
      </c>
      <c r="G10" s="421"/>
      <c r="H10" s="136">
        <f>SUMIF(65:65,G10,66:66)-SUMIF(65:65,C10,66:66)+100</f>
        <v>100</v>
      </c>
      <c r="I10" s="421"/>
      <c r="J10" s="136">
        <f>SUMIF(65:65,I10,66:66)-SUMIF(65:65,C10,66:66)+100</f>
        <v>100</v>
      </c>
      <c r="K10" s="610"/>
      <c r="L10" s="1132"/>
      <c r="M10" s="1133"/>
      <c r="N10" s="1133"/>
      <c r="O10" s="1133"/>
      <c r="P10" s="3281"/>
      <c r="Q10" s="1791" t="str">
        <f t="shared" si="6"/>
        <v>土地使用年限（年）</v>
      </c>
      <c r="R10" s="767" t="s">
        <v>17</v>
      </c>
      <c r="S10" s="768">
        <f t="shared" si="0"/>
        <v>100</v>
      </c>
      <c r="T10" s="767" t="s">
        <v>17</v>
      </c>
      <c r="U10" s="768">
        <f t="shared" si="1"/>
        <v>100</v>
      </c>
      <c r="V10" s="767" t="s">
        <v>17</v>
      </c>
      <c r="W10" s="768">
        <f t="shared" si="2"/>
        <v>100</v>
      </c>
      <c r="X10" s="769"/>
      <c r="Y10" s="3091"/>
      <c r="Z10" s="55" t="str">
        <f t="shared" si="7"/>
        <v>土地使用年限（年）</v>
      </c>
      <c r="AA10" s="770">
        <f t="shared" si="3"/>
        <v>1</v>
      </c>
      <c r="AB10" s="770">
        <f t="shared" si="4"/>
        <v>1</v>
      </c>
      <c r="AC10" s="770">
        <f t="shared" si="5"/>
        <v>1</v>
      </c>
    </row>
    <row r="11" spans="1:29" ht="15">
      <c r="A11" s="426"/>
      <c r="B11" s="420" t="s">
        <v>2554</v>
      </c>
      <c r="C11" s="427"/>
      <c r="D11" s="136">
        <v>100</v>
      </c>
      <c r="E11" s="428"/>
      <c r="F11" s="423" t="e">
        <f>LOOKUP(E11,68:68,69:69)-LOOKUP(C11,68:68,69:69)+100</f>
        <v>#N/A</v>
      </c>
      <c r="G11" s="427"/>
      <c r="H11" s="136" t="e">
        <f>LOOKUP(G11,68:68,69:69)-LOOKUP(C11,68:68,69:69)+100</f>
        <v>#N/A</v>
      </c>
      <c r="I11" s="427"/>
      <c r="J11" s="136" t="e">
        <f>LOOKUP(I11,68:68,69:69)-LOOKUP(C11,68:68,69:69)+100</f>
        <v>#N/A</v>
      </c>
      <c r="K11" s="610"/>
      <c r="L11" s="1135"/>
      <c r="M11" s="1128"/>
      <c r="N11" s="1128"/>
      <c r="O11" s="1128"/>
      <c r="P11" s="3281"/>
      <c r="Q11" s="1791" t="str">
        <f t="shared" si="6"/>
        <v>容积率</v>
      </c>
      <c r="R11" s="767" t="s">
        <v>17</v>
      </c>
      <c r="S11" s="768" t="e">
        <f t="shared" si="0"/>
        <v>#N/A</v>
      </c>
      <c r="T11" s="767" t="s">
        <v>17</v>
      </c>
      <c r="U11" s="768" t="e">
        <f t="shared" si="1"/>
        <v>#N/A</v>
      </c>
      <c r="V11" s="767" t="s">
        <v>17</v>
      </c>
      <c r="W11" s="768" t="e">
        <f t="shared" si="2"/>
        <v>#N/A</v>
      </c>
      <c r="X11" s="769"/>
      <c r="Y11" s="3091"/>
      <c r="Z11" s="55" t="str">
        <f t="shared" si="7"/>
        <v>容积率</v>
      </c>
      <c r="AA11" s="770" t="e">
        <f t="shared" si="3"/>
        <v>#N/A</v>
      </c>
      <c r="AB11" s="770" t="e">
        <f t="shared" si="4"/>
        <v>#N/A</v>
      </c>
      <c r="AC11" s="770" t="e">
        <f t="shared" si="5"/>
        <v>#N/A</v>
      </c>
    </row>
    <row r="12" spans="1:29" s="117" customFormat="1" ht="15">
      <c r="A12" s="429"/>
      <c r="B12" s="2598">
        <v>111</v>
      </c>
      <c r="C12" s="430"/>
      <c r="D12" s="431">
        <v>100</v>
      </c>
      <c r="E12" s="432"/>
      <c r="F12" s="423">
        <f>SUMIF(70:70,E12,71:71)-SUMIF(70:70,C12,71:71)+100</f>
        <v>100</v>
      </c>
      <c r="G12" s="432"/>
      <c r="H12" s="136">
        <f>SUMIF(70:70,G12,71:71)-SUMIF(70:70,C12,71:71)+100</f>
        <v>100</v>
      </c>
      <c r="I12" s="432"/>
      <c r="J12" s="136">
        <f>SUMIF(70:70,I12,71:71)-SUMIF(70:70,C12,71:71)+100</f>
        <v>100</v>
      </c>
      <c r="K12" s="611"/>
      <c r="L12" s="1129"/>
      <c r="M12" s="1130"/>
      <c r="N12" s="1130"/>
      <c r="O12" s="1130"/>
      <c r="P12" s="3281"/>
      <c r="Q12" s="1791">
        <f t="shared" si="6"/>
        <v>111</v>
      </c>
      <c r="R12" s="767" t="s">
        <v>17</v>
      </c>
      <c r="S12" s="768">
        <f t="shared" si="0"/>
        <v>100</v>
      </c>
      <c r="T12" s="767" t="s">
        <v>17</v>
      </c>
      <c r="U12" s="768">
        <f t="shared" si="1"/>
        <v>100</v>
      </c>
      <c r="V12" s="767" t="s">
        <v>17</v>
      </c>
      <c r="W12" s="768">
        <f t="shared" si="2"/>
        <v>100</v>
      </c>
      <c r="X12" s="769"/>
      <c r="Y12" s="3091"/>
      <c r="Z12" s="55">
        <f t="shared" si="7"/>
        <v>111</v>
      </c>
      <c r="AA12" s="770">
        <f>D12/F12</f>
        <v>1</v>
      </c>
      <c r="AB12" s="770">
        <f>D12/H12</f>
        <v>1</v>
      </c>
      <c r="AC12" s="770">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81"/>
      <c r="Q13" s="1791">
        <f t="shared" si="6"/>
        <v>111</v>
      </c>
      <c r="R13" s="767" t="s">
        <v>17</v>
      </c>
      <c r="S13" s="768">
        <f t="shared" si="0"/>
        <v>100</v>
      </c>
      <c r="T13" s="767" t="s">
        <v>17</v>
      </c>
      <c r="U13" s="768">
        <f t="shared" si="1"/>
        <v>100</v>
      </c>
      <c r="V13" s="767" t="s">
        <v>17</v>
      </c>
      <c r="W13" s="768">
        <f t="shared" si="2"/>
        <v>100</v>
      </c>
      <c r="X13" s="769"/>
      <c r="Y13" s="3091"/>
      <c r="Z13" s="55">
        <f t="shared" si="7"/>
        <v>111</v>
      </c>
      <c r="AA13" s="770">
        <f t="shared" si="3"/>
        <v>1</v>
      </c>
      <c r="AB13" s="770">
        <f t="shared" si="4"/>
        <v>1</v>
      </c>
      <c r="AC13" s="770">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81"/>
      <c r="Q14" s="1791">
        <f t="shared" si="6"/>
        <v>111</v>
      </c>
      <c r="R14" s="767" t="s">
        <v>17</v>
      </c>
      <c r="S14" s="768">
        <f t="shared" si="0"/>
        <v>100</v>
      </c>
      <c r="T14" s="767" t="s">
        <v>17</v>
      </c>
      <c r="U14" s="768">
        <f t="shared" si="1"/>
        <v>100</v>
      </c>
      <c r="V14" s="767" t="s">
        <v>17</v>
      </c>
      <c r="W14" s="768">
        <f t="shared" si="2"/>
        <v>100</v>
      </c>
      <c r="X14" s="769"/>
      <c r="Y14" s="3091"/>
      <c r="Z14" s="55">
        <f t="shared" si="7"/>
        <v>111</v>
      </c>
      <c r="AA14" s="770">
        <f t="shared" si="3"/>
        <v>1</v>
      </c>
      <c r="AB14" s="770">
        <f t="shared" si="4"/>
        <v>1</v>
      </c>
      <c r="AC14" s="770">
        <f t="shared" si="5"/>
        <v>1</v>
      </c>
    </row>
    <row r="15" spans="1:29" ht="71.25">
      <c r="A15" s="438" t="s">
        <v>2555</v>
      </c>
      <c r="B15" s="69" t="s">
        <v>2649</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316" t="s">
        <v>2556</v>
      </c>
      <c r="Q15" s="1806" t="str">
        <f t="shared" si="6"/>
        <v>商业繁华度</v>
      </c>
      <c r="R15" s="771" t="s">
        <v>17</v>
      </c>
      <c r="S15" s="772">
        <f t="shared" si="0"/>
        <v>100</v>
      </c>
      <c r="T15" s="771" t="s">
        <v>17</v>
      </c>
      <c r="U15" s="772">
        <f t="shared" si="1"/>
        <v>100</v>
      </c>
      <c r="V15" s="771" t="s">
        <v>17</v>
      </c>
      <c r="W15" s="772">
        <f t="shared" si="2"/>
        <v>100</v>
      </c>
      <c r="X15" s="1809"/>
      <c r="Y15" s="3272" t="s">
        <v>2556</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28"/>
      <c r="P16" s="3317"/>
      <c r="Q16" s="1806"/>
      <c r="R16" s="771"/>
      <c r="S16" s="772"/>
      <c r="T16" s="771"/>
      <c r="U16" s="772"/>
      <c r="V16" s="771"/>
      <c r="W16" s="772"/>
      <c r="X16" s="1809"/>
      <c r="Y16" s="3273"/>
      <c r="Z16" s="1810"/>
      <c r="AA16" s="1807">
        <v>1</v>
      </c>
      <c r="AB16" s="1807">
        <v>1</v>
      </c>
      <c r="AC16" s="1807">
        <v>1</v>
      </c>
    </row>
    <row r="17" spans="1:29" ht="85.5">
      <c r="A17" s="426"/>
      <c r="B17" s="449" t="s">
        <v>2096</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317"/>
      <c r="Q17" s="1806" t="str">
        <f>B17</f>
        <v>交通便捷度</v>
      </c>
      <c r="R17" s="771" t="s">
        <v>17</v>
      </c>
      <c r="S17" s="772">
        <f>F17</f>
        <v>100</v>
      </c>
      <c r="T17" s="771" t="s">
        <v>17</v>
      </c>
      <c r="U17" s="772">
        <f>H17</f>
        <v>100</v>
      </c>
      <c r="V17" s="771" t="s">
        <v>17</v>
      </c>
      <c r="W17" s="772">
        <f>J17</f>
        <v>100</v>
      </c>
      <c r="X17" s="1809"/>
      <c r="Y17" s="3273"/>
      <c r="Z17" s="1810" t="str">
        <f>Q17</f>
        <v>交通便捷度</v>
      </c>
      <c r="AA17" s="1807">
        <f t="shared" si="3"/>
        <v>1</v>
      </c>
      <c r="AB17" s="1807">
        <f t="shared" si="4"/>
        <v>1</v>
      </c>
      <c r="AC17" s="1807">
        <f t="shared" si="5"/>
        <v>1</v>
      </c>
    </row>
    <row r="18" spans="1:29" ht="15">
      <c r="A18" s="426"/>
      <c r="B18" s="454"/>
      <c r="C18" s="2606"/>
      <c r="D18" s="448"/>
      <c r="E18" s="2608"/>
      <c r="F18" s="451"/>
      <c r="G18" s="2607"/>
      <c r="H18" s="446"/>
      <c r="I18" s="2608"/>
      <c r="J18" s="446"/>
      <c r="K18" s="613"/>
      <c r="L18" s="1137"/>
      <c r="M18" s="1128"/>
      <c r="N18" s="1128"/>
      <c r="O18" s="1128"/>
      <c r="P18" s="3317"/>
      <c r="Q18" s="1806"/>
      <c r="R18" s="771"/>
      <c r="S18" s="772"/>
      <c r="T18" s="771"/>
      <c r="U18" s="772"/>
      <c r="V18" s="771"/>
      <c r="W18" s="772"/>
      <c r="X18" s="1809"/>
      <c r="Y18" s="3273"/>
      <c r="Z18" s="1810"/>
      <c r="AA18" s="1807">
        <v>1</v>
      </c>
      <c r="AB18" s="1807">
        <v>1</v>
      </c>
      <c r="AC18" s="1807">
        <v>1</v>
      </c>
    </row>
    <row r="19" spans="1:29" ht="42.75">
      <c r="A19" s="426"/>
      <c r="B19" s="449" t="s">
        <v>2650</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317"/>
      <c r="Q19" s="1806" t="str">
        <f>B19</f>
        <v>公共配套设施</v>
      </c>
      <c r="R19" s="771" t="s">
        <v>17</v>
      </c>
      <c r="S19" s="772">
        <f>F19</f>
        <v>100</v>
      </c>
      <c r="T19" s="771" t="s">
        <v>17</v>
      </c>
      <c r="U19" s="772">
        <f>H19</f>
        <v>100</v>
      </c>
      <c r="V19" s="771" t="s">
        <v>17</v>
      </c>
      <c r="W19" s="772">
        <f>J19</f>
        <v>100</v>
      </c>
      <c r="X19" s="1809"/>
      <c r="Y19" s="3273"/>
      <c r="Z19" s="1810" t="str">
        <f>Q19</f>
        <v>公共配套设施</v>
      </c>
      <c r="AA19" s="1807">
        <f t="shared" si="3"/>
        <v>1</v>
      </c>
      <c r="AB19" s="1807">
        <f t="shared" si="4"/>
        <v>1</v>
      </c>
      <c r="AC19" s="1807">
        <f t="shared" si="5"/>
        <v>1</v>
      </c>
    </row>
    <row r="20" spans="1:29" ht="15">
      <c r="A20" s="426"/>
      <c r="B20" s="454"/>
      <c r="C20" s="445"/>
      <c r="D20" s="446"/>
      <c r="E20" s="2603"/>
      <c r="F20" s="447"/>
      <c r="G20" s="2602"/>
      <c r="H20" s="446"/>
      <c r="I20" s="2603"/>
      <c r="J20" s="446"/>
      <c r="K20" s="613"/>
      <c r="L20" s="1137"/>
      <c r="M20" s="1128"/>
      <c r="N20" s="1128"/>
      <c r="O20" s="1128"/>
      <c r="P20" s="3317"/>
      <c r="Q20" s="1806"/>
      <c r="R20" s="771"/>
      <c r="S20" s="772"/>
      <c r="T20" s="771"/>
      <c r="U20" s="772"/>
      <c r="V20" s="771"/>
      <c r="W20" s="772"/>
      <c r="X20" s="1809"/>
      <c r="Y20" s="3273"/>
      <c r="Z20" s="1810"/>
      <c r="AA20" s="1807">
        <v>1</v>
      </c>
      <c r="AB20" s="1807">
        <v>1</v>
      </c>
      <c r="AC20" s="1807">
        <v>1</v>
      </c>
    </row>
    <row r="21" spans="1:29" ht="28.5">
      <c r="A21" s="426"/>
      <c r="B21" s="1381" t="s">
        <v>2651</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317"/>
      <c r="Q21" s="1806" t="str">
        <f>B21</f>
        <v>基础设施水平</v>
      </c>
      <c r="R21" s="771" t="s">
        <v>17</v>
      </c>
      <c r="S21" s="772">
        <f>F21</f>
        <v>100</v>
      </c>
      <c r="T21" s="771" t="s">
        <v>17</v>
      </c>
      <c r="U21" s="772">
        <f>H21</f>
        <v>100</v>
      </c>
      <c r="V21" s="771" t="s">
        <v>17</v>
      </c>
      <c r="W21" s="772">
        <f>J21</f>
        <v>100</v>
      </c>
      <c r="X21" s="1809"/>
      <c r="Y21" s="3273"/>
      <c r="Z21" s="1810" t="str">
        <f>Q21</f>
        <v>基础设施水平</v>
      </c>
      <c r="AA21" s="1807">
        <f t="shared" ref="AA21" si="8">D21/F21</f>
        <v>1</v>
      </c>
      <c r="AB21" s="1807">
        <f t="shared" ref="AB21" si="9">D21/H21</f>
        <v>1</v>
      </c>
      <c r="AC21" s="1807">
        <f t="shared" ref="AC21" si="10">D21/J21</f>
        <v>1</v>
      </c>
    </row>
    <row r="22" spans="1:29" ht="15">
      <c r="A22" s="426"/>
      <c r="B22" s="1381"/>
      <c r="C22" s="2606"/>
      <c r="D22" s="446"/>
      <c r="E22" s="445"/>
      <c r="F22" s="447"/>
      <c r="G22" s="445"/>
      <c r="H22" s="446"/>
      <c r="I22" s="445"/>
      <c r="J22" s="446"/>
      <c r="K22" s="1380"/>
      <c r="L22" s="1137"/>
      <c r="M22" s="1128"/>
      <c r="N22" s="1128"/>
      <c r="O22" s="1128"/>
      <c r="P22" s="3317"/>
      <c r="Q22" s="1806"/>
      <c r="R22" s="771"/>
      <c r="S22" s="772"/>
      <c r="T22" s="771"/>
      <c r="U22" s="772"/>
      <c r="V22" s="771"/>
      <c r="W22" s="772"/>
      <c r="X22" s="1809"/>
      <c r="Y22" s="3273"/>
      <c r="Z22" s="1810"/>
      <c r="AA22" s="1807">
        <v>1</v>
      </c>
      <c r="AB22" s="1807">
        <v>1</v>
      </c>
      <c r="AC22" s="1807">
        <v>1</v>
      </c>
    </row>
    <row r="23" spans="1:29" ht="57">
      <c r="A23" s="426"/>
      <c r="B23" s="449" t="s">
        <v>2101</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317"/>
      <c r="Q23" s="1806" t="str">
        <f>B23</f>
        <v>自然及人文环境</v>
      </c>
      <c r="R23" s="771" t="s">
        <v>17</v>
      </c>
      <c r="S23" s="772">
        <f>F23</f>
        <v>100</v>
      </c>
      <c r="T23" s="771" t="s">
        <v>17</v>
      </c>
      <c r="U23" s="772">
        <f>H23</f>
        <v>100</v>
      </c>
      <c r="V23" s="771" t="s">
        <v>17</v>
      </c>
      <c r="W23" s="772">
        <f>J23</f>
        <v>100</v>
      </c>
      <c r="X23" s="1809"/>
      <c r="Y23" s="3273"/>
      <c r="Z23" s="1810" t="str">
        <f>Q23</f>
        <v>自然及人文环境</v>
      </c>
      <c r="AA23" s="1807">
        <f t="shared" si="3"/>
        <v>1</v>
      </c>
      <c r="AB23" s="1807">
        <f t="shared" si="4"/>
        <v>1</v>
      </c>
      <c r="AC23" s="1807">
        <f t="shared" si="5"/>
        <v>1</v>
      </c>
    </row>
    <row r="24" spans="1:29" ht="15">
      <c r="A24" s="426"/>
      <c r="B24" s="454"/>
      <c r="C24" s="445"/>
      <c r="D24" s="446"/>
      <c r="E24" s="2603"/>
      <c r="F24" s="447"/>
      <c r="G24" s="2602"/>
      <c r="H24" s="446"/>
      <c r="I24" s="2603"/>
      <c r="J24" s="446"/>
      <c r="K24" s="613"/>
      <c r="L24" s="1137"/>
      <c r="M24" s="1128"/>
      <c r="N24" s="1128"/>
      <c r="O24" s="1128"/>
      <c r="P24" s="3317"/>
      <c r="Q24" s="1806"/>
      <c r="R24" s="771"/>
      <c r="S24" s="772"/>
      <c r="T24" s="771"/>
      <c r="U24" s="772"/>
      <c r="V24" s="771"/>
      <c r="W24" s="772"/>
      <c r="X24" s="1809"/>
      <c r="Y24" s="3273"/>
      <c r="Z24" s="1810"/>
      <c r="AA24" s="1807">
        <v>1</v>
      </c>
      <c r="AB24" s="1807">
        <v>1</v>
      </c>
      <c r="AC24" s="1807">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317"/>
      <c r="Q25" s="1806" t="str">
        <f t="shared" ref="Q25:Q46" si="11">B25</f>
        <v>临街状况</v>
      </c>
      <c r="R25" s="771" t="s">
        <v>17</v>
      </c>
      <c r="S25" s="772">
        <f>F25</f>
        <v>100</v>
      </c>
      <c r="T25" s="771" t="s">
        <v>17</v>
      </c>
      <c r="U25" s="772">
        <f>H25</f>
        <v>100</v>
      </c>
      <c r="V25" s="771" t="s">
        <v>17</v>
      </c>
      <c r="W25" s="772">
        <f>J25</f>
        <v>100</v>
      </c>
      <c r="X25" s="1809"/>
      <c r="Y25" s="3273"/>
      <c r="Z25" s="1810" t="str">
        <f>Q25</f>
        <v>临街状况</v>
      </c>
      <c r="AA25" s="1807">
        <f t="shared" si="3"/>
        <v>1</v>
      </c>
      <c r="AB25" s="1807">
        <f t="shared" si="4"/>
        <v>1</v>
      </c>
      <c r="AC25" s="1807">
        <f t="shared" si="5"/>
        <v>1</v>
      </c>
    </row>
    <row r="26" spans="1:29" ht="15">
      <c r="A26" s="426"/>
      <c r="B26" s="1383" t="s">
        <v>2653</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317"/>
      <c r="Q26" s="1806" t="str">
        <f t="shared" si="11"/>
        <v>平面位置/可视性</v>
      </c>
      <c r="R26" s="771" t="s">
        <v>17</v>
      </c>
      <c r="S26" s="772">
        <f>F26</f>
        <v>100</v>
      </c>
      <c r="T26" s="771" t="s">
        <v>17</v>
      </c>
      <c r="U26" s="772">
        <f>H26</f>
        <v>100</v>
      </c>
      <c r="V26" s="771" t="s">
        <v>17</v>
      </c>
      <c r="W26" s="772">
        <f>J26</f>
        <v>100</v>
      </c>
      <c r="X26" s="1809"/>
      <c r="Y26" s="3273"/>
      <c r="Z26" s="1810" t="str">
        <f>Q26</f>
        <v>平面位置/可视性</v>
      </c>
      <c r="AA26" s="1807">
        <f t="shared" si="3"/>
        <v>1</v>
      </c>
      <c r="AB26" s="1807">
        <f t="shared" si="4"/>
        <v>1</v>
      </c>
      <c r="AC26" s="1807">
        <f t="shared" si="5"/>
        <v>1</v>
      </c>
    </row>
    <row r="27" spans="1:29" s="117" customFormat="1" ht="15">
      <c r="A27" s="429"/>
      <c r="B27" s="449" t="s">
        <v>2654</v>
      </c>
      <c r="C27" s="2663"/>
      <c r="D27" s="460">
        <v>100</v>
      </c>
      <c r="E27" s="2663"/>
      <c r="F27" s="462">
        <f>SUMIF(90:90,E27,91:91)-SUMIF(90:90,C27,91:91)+100</f>
        <v>100</v>
      </c>
      <c r="G27" s="2663"/>
      <c r="H27" s="460">
        <f>SUMIF(90:90,G27,91:91)-SUMIF(90:90,C27,91:91)+100</f>
        <v>100</v>
      </c>
      <c r="I27" s="2663"/>
      <c r="J27" s="460">
        <f>SUMIF(90:90,I27,91:91)-SUMIF(90:90,C27,91:91)+100</f>
        <v>100</v>
      </c>
      <c r="K27" s="610"/>
      <c r="L27" s="1129"/>
      <c r="M27" s="1130"/>
      <c r="N27" s="1130"/>
      <c r="O27" s="1130"/>
      <c r="P27" s="3317"/>
      <c r="Q27" s="1791" t="str">
        <f t="shared" si="11"/>
        <v>人流量</v>
      </c>
      <c r="R27" s="767" t="s">
        <v>17</v>
      </c>
      <c r="S27" s="768">
        <f>F27</f>
        <v>100</v>
      </c>
      <c r="T27" s="767" t="s">
        <v>17</v>
      </c>
      <c r="U27" s="768">
        <f>H27</f>
        <v>100</v>
      </c>
      <c r="V27" s="767" t="s">
        <v>17</v>
      </c>
      <c r="W27" s="768">
        <f>J27</f>
        <v>100</v>
      </c>
      <c r="X27" s="769"/>
      <c r="Y27" s="3273"/>
      <c r="Z27" s="55" t="str">
        <f>Q27</f>
        <v>人流量</v>
      </c>
      <c r="AA27" s="1807">
        <f>D27/F27</f>
        <v>1</v>
      </c>
      <c r="AB27" s="1807">
        <f>D27/H27</f>
        <v>1</v>
      </c>
      <c r="AC27" s="1807">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317"/>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73"/>
      <c r="Z28" s="1810" t="str">
        <f t="shared" ref="Z28:Z46" si="15">Q28</f>
        <v>楼层</v>
      </c>
      <c r="AA28" s="1807">
        <f t="shared" si="3"/>
        <v>1</v>
      </c>
      <c r="AB28" s="1807">
        <f t="shared" si="4"/>
        <v>1</v>
      </c>
      <c r="AC28" s="1807">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17"/>
      <c r="Q29" s="1806">
        <f t="shared" si="11"/>
        <v>111</v>
      </c>
      <c r="R29" s="771" t="s">
        <v>17</v>
      </c>
      <c r="S29" s="772">
        <f t="shared" si="12"/>
        <v>100</v>
      </c>
      <c r="T29" s="771" t="s">
        <v>17</v>
      </c>
      <c r="U29" s="772">
        <f t="shared" si="13"/>
        <v>100</v>
      </c>
      <c r="V29" s="771" t="s">
        <v>17</v>
      </c>
      <c r="W29" s="772">
        <f t="shared" si="14"/>
        <v>100</v>
      </c>
      <c r="X29" s="1809"/>
      <c r="Y29" s="3273"/>
      <c r="Z29" s="1810">
        <f t="shared" si="15"/>
        <v>111</v>
      </c>
      <c r="AA29" s="1807">
        <f t="shared" si="3"/>
        <v>1</v>
      </c>
      <c r="AB29" s="1807">
        <f t="shared" si="4"/>
        <v>1</v>
      </c>
      <c r="AC29" s="1807">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17"/>
      <c r="Q30" s="1806">
        <f t="shared" si="11"/>
        <v>111</v>
      </c>
      <c r="R30" s="771" t="s">
        <v>17</v>
      </c>
      <c r="S30" s="772">
        <f t="shared" si="12"/>
        <v>100</v>
      </c>
      <c r="T30" s="771" t="s">
        <v>17</v>
      </c>
      <c r="U30" s="772">
        <f t="shared" si="13"/>
        <v>100</v>
      </c>
      <c r="V30" s="771" t="s">
        <v>17</v>
      </c>
      <c r="W30" s="772">
        <f t="shared" si="14"/>
        <v>100</v>
      </c>
      <c r="X30" s="1809"/>
      <c r="Y30" s="3273"/>
      <c r="Z30" s="1810">
        <f t="shared" si="15"/>
        <v>111</v>
      </c>
      <c r="AA30" s="1807">
        <f t="shared" si="3"/>
        <v>1</v>
      </c>
      <c r="AB30" s="1807">
        <f t="shared" si="4"/>
        <v>1</v>
      </c>
      <c r="AC30" s="1807">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17"/>
      <c r="Q31" s="1806">
        <f t="shared" si="11"/>
        <v>111</v>
      </c>
      <c r="R31" s="771" t="s">
        <v>17</v>
      </c>
      <c r="S31" s="772">
        <f t="shared" si="12"/>
        <v>100</v>
      </c>
      <c r="T31" s="771" t="s">
        <v>17</v>
      </c>
      <c r="U31" s="772">
        <f t="shared" si="13"/>
        <v>100</v>
      </c>
      <c r="V31" s="771" t="s">
        <v>17</v>
      </c>
      <c r="W31" s="772">
        <f t="shared" si="14"/>
        <v>100</v>
      </c>
      <c r="X31" s="1809"/>
      <c r="Y31" s="3273"/>
      <c r="Z31" s="1810">
        <f t="shared" si="15"/>
        <v>111</v>
      </c>
      <c r="AA31" s="1807">
        <f t="shared" si="3"/>
        <v>1</v>
      </c>
      <c r="AB31" s="1807">
        <f t="shared" si="4"/>
        <v>1</v>
      </c>
      <c r="AC31" s="1807">
        <f t="shared" si="5"/>
        <v>1</v>
      </c>
    </row>
    <row r="32" spans="1:29" ht="15">
      <c r="A32" s="438" t="s">
        <v>2559</v>
      </c>
      <c r="B32" s="71" t="s">
        <v>2656</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37"/>
      <c r="M32" s="1128"/>
      <c r="N32" s="1128"/>
      <c r="O32" s="1128"/>
      <c r="P32" s="3312" t="s">
        <v>2561</v>
      </c>
      <c r="Q32" s="1806" t="str">
        <f t="shared" si="11"/>
        <v>商业类型</v>
      </c>
      <c r="R32" s="771" t="s">
        <v>17</v>
      </c>
      <c r="S32" s="772">
        <f t="shared" si="12"/>
        <v>100</v>
      </c>
      <c r="T32" s="771" t="s">
        <v>17</v>
      </c>
      <c r="U32" s="772">
        <f t="shared" si="13"/>
        <v>100</v>
      </c>
      <c r="V32" s="771" t="s">
        <v>17</v>
      </c>
      <c r="W32" s="772">
        <f t="shared" si="14"/>
        <v>100</v>
      </c>
      <c r="X32" s="1809"/>
      <c r="Y32" s="3275" t="s">
        <v>2561</v>
      </c>
      <c r="Z32" s="1810" t="str">
        <f t="shared" si="15"/>
        <v>商业类型</v>
      </c>
      <c r="AA32" s="1807">
        <f t="shared" si="3"/>
        <v>1</v>
      </c>
      <c r="AB32" s="1807">
        <f t="shared" si="4"/>
        <v>1</v>
      </c>
      <c r="AC32" s="1807">
        <f t="shared" si="5"/>
        <v>1</v>
      </c>
    </row>
    <row r="33" spans="1:29" s="469" customFormat="1" ht="15">
      <c r="A33" s="466"/>
      <c r="B33" s="420" t="s">
        <v>2562</v>
      </c>
      <c r="C33" s="467"/>
      <c r="D33" s="136">
        <v>100</v>
      </c>
      <c r="E33" s="428"/>
      <c r="F33" s="423" t="e">
        <f>LOOKUP(E33,103:103,104:104)-LOOKUP(C33,103:103,104:104)+100</f>
        <v>#N/A</v>
      </c>
      <c r="G33" s="427"/>
      <c r="H33" s="136" t="e">
        <f>LOOKUP(G33,103:103,104:104)-LOOKUP(C33,103:103,104:104)+100</f>
        <v>#N/A</v>
      </c>
      <c r="I33" s="427"/>
      <c r="J33" s="136" t="e">
        <f>LOOKUP(I33,103:103,104:104)-LOOKUP(C33,103:103,104:104)+100</f>
        <v>#N/A</v>
      </c>
      <c r="K33" s="611"/>
      <c r="L33" s="1135"/>
      <c r="M33" s="1138"/>
      <c r="N33" s="1138"/>
      <c r="O33" s="1138"/>
      <c r="P33" s="3313"/>
      <c r="Q33" s="773" t="str">
        <f t="shared" si="11"/>
        <v>项目建筑规模</v>
      </c>
      <c r="R33" s="774" t="s">
        <v>17</v>
      </c>
      <c r="S33" s="775" t="e">
        <f t="shared" si="12"/>
        <v>#N/A</v>
      </c>
      <c r="T33" s="774" t="s">
        <v>17</v>
      </c>
      <c r="U33" s="775" t="e">
        <f t="shared" si="13"/>
        <v>#N/A</v>
      </c>
      <c r="V33" s="774" t="s">
        <v>17</v>
      </c>
      <c r="W33" s="775" t="e">
        <f t="shared" si="14"/>
        <v>#N/A</v>
      </c>
      <c r="X33" s="776"/>
      <c r="Y33" s="3275"/>
      <c r="Z33" s="777" t="str">
        <f t="shared" si="15"/>
        <v>项目建筑规模</v>
      </c>
      <c r="AA33" s="1807" t="e">
        <f t="shared" si="3"/>
        <v>#N/A</v>
      </c>
      <c r="AB33" s="1807" t="e">
        <f t="shared" si="4"/>
        <v>#N/A</v>
      </c>
      <c r="AC33" s="1807" t="e">
        <f t="shared" si="5"/>
        <v>#N/A</v>
      </c>
    </row>
    <row r="34" spans="1:29" ht="15">
      <c r="A34" s="470"/>
      <c r="B34" s="420" t="s">
        <v>2563</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37"/>
      <c r="M34" s="1128"/>
      <c r="N34" s="1128"/>
      <c r="O34" s="1128"/>
      <c r="P34" s="3313"/>
      <c r="Q34" s="1806" t="str">
        <f t="shared" si="11"/>
        <v>建筑结构</v>
      </c>
      <c r="R34" s="771" t="s">
        <v>17</v>
      </c>
      <c r="S34" s="772">
        <f t="shared" si="12"/>
        <v>100</v>
      </c>
      <c r="T34" s="771" t="s">
        <v>17</v>
      </c>
      <c r="U34" s="772">
        <f t="shared" si="13"/>
        <v>100</v>
      </c>
      <c r="V34" s="771" t="s">
        <v>17</v>
      </c>
      <c r="W34" s="772">
        <f t="shared" si="14"/>
        <v>100</v>
      </c>
      <c r="X34" s="1809"/>
      <c r="Y34" s="3275"/>
      <c r="Z34" s="1810" t="str">
        <f t="shared" si="15"/>
        <v>建筑结构</v>
      </c>
      <c r="AA34" s="1807">
        <f t="shared" si="3"/>
        <v>1</v>
      </c>
      <c r="AB34" s="1807">
        <f t="shared" si="4"/>
        <v>1</v>
      </c>
      <c r="AC34" s="1807">
        <f t="shared" si="5"/>
        <v>1</v>
      </c>
    </row>
    <row r="35" spans="1:29" ht="15">
      <c r="A35" s="470"/>
      <c r="B35" s="420" t="s">
        <v>2657</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37"/>
      <c r="M35" s="1128"/>
      <c r="N35" s="1128"/>
      <c r="O35" s="1128"/>
      <c r="P35" s="3313"/>
      <c r="Q35" s="1806" t="str">
        <f t="shared" si="11"/>
        <v>公共部分装修</v>
      </c>
      <c r="R35" s="771" t="s">
        <v>17</v>
      </c>
      <c r="S35" s="772">
        <f t="shared" si="12"/>
        <v>100</v>
      </c>
      <c r="T35" s="771" t="s">
        <v>17</v>
      </c>
      <c r="U35" s="772">
        <f t="shared" si="13"/>
        <v>100</v>
      </c>
      <c r="V35" s="771" t="s">
        <v>17</v>
      </c>
      <c r="W35" s="772">
        <f t="shared" si="14"/>
        <v>100</v>
      </c>
      <c r="X35" s="1809"/>
      <c r="Y35" s="3275"/>
      <c r="Z35" s="1810" t="str">
        <f t="shared" si="15"/>
        <v>公共部分装修</v>
      </c>
      <c r="AA35" s="1807">
        <f t="shared" si="3"/>
        <v>1</v>
      </c>
      <c r="AB35" s="1807">
        <f t="shared" si="4"/>
        <v>1</v>
      </c>
      <c r="AC35" s="1807">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313"/>
      <c r="Q36" s="1806" t="str">
        <f t="shared" si="11"/>
        <v>成新度</v>
      </c>
      <c r="R36" s="771" t="s">
        <v>17</v>
      </c>
      <c r="S36" s="772" t="e">
        <f t="shared" si="12"/>
        <v>#N/A</v>
      </c>
      <c r="T36" s="771" t="s">
        <v>17</v>
      </c>
      <c r="U36" s="772" t="e">
        <f t="shared" si="13"/>
        <v>#N/A</v>
      </c>
      <c r="V36" s="771" t="s">
        <v>17</v>
      </c>
      <c r="W36" s="772" t="e">
        <f t="shared" si="14"/>
        <v>#N/A</v>
      </c>
      <c r="X36" s="1809"/>
      <c r="Y36" s="3275"/>
      <c r="Z36" s="1810" t="str">
        <f t="shared" si="15"/>
        <v>成新度</v>
      </c>
      <c r="AA36" s="1807" t="e">
        <f t="shared" si="3"/>
        <v>#N/A</v>
      </c>
      <c r="AB36" s="1807" t="e">
        <f t="shared" si="4"/>
        <v>#N/A</v>
      </c>
      <c r="AC36" s="1807" t="e">
        <f t="shared" si="5"/>
        <v>#N/A</v>
      </c>
    </row>
    <row r="37" spans="1:29" s="117" customFormat="1" ht="15">
      <c r="A37" s="471"/>
      <c r="B37" s="420" t="s">
        <v>2659</v>
      </c>
      <c r="C37" s="2611"/>
      <c r="D37" s="136">
        <v>100</v>
      </c>
      <c r="E37" s="2611"/>
      <c r="F37" s="459">
        <f>SUMIF(112:112,E37,113:113)-SUMIF(112:112,C37,113:113)+100</f>
        <v>100</v>
      </c>
      <c r="G37" s="2611"/>
      <c r="H37" s="433">
        <f>SUMIF(112:112,G37,113:113)-SUMIF(112:112,C37,113:113)+100</f>
        <v>100</v>
      </c>
      <c r="I37" s="2611"/>
      <c r="J37" s="433">
        <f>SUMIF(112:112,I37,113:113)-SUMIF(112:112,C37,113:113)+100</f>
        <v>100</v>
      </c>
      <c r="K37" s="610"/>
      <c r="L37" s="1129"/>
      <c r="M37" s="1130"/>
      <c r="N37" s="1130"/>
      <c r="O37" s="1130"/>
      <c r="P37" s="3313"/>
      <c r="Q37" s="1791" t="str">
        <f t="shared" si="11"/>
        <v>市政基础设施</v>
      </c>
      <c r="R37" s="767" t="s">
        <v>17</v>
      </c>
      <c r="S37" s="768">
        <f t="shared" si="12"/>
        <v>100</v>
      </c>
      <c r="T37" s="767" t="s">
        <v>17</v>
      </c>
      <c r="U37" s="768">
        <f t="shared" si="13"/>
        <v>100</v>
      </c>
      <c r="V37" s="767" t="s">
        <v>17</v>
      </c>
      <c r="W37" s="768">
        <f t="shared" si="14"/>
        <v>100</v>
      </c>
      <c r="X37" s="769"/>
      <c r="Y37" s="3275"/>
      <c r="Z37" s="55" t="str">
        <f t="shared" si="15"/>
        <v>市政基础设施</v>
      </c>
      <c r="AA37" s="770">
        <f t="shared" si="3"/>
        <v>1</v>
      </c>
      <c r="AB37" s="770">
        <f t="shared" si="4"/>
        <v>1</v>
      </c>
      <c r="AC37" s="770">
        <f t="shared" si="5"/>
        <v>1</v>
      </c>
    </row>
    <row r="38" spans="1:29" ht="15">
      <c r="A38" s="470"/>
      <c r="B38" s="420" t="s">
        <v>2660</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37"/>
      <c r="M38" s="1128"/>
      <c r="N38" s="1128"/>
      <c r="O38" s="1128"/>
      <c r="P38" s="3313" t="s">
        <v>2561</v>
      </c>
      <c r="Q38" s="1806" t="str">
        <f t="shared" si="11"/>
        <v>业态</v>
      </c>
      <c r="R38" s="771" t="s">
        <v>17</v>
      </c>
      <c r="S38" s="772">
        <f t="shared" si="12"/>
        <v>100</v>
      </c>
      <c r="T38" s="771" t="s">
        <v>17</v>
      </c>
      <c r="U38" s="772">
        <f t="shared" si="13"/>
        <v>100</v>
      </c>
      <c r="V38" s="771" t="s">
        <v>17</v>
      </c>
      <c r="W38" s="772">
        <f t="shared" si="14"/>
        <v>100</v>
      </c>
      <c r="X38" s="1809"/>
      <c r="Y38" s="3275" t="s">
        <v>2561</v>
      </c>
      <c r="Z38" s="1810" t="str">
        <f t="shared" si="15"/>
        <v>业态</v>
      </c>
      <c r="AA38" s="1807">
        <f t="shared" si="3"/>
        <v>1</v>
      </c>
      <c r="AB38" s="1807">
        <f t="shared" si="4"/>
        <v>1</v>
      </c>
      <c r="AC38" s="1807">
        <f t="shared" si="5"/>
        <v>1</v>
      </c>
    </row>
    <row r="39" spans="1:29" ht="15">
      <c r="A39" s="470"/>
      <c r="B39" s="420" t="s">
        <v>2661</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37"/>
      <c r="M39" s="1128"/>
      <c r="N39" s="1128"/>
      <c r="O39" s="1128"/>
      <c r="P39" s="3313"/>
      <c r="Q39" s="1806" t="str">
        <f t="shared" si="11"/>
        <v>层高</v>
      </c>
      <c r="R39" s="771" t="s">
        <v>17</v>
      </c>
      <c r="S39" s="772">
        <f t="shared" si="12"/>
        <v>100</v>
      </c>
      <c r="T39" s="771" t="s">
        <v>17</v>
      </c>
      <c r="U39" s="772">
        <f t="shared" si="13"/>
        <v>100</v>
      </c>
      <c r="V39" s="771" t="s">
        <v>17</v>
      </c>
      <c r="W39" s="772">
        <f t="shared" si="14"/>
        <v>100</v>
      </c>
      <c r="X39" s="1809"/>
      <c r="Y39" s="3275"/>
      <c r="Z39" s="1810" t="str">
        <f t="shared" si="15"/>
        <v>层高</v>
      </c>
      <c r="AA39" s="1807">
        <f t="shared" si="3"/>
        <v>1</v>
      </c>
      <c r="AB39" s="1807">
        <f t="shared" si="4"/>
        <v>1</v>
      </c>
      <c r="AC39" s="1807">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13"/>
      <c r="Q40" s="1806" t="str">
        <f t="shared" si="11"/>
        <v>单套建筑面积</v>
      </c>
      <c r="R40" s="771" t="s">
        <v>17</v>
      </c>
      <c r="S40" s="772">
        <f t="shared" si="12"/>
        <v>100</v>
      </c>
      <c r="T40" s="771" t="s">
        <v>17</v>
      </c>
      <c r="U40" s="772">
        <f t="shared" si="13"/>
        <v>100</v>
      </c>
      <c r="V40" s="771" t="s">
        <v>17</v>
      </c>
      <c r="W40" s="772">
        <f t="shared" si="14"/>
        <v>100</v>
      </c>
      <c r="X40" s="1809"/>
      <c r="Y40" s="3275"/>
      <c r="Z40" s="1810" t="str">
        <f t="shared" si="15"/>
        <v>单套建筑面积</v>
      </c>
      <c r="AA40" s="1807">
        <f t="shared" si="3"/>
        <v>1</v>
      </c>
      <c r="AB40" s="1807">
        <f t="shared" si="4"/>
        <v>1</v>
      </c>
      <c r="AC40" s="1807">
        <f t="shared" si="5"/>
        <v>1</v>
      </c>
    </row>
    <row r="41" spans="1:29" s="469" customFormat="1" ht="15">
      <c r="A41" s="466"/>
      <c r="B41" s="1808"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313"/>
      <c r="Q41" s="773" t="str">
        <f t="shared" si="11"/>
        <v>进深比</v>
      </c>
      <c r="R41" s="774" t="s">
        <v>17</v>
      </c>
      <c r="S41" s="775">
        <f t="shared" si="12"/>
        <v>100</v>
      </c>
      <c r="T41" s="774" t="s">
        <v>17</v>
      </c>
      <c r="U41" s="775">
        <f t="shared" si="13"/>
        <v>100</v>
      </c>
      <c r="V41" s="774" t="s">
        <v>17</v>
      </c>
      <c r="W41" s="775">
        <f t="shared" si="14"/>
        <v>100</v>
      </c>
      <c r="X41" s="776"/>
      <c r="Y41" s="3275"/>
      <c r="Z41" s="777" t="str">
        <f t="shared" si="15"/>
        <v>进深比</v>
      </c>
      <c r="AA41" s="1807">
        <f t="shared" si="3"/>
        <v>1</v>
      </c>
      <c r="AB41" s="1807">
        <f t="shared" si="4"/>
        <v>1</v>
      </c>
      <c r="AC41" s="1807">
        <f t="shared" si="5"/>
        <v>1</v>
      </c>
    </row>
    <row r="42" spans="1:29" ht="15">
      <c r="A42" s="470"/>
      <c r="B42" s="420" t="s">
        <v>2664</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37"/>
      <c r="M42" s="1128"/>
      <c r="N42" s="1128"/>
      <c r="O42" s="1128"/>
      <c r="P42" s="3313"/>
      <c r="Q42" s="1806" t="str">
        <f t="shared" si="11"/>
        <v>内部装修</v>
      </c>
      <c r="R42" s="771" t="s">
        <v>17</v>
      </c>
      <c r="S42" s="772">
        <f t="shared" si="12"/>
        <v>100</v>
      </c>
      <c r="T42" s="771" t="s">
        <v>17</v>
      </c>
      <c r="U42" s="772">
        <f t="shared" si="13"/>
        <v>100</v>
      </c>
      <c r="V42" s="771" t="s">
        <v>17</v>
      </c>
      <c r="W42" s="772">
        <f t="shared" si="14"/>
        <v>100</v>
      </c>
      <c r="X42" s="1809"/>
      <c r="Y42" s="3275"/>
      <c r="Z42" s="1810" t="str">
        <f t="shared" si="15"/>
        <v>内部装修</v>
      </c>
      <c r="AA42" s="1807">
        <f t="shared" si="3"/>
        <v>1</v>
      </c>
      <c r="AB42" s="1807">
        <f t="shared" si="4"/>
        <v>1</v>
      </c>
      <c r="AC42" s="1807">
        <f t="shared" si="5"/>
        <v>1</v>
      </c>
    </row>
    <row r="43" spans="1:29" ht="15">
      <c r="A43" s="470"/>
      <c r="B43" s="420" t="s">
        <v>2572</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37"/>
      <c r="M43" s="1128"/>
      <c r="N43" s="1128"/>
      <c r="O43" s="1128"/>
      <c r="P43" s="3313"/>
      <c r="Q43" s="1806" t="str">
        <f t="shared" si="11"/>
        <v>内部装修维护情况</v>
      </c>
      <c r="R43" s="771" t="s">
        <v>17</v>
      </c>
      <c r="S43" s="772">
        <f t="shared" si="12"/>
        <v>100</v>
      </c>
      <c r="T43" s="771" t="s">
        <v>17</v>
      </c>
      <c r="U43" s="772">
        <f t="shared" si="13"/>
        <v>100</v>
      </c>
      <c r="V43" s="771" t="s">
        <v>17</v>
      </c>
      <c r="W43" s="772">
        <f t="shared" si="14"/>
        <v>100</v>
      </c>
      <c r="X43" s="1809"/>
      <c r="Y43" s="3275"/>
      <c r="Z43" s="1810" t="str">
        <f t="shared" si="15"/>
        <v>内部装修维护情况</v>
      </c>
      <c r="AA43" s="1807">
        <f t="shared" si="3"/>
        <v>1</v>
      </c>
      <c r="AB43" s="1807">
        <f t="shared" si="4"/>
        <v>1</v>
      </c>
      <c r="AC43" s="1807">
        <f t="shared" si="5"/>
        <v>1</v>
      </c>
    </row>
    <row r="44" spans="1:29" s="117" customFormat="1" ht="15">
      <c r="A44" s="471"/>
      <c r="B44" s="1383">
        <v>111</v>
      </c>
      <c r="C44" s="467"/>
      <c r="D44" s="136">
        <v>100</v>
      </c>
      <c r="E44" s="432"/>
      <c r="F44" s="423">
        <f>SUMIF(126:126,E44,127:127)-SUMIF(126:126,C44,127:127)+100</f>
        <v>100</v>
      </c>
      <c r="G44" s="432"/>
      <c r="H44" s="136">
        <f>SUMIF(126:126,G44,127:127)-SUMIF(126:126,C44,127:127)+100</f>
        <v>100</v>
      </c>
      <c r="I44" s="432"/>
      <c r="J44" s="136">
        <f>SUMIF(126:126,I44,127:127)-SUMIF(126:126,C44,127:127)+100</f>
        <v>100</v>
      </c>
      <c r="K44" s="611"/>
      <c r="L44" s="1129"/>
      <c r="M44" s="1130"/>
      <c r="N44" s="1130"/>
      <c r="O44" s="1130"/>
      <c r="P44" s="3313"/>
      <c r="Q44" s="1791">
        <f t="shared" si="11"/>
        <v>111</v>
      </c>
      <c r="R44" s="767" t="s">
        <v>17</v>
      </c>
      <c r="S44" s="768">
        <f t="shared" si="12"/>
        <v>100</v>
      </c>
      <c r="T44" s="767" t="s">
        <v>17</v>
      </c>
      <c r="U44" s="768">
        <f t="shared" si="13"/>
        <v>100</v>
      </c>
      <c r="V44" s="767" t="s">
        <v>17</v>
      </c>
      <c r="W44" s="768">
        <f t="shared" si="14"/>
        <v>100</v>
      </c>
      <c r="X44" s="769"/>
      <c r="Y44" s="3275"/>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13"/>
      <c r="Q45" s="1806">
        <f t="shared" si="11"/>
        <v>111</v>
      </c>
      <c r="R45" s="771" t="s">
        <v>17</v>
      </c>
      <c r="S45" s="772">
        <f t="shared" si="12"/>
        <v>100</v>
      </c>
      <c r="T45" s="771" t="s">
        <v>17</v>
      </c>
      <c r="U45" s="772">
        <f t="shared" si="13"/>
        <v>100</v>
      </c>
      <c r="V45" s="771" t="s">
        <v>17</v>
      </c>
      <c r="W45" s="772">
        <f t="shared" si="14"/>
        <v>100</v>
      </c>
      <c r="X45" s="1809"/>
      <c r="Y45" s="3275"/>
      <c r="Z45" s="1810">
        <f t="shared" si="15"/>
        <v>111</v>
      </c>
      <c r="AA45" s="1807">
        <f t="shared" si="3"/>
        <v>1</v>
      </c>
      <c r="AB45" s="1807">
        <f t="shared" si="4"/>
        <v>1</v>
      </c>
      <c r="AC45" s="1807">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14"/>
      <c r="Q46" s="1806">
        <f t="shared" si="11"/>
        <v>111</v>
      </c>
      <c r="R46" s="771" t="s">
        <v>17</v>
      </c>
      <c r="S46" s="772">
        <f t="shared" si="12"/>
        <v>100</v>
      </c>
      <c r="T46" s="771" t="s">
        <v>17</v>
      </c>
      <c r="U46" s="772">
        <f t="shared" si="13"/>
        <v>100</v>
      </c>
      <c r="V46" s="771" t="s">
        <v>17</v>
      </c>
      <c r="W46" s="772">
        <f t="shared" si="14"/>
        <v>100</v>
      </c>
      <c r="X46" s="1809"/>
      <c r="Y46" s="3315"/>
      <c r="Z46" s="1810">
        <f t="shared" si="15"/>
        <v>111</v>
      </c>
      <c r="AA46" s="1807">
        <f t="shared" si="3"/>
        <v>1</v>
      </c>
      <c r="AB46" s="1807">
        <f t="shared" si="4"/>
        <v>1</v>
      </c>
      <c r="AC46" s="1807">
        <f t="shared" si="5"/>
        <v>1</v>
      </c>
    </row>
    <row r="47" spans="1:29" ht="15">
      <c r="A47" s="477" t="s">
        <v>2573</v>
      </c>
      <c r="B47" s="478"/>
      <c r="C47" s="1404" t="s">
        <v>1</v>
      </c>
      <c r="D47" s="1405"/>
      <c r="E47" s="1406"/>
      <c r="F47" s="1407"/>
      <c r="G47" s="1408"/>
      <c r="H47" s="1409"/>
      <c r="I47" s="1406"/>
      <c r="J47" s="1409"/>
      <c r="K47" s="780"/>
      <c r="L47" s="1140"/>
      <c r="M47" s="1141"/>
      <c r="N47" s="1128"/>
      <c r="O47" s="1141"/>
      <c r="P47" s="3257" t="str">
        <f>A47</f>
        <v>成交单价（元/平方米）</v>
      </c>
      <c r="Q47" s="3257"/>
      <c r="R47" s="3270">
        <f>E47</f>
        <v>0</v>
      </c>
      <c r="S47" s="3270"/>
      <c r="T47" s="3270">
        <f>G47</f>
        <v>0</v>
      </c>
      <c r="U47" s="3270"/>
      <c r="V47" s="3270">
        <f>I47</f>
        <v>0</v>
      </c>
      <c r="W47" s="3270"/>
      <c r="X47" s="756"/>
      <c r="Y47" s="778"/>
      <c r="Z47" s="756"/>
      <c r="AA47" s="756"/>
      <c r="AB47" s="756"/>
      <c r="AC47" s="756"/>
    </row>
    <row r="48" spans="1:29" ht="15.75" thickBot="1">
      <c r="A48" s="484" t="s">
        <v>2665</v>
      </c>
      <c r="B48" s="485"/>
      <c r="C48" s="1410" t="e">
        <f>R49</f>
        <v>#DIV/0!</v>
      </c>
      <c r="D48" s="1411"/>
      <c r="E48" s="1412" t="e">
        <f>R48</f>
        <v>#DIV/0!</v>
      </c>
      <c r="F48" s="1412"/>
      <c r="G48" s="1410" t="e">
        <f>T48</f>
        <v>#DIV/0!</v>
      </c>
      <c r="H48" s="1411"/>
      <c r="I48" s="1412" t="e">
        <f>V48</f>
        <v>#DIV/0!</v>
      </c>
      <c r="J48" s="1411"/>
      <c r="K48" s="781"/>
      <c r="L48" s="1140"/>
      <c r="M48" s="1141"/>
      <c r="N48" s="1128"/>
      <c r="O48" s="1141"/>
      <c r="P48" s="3257" t="str">
        <f>A48</f>
        <v>比较价值（元/平方米）</v>
      </c>
      <c r="Q48" s="3257"/>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756"/>
      <c r="Y48" s="756"/>
      <c r="Z48" s="756"/>
      <c r="AA48" s="756"/>
      <c r="AB48" s="756"/>
      <c r="AC48" s="756"/>
    </row>
    <row r="49" spans="1:29" ht="15.75" thickBot="1">
      <c r="A49" s="490" t="s">
        <v>2666</v>
      </c>
      <c r="B49" s="491"/>
      <c r="C49" s="1414" t="e">
        <f>R49</f>
        <v>#DIV/0!</v>
      </c>
      <c r="D49" s="1414"/>
      <c r="E49" s="1414"/>
      <c r="F49" s="1414"/>
      <c r="G49" s="1414"/>
      <c r="H49" s="1414"/>
      <c r="I49" s="1414"/>
      <c r="J49" s="1414"/>
      <c r="K49" s="782"/>
      <c r="L49" s="1140"/>
      <c r="M49" s="1141"/>
      <c r="N49" s="1128"/>
      <c r="O49" s="1141"/>
      <c r="P49" s="3277" t="str">
        <f>A49</f>
        <v>估价对象XX用房的比较价值（楼面单价，元/平方米）</v>
      </c>
      <c r="Q49" s="3278"/>
      <c r="R49" s="3310" t="e">
        <f>IF(F1="售价",ROUND(AVERAGE(R48:V48),0),ROUND(AVERAGE(R48:V48),1))</f>
        <v>#DIV/0!</v>
      </c>
      <c r="S49" s="3310"/>
      <c r="T49" s="3310"/>
      <c r="U49" s="3310"/>
      <c r="V49" s="3310"/>
      <c r="W49" s="331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4"/>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2670</v>
      </c>
      <c r="B57" s="756"/>
      <c r="C57" s="761"/>
      <c r="D57" s="761"/>
      <c r="E57" s="761"/>
      <c r="F57" s="762"/>
      <c r="G57" s="762"/>
      <c r="H57" s="761"/>
      <c r="I57" s="761"/>
      <c r="J57" s="761"/>
      <c r="K57" s="763"/>
      <c r="L57" s="1158"/>
      <c r="M57" s="1156"/>
      <c r="N57" s="1156"/>
      <c r="O57" s="1156"/>
      <c r="P57" s="2665"/>
      <c r="Q57" s="2666"/>
      <c r="R57" s="756"/>
      <c r="S57" s="756"/>
      <c r="T57" s="756"/>
      <c r="U57" s="756"/>
      <c r="V57" s="756"/>
      <c r="W57" s="756"/>
      <c r="X57" s="756"/>
      <c r="Y57" s="756"/>
      <c r="Z57" s="756"/>
      <c r="AA57" s="756"/>
      <c r="AB57" s="756"/>
      <c r="AC57" s="756"/>
    </row>
    <row r="58" spans="1:29" s="506" customFormat="1" ht="15">
      <c r="A58" s="503" t="s">
        <v>2544</v>
      </c>
      <c r="B58" s="504"/>
      <c r="C58" s="1570" t="str">
        <f>YEAR(C7)&amp;"-"&amp;MONTH(C7)</f>
        <v>2020-3</v>
      </c>
      <c r="D58" s="1571">
        <f>EDATE(C58,-1)</f>
        <v>43862</v>
      </c>
      <c r="E58" s="1571">
        <f t="shared" ref="E58:N58" si="16">EDATE(D58,-1)</f>
        <v>43831</v>
      </c>
      <c r="F58" s="1571">
        <f t="shared" si="16"/>
        <v>43800</v>
      </c>
      <c r="G58" s="1571">
        <f t="shared" si="16"/>
        <v>43770</v>
      </c>
      <c r="H58" s="1571">
        <f t="shared" si="16"/>
        <v>43739</v>
      </c>
      <c r="I58" s="1571">
        <f t="shared" si="16"/>
        <v>43709</v>
      </c>
      <c r="J58" s="1571">
        <f t="shared" si="16"/>
        <v>43678</v>
      </c>
      <c r="K58" s="1571">
        <f t="shared" si="16"/>
        <v>43647</v>
      </c>
      <c r="L58" s="1571">
        <f t="shared" si="16"/>
        <v>43617</v>
      </c>
      <c r="M58" s="1571">
        <f t="shared" si="16"/>
        <v>43586</v>
      </c>
      <c r="N58" s="1571">
        <f t="shared" si="16"/>
        <v>43556</v>
      </c>
      <c r="O58" s="1571">
        <f>EDATE(N58,-1)</f>
        <v>43525</v>
      </c>
      <c r="P58" s="1566"/>
    </row>
    <row r="59" spans="1:29" s="117" customFormat="1" ht="15">
      <c r="A59" s="507"/>
      <c r="B59" s="508"/>
      <c r="C59" s="1569">
        <v>100</v>
      </c>
      <c r="D59" s="510"/>
      <c r="E59" s="510"/>
      <c r="F59" s="510"/>
      <c r="G59" s="510"/>
      <c r="H59" s="510"/>
      <c r="I59" s="510"/>
      <c r="J59" s="510"/>
      <c r="K59" s="510"/>
      <c r="L59" s="510"/>
      <c r="M59" s="511"/>
      <c r="N59" s="510"/>
      <c r="O59" s="511"/>
      <c r="P59" s="2626"/>
    </row>
    <row r="60" spans="1:29" s="117" customFormat="1" ht="15.75" thickBot="1">
      <c r="A60" s="513" t="s">
        <v>2581</v>
      </c>
      <c r="B60" s="514"/>
      <c r="C60" s="515"/>
      <c r="D60" s="516"/>
      <c r="E60" s="516"/>
      <c r="F60" s="516"/>
      <c r="G60" s="516"/>
      <c r="H60" s="516"/>
      <c r="I60" s="516"/>
      <c r="J60" s="516"/>
      <c r="K60" s="516"/>
      <c r="L60" s="516"/>
      <c r="M60" s="517"/>
      <c r="N60" s="516"/>
      <c r="O60" s="517"/>
      <c r="P60" s="2626"/>
      <c r="Q60" s="502"/>
    </row>
    <row r="61" spans="1:29" s="117" customFormat="1" ht="15">
      <c r="A61" s="519" t="s">
        <v>2546</v>
      </c>
      <c r="B61" s="508"/>
      <c r="C61" s="520" t="s">
        <v>2648</v>
      </c>
      <c r="D61" s="521"/>
      <c r="E61" s="521"/>
      <c r="F61" s="521"/>
      <c r="G61" s="521"/>
      <c r="H61" s="521"/>
      <c r="I61" s="521"/>
      <c r="J61" s="521"/>
      <c r="K61" s="521"/>
      <c r="L61" s="522"/>
      <c r="M61" s="523"/>
      <c r="N61" s="1148"/>
      <c r="O61" s="1148"/>
      <c r="P61" s="2627"/>
      <c r="Q61" s="502"/>
    </row>
    <row r="62" spans="1:29" s="117" customFormat="1" ht="15.75" thickBot="1">
      <c r="A62" s="519"/>
      <c r="B62" s="508"/>
      <c r="C62" s="509">
        <v>100</v>
      </c>
      <c r="D62" s="510"/>
      <c r="E62" s="510"/>
      <c r="F62" s="510"/>
      <c r="G62" s="510"/>
      <c r="H62" s="510"/>
      <c r="I62" s="510"/>
      <c r="J62" s="510"/>
      <c r="K62" s="510"/>
      <c r="L62" s="510"/>
      <c r="M62" s="512"/>
      <c r="N62" s="1148"/>
      <c r="O62" s="1148"/>
      <c r="P62" s="2626"/>
      <c r="Q62" s="502"/>
    </row>
    <row r="63" spans="1:29">
      <c r="A63" s="525" t="s">
        <v>2584</v>
      </c>
      <c r="B63" s="526" t="s">
        <v>2550</v>
      </c>
      <c r="C63" s="527">
        <f>C9</f>
        <v>0</v>
      </c>
      <c r="D63" s="528"/>
      <c r="E63" s="528"/>
      <c r="F63" s="528"/>
      <c r="G63" s="528"/>
      <c r="H63" s="528"/>
      <c r="I63" s="528"/>
      <c r="J63" s="528"/>
      <c r="K63" s="529"/>
      <c r="L63" s="530"/>
      <c r="M63" s="531"/>
      <c r="N63" s="1149"/>
      <c r="O63" s="1149"/>
      <c r="P63" s="2628"/>
      <c r="Q63" s="502"/>
    </row>
    <row r="64" spans="1:29" ht="15.75" thickBot="1">
      <c r="A64" s="532"/>
      <c r="B64" s="533"/>
      <c r="C64" s="534">
        <v>100</v>
      </c>
      <c r="D64" s="534"/>
      <c r="E64" s="534"/>
      <c r="F64" s="534"/>
      <c r="G64" s="534"/>
      <c r="H64" s="534"/>
      <c r="I64" s="534"/>
      <c r="J64" s="534"/>
      <c r="K64" s="534"/>
      <c r="L64" s="534"/>
      <c r="M64" s="535"/>
      <c r="N64" s="1150"/>
      <c r="O64" s="1150"/>
      <c r="P64" s="2628"/>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9"/>
      <c r="O65" s="1149"/>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8"/>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8"/>
      <c r="Q67" s="502"/>
    </row>
    <row r="68" spans="1:17" ht="15">
      <c r="A68" s="532"/>
      <c r="B68" s="546"/>
      <c r="C68" s="547"/>
      <c r="D68" s="547"/>
      <c r="E68" s="547"/>
      <c r="F68" s="547"/>
      <c r="G68" s="547"/>
      <c r="H68" s="547"/>
      <c r="I68" s="547"/>
      <c r="J68" s="547"/>
      <c r="K68" s="548"/>
      <c r="L68" s="549"/>
      <c r="M68" s="550"/>
      <c r="N68" s="1149"/>
      <c r="O68" s="1149"/>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8"/>
      <c r="Q69" s="502"/>
    </row>
    <row r="70" spans="1:17" s="469" customFormat="1" ht="15.75" thickTop="1">
      <c r="A70" s="551"/>
      <c r="B70" s="536">
        <f>B12</f>
        <v>111</v>
      </c>
      <c r="C70" s="552"/>
      <c r="D70" s="552"/>
      <c r="E70" s="552"/>
      <c r="F70" s="552"/>
      <c r="G70" s="552"/>
      <c r="H70" s="553"/>
      <c r="I70" s="553"/>
      <c r="J70" s="553"/>
      <c r="K70" s="553"/>
      <c r="L70" s="554"/>
      <c r="M70" s="555"/>
      <c r="N70" s="1151"/>
      <c r="O70" s="1151"/>
      <c r="P70" s="2629"/>
      <c r="Q70" s="557"/>
    </row>
    <row r="71" spans="1:17" s="469" customFormat="1" ht="15.75" thickBot="1">
      <c r="A71" s="551"/>
      <c r="B71" s="541"/>
      <c r="C71" s="558"/>
      <c r="D71" s="534"/>
      <c r="E71" s="534"/>
      <c r="F71" s="534"/>
      <c r="G71" s="534"/>
      <c r="H71" s="534"/>
      <c r="I71" s="534"/>
      <c r="J71" s="534"/>
      <c r="K71" s="534"/>
      <c r="L71" s="534"/>
      <c r="M71" s="535"/>
      <c r="N71" s="1150"/>
      <c r="O71" s="1150"/>
      <c r="P71" s="2629"/>
      <c r="Q71" s="557"/>
    </row>
    <row r="72" spans="1:17" s="469" customFormat="1" ht="15.75" thickTop="1">
      <c r="A72" s="551"/>
      <c r="B72" s="536">
        <f>B13</f>
        <v>111</v>
      </c>
      <c r="C72" s="552"/>
      <c r="D72" s="552"/>
      <c r="E72" s="552"/>
      <c r="F72" s="552"/>
      <c r="G72" s="552"/>
      <c r="H72" s="553"/>
      <c r="I72" s="553"/>
      <c r="J72" s="553"/>
      <c r="K72" s="553"/>
      <c r="L72" s="554"/>
      <c r="M72" s="555"/>
      <c r="N72" s="1151"/>
      <c r="O72" s="1151"/>
      <c r="P72" s="2630"/>
      <c r="Q72" s="559"/>
    </row>
    <row r="73" spans="1:17" s="469" customFormat="1" ht="15.75" thickBot="1">
      <c r="A73" s="551"/>
      <c r="B73" s="541"/>
      <c r="C73" s="558"/>
      <c r="D73" s="534"/>
      <c r="E73" s="534"/>
      <c r="F73" s="534"/>
      <c r="G73" s="558"/>
      <c r="H73" s="560"/>
      <c r="I73" s="560"/>
      <c r="J73" s="560"/>
      <c r="K73" s="560"/>
      <c r="L73" s="560"/>
      <c r="M73" s="561"/>
      <c r="N73" s="1151"/>
      <c r="O73" s="1151"/>
      <c r="P73" s="2629"/>
      <c r="Q73" s="557"/>
    </row>
    <row r="74" spans="1:17" s="469" customFormat="1" ht="15.75" thickTop="1">
      <c r="A74" s="551"/>
      <c r="B74" s="544">
        <f>B14</f>
        <v>111</v>
      </c>
      <c r="C74" s="552"/>
      <c r="D74" s="552"/>
      <c r="E74" s="552"/>
      <c r="F74" s="552"/>
      <c r="G74" s="521"/>
      <c r="H74" s="562"/>
      <c r="I74" s="562"/>
      <c r="J74" s="562"/>
      <c r="K74" s="562"/>
      <c r="L74" s="563"/>
      <c r="M74" s="564"/>
      <c r="N74" s="1151"/>
      <c r="O74" s="1151"/>
      <c r="P74" s="2631"/>
      <c r="Q74" s="557"/>
    </row>
    <row r="75" spans="1:17" s="469" customFormat="1" ht="15.75" thickBot="1">
      <c r="A75" s="566"/>
      <c r="B75" s="567"/>
      <c r="C75" s="568"/>
      <c r="D75" s="568"/>
      <c r="E75" s="568"/>
      <c r="F75" s="568"/>
      <c r="G75" s="568"/>
      <c r="H75" s="569"/>
      <c r="I75" s="569"/>
      <c r="J75" s="569"/>
      <c r="K75" s="569"/>
      <c r="L75" s="569"/>
      <c r="M75" s="570"/>
      <c r="N75" s="1151"/>
      <c r="O75" s="1151"/>
      <c r="P75" s="2629"/>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9"/>
      <c r="O76" s="1149"/>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8"/>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9"/>
      <c r="O78" s="1149"/>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8"/>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9"/>
      <c r="O80" s="1149"/>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8"/>
      <c r="Q81" s="502"/>
    </row>
    <row r="82" spans="1:17" ht="15.75" thickTop="1">
      <c r="A82" s="532"/>
      <c r="B82" s="544" t="s">
        <v>2651</v>
      </c>
      <c r="C82" s="658" t="s">
        <v>2671</v>
      </c>
      <c r="D82" s="658" t="s">
        <v>2672</v>
      </c>
      <c r="E82" s="658" t="s">
        <v>2673</v>
      </c>
      <c r="F82" s="658" t="s">
        <v>2674</v>
      </c>
      <c r="G82" s="658" t="s">
        <v>2675</v>
      </c>
      <c r="H82" s="537"/>
      <c r="I82" s="537"/>
      <c r="J82" s="537"/>
      <c r="K82" s="537"/>
      <c r="L82" s="537"/>
      <c r="M82" s="1379"/>
      <c r="N82" s="1150"/>
      <c r="O82" s="1150"/>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8"/>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9"/>
      <c r="O84" s="1149"/>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8"/>
      <c r="Q85" s="502"/>
    </row>
    <row r="86" spans="1:17" s="117" customFormat="1" ht="15.75" thickTop="1">
      <c r="A86" s="577"/>
      <c r="B86" s="536" t="s">
        <v>2676</v>
      </c>
      <c r="C86" s="552"/>
      <c r="D86" s="552"/>
      <c r="E86" s="552"/>
      <c r="F86" s="552"/>
      <c r="G86" s="552"/>
      <c r="H86" s="552"/>
      <c r="I86" s="552"/>
      <c r="J86" s="552"/>
      <c r="K86" s="552"/>
      <c r="L86" s="578"/>
      <c r="M86" s="579"/>
      <c r="N86" s="1148"/>
      <c r="O86" s="1148"/>
      <c r="P86" s="2628"/>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8"/>
      <c r="Q87" s="502"/>
    </row>
    <row r="88" spans="1:17" s="117" customFormat="1" ht="15.75" thickTop="1">
      <c r="A88" s="577"/>
      <c r="B88" s="536" t="str">
        <f>B26</f>
        <v>平面位置/可视性</v>
      </c>
      <c r="C88" s="552"/>
      <c r="D88" s="552"/>
      <c r="E88" s="552"/>
      <c r="F88" s="2633"/>
      <c r="G88" s="552"/>
      <c r="H88" s="552"/>
      <c r="I88" s="552"/>
      <c r="J88" s="552"/>
      <c r="K88" s="552"/>
      <c r="L88" s="552"/>
      <c r="M88" s="579"/>
      <c r="N88" s="1148"/>
      <c r="O88" s="1148"/>
      <c r="P88" s="2628"/>
      <c r="Q88" s="502"/>
    </row>
    <row r="89" spans="1:17" s="117" customFormat="1" ht="15.75" thickBot="1">
      <c r="A89" s="577"/>
      <c r="B89" s="541"/>
      <c r="C89" s="558"/>
      <c r="D89" s="534"/>
      <c r="E89" s="534"/>
      <c r="F89" s="534"/>
      <c r="G89" s="534"/>
      <c r="H89" s="534"/>
      <c r="I89" s="534"/>
      <c r="J89" s="534"/>
      <c r="K89" s="534"/>
      <c r="L89" s="534"/>
      <c r="M89" s="534"/>
      <c r="N89" s="1150"/>
      <c r="O89" s="1150"/>
      <c r="P89" s="2628"/>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9"/>
      <c r="Q91" s="557"/>
    </row>
    <row r="92" spans="1:17" ht="15.75" thickTop="1">
      <c r="A92" s="532"/>
      <c r="B92" s="536" t="str">
        <f>B28</f>
        <v>楼层</v>
      </c>
      <c r="C92" s="552"/>
      <c r="D92" s="552"/>
      <c r="E92" s="552"/>
      <c r="F92" s="552"/>
      <c r="G92" s="552"/>
      <c r="H92" s="552"/>
      <c r="I92" s="552"/>
      <c r="J92" s="552"/>
      <c r="K92" s="552"/>
      <c r="L92" s="578"/>
      <c r="M92" s="579"/>
      <c r="N92" s="1149"/>
      <c r="O92" s="1149"/>
      <c r="P92" s="2628"/>
      <c r="Q92" s="502"/>
    </row>
    <row r="93" spans="1:17" ht="15.75" thickBot="1">
      <c r="A93" s="532"/>
      <c r="B93" s="541"/>
      <c r="C93" s="534"/>
      <c r="D93" s="534"/>
      <c r="E93" s="534"/>
      <c r="F93" s="534"/>
      <c r="G93" s="534"/>
      <c r="H93" s="534"/>
      <c r="I93" s="534"/>
      <c r="J93" s="534"/>
      <c r="K93" s="534"/>
      <c r="L93" s="534"/>
      <c r="M93" s="535"/>
      <c r="N93" s="1150"/>
      <c r="O93" s="1150"/>
      <c r="P93" s="2628"/>
      <c r="Q93" s="502"/>
    </row>
    <row r="94" spans="1:17" ht="15.75" thickTop="1">
      <c r="A94" s="532"/>
      <c r="B94" s="536">
        <f>B29</f>
        <v>111</v>
      </c>
      <c r="C94" s="552"/>
      <c r="D94" s="552"/>
      <c r="E94" s="552"/>
      <c r="F94" s="552"/>
      <c r="G94" s="581"/>
      <c r="H94" s="581"/>
      <c r="I94" s="581"/>
      <c r="J94" s="581"/>
      <c r="K94" s="582"/>
      <c r="L94" s="583"/>
      <c r="M94" s="584"/>
      <c r="N94" s="1149"/>
      <c r="O94" s="1149"/>
      <c r="P94" s="2628"/>
      <c r="Q94" s="502"/>
    </row>
    <row r="95" spans="1:17" ht="15.75" thickBot="1">
      <c r="A95" s="532"/>
      <c r="B95" s="541"/>
      <c r="C95" s="558"/>
      <c r="D95" s="534"/>
      <c r="E95" s="534"/>
      <c r="F95" s="534"/>
      <c r="G95" s="534"/>
      <c r="H95" s="534"/>
      <c r="I95" s="534"/>
      <c r="J95" s="534"/>
      <c r="K95" s="534"/>
      <c r="L95" s="534"/>
      <c r="M95" s="535"/>
      <c r="N95" s="1150"/>
      <c r="O95" s="1150"/>
      <c r="P95" s="2628"/>
      <c r="Q95" s="502"/>
    </row>
    <row r="96" spans="1:17" ht="15.75" thickTop="1">
      <c r="A96" s="532"/>
      <c r="B96" s="536">
        <f>B30</f>
        <v>111</v>
      </c>
      <c r="C96" s="552"/>
      <c r="D96" s="552"/>
      <c r="E96" s="552"/>
      <c r="F96" s="552"/>
      <c r="G96" s="581"/>
      <c r="H96" s="581"/>
      <c r="I96" s="581"/>
      <c r="J96" s="581"/>
      <c r="K96" s="582"/>
      <c r="L96" s="583"/>
      <c r="M96" s="584"/>
      <c r="N96" s="1149"/>
      <c r="O96" s="1149"/>
      <c r="P96" s="2628"/>
      <c r="Q96" s="502"/>
    </row>
    <row r="97" spans="1:17" ht="15.75" thickBot="1">
      <c r="A97" s="532"/>
      <c r="B97" s="541"/>
      <c r="C97" s="558"/>
      <c r="D97" s="534"/>
      <c r="E97" s="534"/>
      <c r="F97" s="534"/>
      <c r="G97" s="534"/>
      <c r="H97" s="534"/>
      <c r="I97" s="534"/>
      <c r="J97" s="534"/>
      <c r="K97" s="534"/>
      <c r="L97" s="534"/>
      <c r="M97" s="535"/>
      <c r="N97" s="1150"/>
      <c r="O97" s="1150"/>
      <c r="P97" s="2628"/>
      <c r="Q97" s="502"/>
    </row>
    <row r="98" spans="1:17" ht="15.75" thickTop="1">
      <c r="A98" s="532"/>
      <c r="B98" s="544">
        <f>B31</f>
        <v>111</v>
      </c>
      <c r="C98" s="552"/>
      <c r="D98" s="552"/>
      <c r="E98" s="552"/>
      <c r="F98" s="552"/>
      <c r="G98" s="585"/>
      <c r="H98" s="585"/>
      <c r="I98" s="585"/>
      <c r="J98" s="585"/>
      <c r="K98" s="586"/>
      <c r="L98" s="587"/>
      <c r="M98" s="588"/>
      <c r="N98" s="1149"/>
      <c r="O98" s="1149"/>
      <c r="P98" s="2628"/>
      <c r="Q98" s="502"/>
    </row>
    <row r="99" spans="1:17" ht="15.75" thickBot="1">
      <c r="A99" s="2634"/>
      <c r="B99" s="567"/>
      <c r="C99" s="568"/>
      <c r="D99" s="568"/>
      <c r="E99" s="568"/>
      <c r="F99" s="568"/>
      <c r="G99" s="589"/>
      <c r="H99" s="589"/>
      <c r="I99" s="589"/>
      <c r="J99" s="589"/>
      <c r="K99" s="589"/>
      <c r="L99" s="589"/>
      <c r="M99" s="590"/>
      <c r="N99" s="1150"/>
      <c r="O99" s="1150"/>
      <c r="P99" s="2628"/>
      <c r="Q99" s="502"/>
    </row>
    <row r="100" spans="1:17">
      <c r="A100" s="525" t="s">
        <v>2559</v>
      </c>
      <c r="B100" s="526" t="s">
        <v>2677</v>
      </c>
      <c r="C100" s="528"/>
      <c r="D100" s="528"/>
      <c r="E100" s="528"/>
      <c r="F100" s="528"/>
      <c r="G100" s="528"/>
      <c r="H100" s="528"/>
      <c r="I100" s="528"/>
      <c r="J100" s="528"/>
      <c r="K100" s="529"/>
      <c r="L100" s="530"/>
      <c r="M100" s="531"/>
      <c r="N100" s="1149"/>
      <c r="O100" s="1149"/>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8"/>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8"/>
      <c r="Q102" s="502"/>
    </row>
    <row r="103" spans="1:17" s="469" customFormat="1">
      <c r="A103" s="591"/>
      <c r="B103" s="592"/>
      <c r="C103" s="593"/>
      <c r="D103" s="593"/>
      <c r="E103" s="593"/>
      <c r="F103" s="593"/>
      <c r="G103" s="593"/>
      <c r="H103" s="593"/>
      <c r="I103" s="593"/>
      <c r="J103" s="594"/>
      <c r="K103" s="594"/>
      <c r="L103" s="595"/>
      <c r="M103" s="596"/>
      <c r="N103" s="1151"/>
      <c r="O103" s="1151"/>
      <c r="P103" s="2629"/>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9"/>
      <c r="Q104" s="557"/>
    </row>
    <row r="105" spans="1:17" ht="15" thickTop="1">
      <c r="A105" s="597"/>
      <c r="B105" s="536" t="s">
        <v>2610</v>
      </c>
      <c r="C105" s="552"/>
      <c r="D105" s="552"/>
      <c r="E105" s="581"/>
      <c r="F105" s="581"/>
      <c r="G105" s="581"/>
      <c r="H105" s="581"/>
      <c r="I105" s="581"/>
      <c r="J105" s="581"/>
      <c r="K105" s="582"/>
      <c r="L105" s="583"/>
      <c r="M105" s="584"/>
      <c r="N105" s="1149"/>
      <c r="O105" s="1149"/>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8"/>
      <c r="Q106" s="502"/>
    </row>
    <row r="107" spans="1:17" ht="15" thickTop="1">
      <c r="A107" s="597"/>
      <c r="B107" s="536" t="s">
        <v>2612</v>
      </c>
      <c r="C107" s="552"/>
      <c r="D107" s="552"/>
      <c r="E107" s="552"/>
      <c r="F107" s="581"/>
      <c r="G107" s="581"/>
      <c r="H107" s="581"/>
      <c r="I107" s="581"/>
      <c r="J107" s="581"/>
      <c r="K107" s="582"/>
      <c r="L107" s="583"/>
      <c r="M107" s="584"/>
      <c r="N107" s="1149"/>
      <c r="O107" s="1149"/>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8"/>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8"/>
      <c r="Q111" s="502"/>
    </row>
    <row r="112" spans="1:17" s="469" customFormat="1" ht="15" thickTop="1">
      <c r="A112" s="591"/>
      <c r="B112" s="536" t="s">
        <v>2614</v>
      </c>
      <c r="C112" s="552"/>
      <c r="D112" s="552"/>
      <c r="E112" s="552"/>
      <c r="F112" s="552"/>
      <c r="G112" s="552"/>
      <c r="H112" s="581"/>
      <c r="I112" s="581"/>
      <c r="J112" s="581"/>
      <c r="K112" s="582"/>
      <c r="L112" s="583"/>
      <c r="M112" s="584"/>
      <c r="N112" s="1151"/>
      <c r="O112" s="1151"/>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9"/>
      <c r="Q113" s="557"/>
    </row>
    <row r="114" spans="1:17" ht="15" thickTop="1">
      <c r="A114" s="597"/>
      <c r="B114" s="536" t="s">
        <v>2678</v>
      </c>
      <c r="C114" s="552"/>
      <c r="D114" s="552"/>
      <c r="E114" s="581"/>
      <c r="F114" s="581"/>
      <c r="G114" s="581"/>
      <c r="H114" s="581"/>
      <c r="I114" s="581"/>
      <c r="J114" s="581"/>
      <c r="K114" s="582"/>
      <c r="L114" s="583"/>
      <c r="M114" s="584"/>
      <c r="N114" s="1149"/>
      <c r="O114" s="1149"/>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8"/>
      <c r="Q115" s="502"/>
    </row>
    <row r="116" spans="1:17" ht="15" thickTop="1">
      <c r="A116" s="597"/>
      <c r="B116" s="536" t="s">
        <v>2679</v>
      </c>
      <c r="C116" s="552"/>
      <c r="D116" s="552"/>
      <c r="E116" s="552"/>
      <c r="F116" s="552"/>
      <c r="G116" s="552"/>
      <c r="H116" s="581"/>
      <c r="I116" s="581"/>
      <c r="J116" s="581"/>
      <c r="K116" s="582"/>
      <c r="L116" s="583"/>
      <c r="M116" s="584"/>
      <c r="N116" s="1149"/>
      <c r="O116" s="1149"/>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8"/>
      <c r="Q117" s="502"/>
    </row>
    <row r="118" spans="1:17" ht="15" thickTop="1">
      <c r="A118" s="597"/>
      <c r="B118" s="536" t="s">
        <v>2680</v>
      </c>
      <c r="C118" s="625"/>
      <c r="D118" s="625"/>
      <c r="E118" s="625"/>
      <c r="F118" s="625"/>
      <c r="G118" s="625"/>
      <c r="H118" s="553"/>
      <c r="I118" s="553"/>
      <c r="J118" s="553"/>
      <c r="K118" s="553"/>
      <c r="L118" s="554"/>
      <c r="M118" s="555"/>
      <c r="N118" s="1149"/>
      <c r="O118" s="1149"/>
      <c r="P118" s="2628"/>
      <c r="Q118" s="502"/>
    </row>
    <row r="119" spans="1:17" ht="15.75" thickBot="1">
      <c r="A119" s="532"/>
      <c r="B119" s="541"/>
      <c r="C119" s="558"/>
      <c r="D119" s="534"/>
      <c r="E119" s="534"/>
      <c r="F119" s="534"/>
      <c r="G119" s="534"/>
      <c r="H119" s="534"/>
      <c r="I119" s="534"/>
      <c r="J119" s="534"/>
      <c r="K119" s="534"/>
      <c r="L119" s="534"/>
      <c r="M119" s="535"/>
      <c r="N119" s="1150"/>
      <c r="O119" s="1150"/>
      <c r="P119" s="2628"/>
      <c r="Q119" s="502"/>
    </row>
    <row r="120" spans="1:17" s="469" customFormat="1" ht="15" thickTop="1">
      <c r="A120" s="591"/>
      <c r="B120" s="536" t="s">
        <v>2681</v>
      </c>
      <c r="C120" s="581"/>
      <c r="D120" s="581"/>
      <c r="E120" s="581"/>
      <c r="F120" s="581"/>
      <c r="G120" s="553"/>
      <c r="H120" s="553"/>
      <c r="I120" s="553"/>
      <c r="J120" s="553"/>
      <c r="K120" s="553"/>
      <c r="L120" s="554"/>
      <c r="M120" s="555"/>
      <c r="N120" s="1151"/>
      <c r="O120" s="1151"/>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9"/>
      <c r="Q121" s="557"/>
    </row>
    <row r="122" spans="1:17" ht="15" thickTop="1">
      <c r="A122" s="597"/>
      <c r="B122" s="536" t="s">
        <v>2616</v>
      </c>
      <c r="C122" s="552"/>
      <c r="D122" s="552"/>
      <c r="E122" s="552"/>
      <c r="F122" s="581"/>
      <c r="G122" s="581"/>
      <c r="H122" s="581"/>
      <c r="I122" s="581"/>
      <c r="J122" s="581"/>
      <c r="K122" s="582"/>
      <c r="L122" s="583"/>
      <c r="M122" s="584"/>
      <c r="N122" s="1149"/>
      <c r="O122" s="1149"/>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8"/>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9"/>
      <c r="O124" s="1149"/>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8"/>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9"/>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9"/>
      <c r="Q127" s="557"/>
    </row>
    <row r="128" spans="1:17" ht="15" thickTop="1">
      <c r="A128" s="597"/>
      <c r="B128" s="536">
        <f>B45</f>
        <v>111</v>
      </c>
      <c r="C128" s="552"/>
      <c r="D128" s="552"/>
      <c r="E128" s="552"/>
      <c r="F128" s="552"/>
      <c r="G128" s="581"/>
      <c r="H128" s="581"/>
      <c r="I128" s="581"/>
      <c r="J128" s="581"/>
      <c r="K128" s="582"/>
      <c r="L128" s="583"/>
      <c r="M128" s="584"/>
      <c r="N128" s="1149"/>
      <c r="O128" s="1149"/>
      <c r="P128" s="2628"/>
      <c r="Q128" s="502"/>
    </row>
    <row r="129" spans="1:17" ht="15.75" thickBot="1">
      <c r="A129" s="532"/>
      <c r="B129" s="541"/>
      <c r="C129" s="558"/>
      <c r="D129" s="534"/>
      <c r="E129" s="534"/>
      <c r="F129" s="534"/>
      <c r="G129" s="534"/>
      <c r="H129" s="534"/>
      <c r="I129" s="534"/>
      <c r="J129" s="534"/>
      <c r="K129" s="534"/>
      <c r="L129" s="534"/>
      <c r="M129" s="535"/>
      <c r="N129" s="1150"/>
      <c r="O129" s="1150"/>
      <c r="P129" s="2628"/>
      <c r="Q129" s="502"/>
    </row>
    <row r="130" spans="1:17" ht="15" thickTop="1">
      <c r="A130" s="597"/>
      <c r="B130" s="544">
        <f>B46</f>
        <v>111</v>
      </c>
      <c r="C130" s="552"/>
      <c r="D130" s="552"/>
      <c r="E130" s="552"/>
      <c r="F130" s="552"/>
      <c r="G130" s="585"/>
      <c r="H130" s="585"/>
      <c r="I130" s="585"/>
      <c r="J130" s="585"/>
      <c r="K130" s="521"/>
      <c r="L130" s="522"/>
      <c r="M130" s="588"/>
      <c r="N130" s="1149"/>
      <c r="O130" s="1149"/>
      <c r="P130" s="2628"/>
      <c r="Q130" s="502"/>
    </row>
    <row r="131" spans="1:17" ht="15.75" thickBot="1">
      <c r="A131" s="2634"/>
      <c r="B131" s="567"/>
      <c r="C131" s="568"/>
      <c r="D131" s="568"/>
      <c r="E131" s="568"/>
      <c r="F131" s="568"/>
      <c r="G131" s="589"/>
      <c r="H131" s="589"/>
      <c r="I131" s="589"/>
      <c r="J131" s="589"/>
      <c r="K131" s="589"/>
      <c r="L131" s="589"/>
      <c r="M131" s="590"/>
      <c r="N131" s="1150"/>
      <c r="O131" s="1150"/>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R43" sqref="R43:W43"/>
    </sheetView>
  </sheetViews>
  <sheetFormatPr defaultColWidth="9" defaultRowHeight="14.25"/>
  <cols>
    <col min="1" max="1" width="10.5" style="401" customWidth="1"/>
    <col min="2" max="2" width="15.875" style="401" customWidth="1"/>
    <col min="3" max="3" width="15.6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875" style="1120"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29" s="1625" customFormat="1" ht="28.5" customHeight="1" thickBot="1">
      <c r="A1" s="1614" t="s">
        <v>2524</v>
      </c>
      <c r="B1" s="2667" t="s">
        <v>2682</v>
      </c>
      <c r="C1" s="1616" t="s">
        <v>2526</v>
      </c>
      <c r="D1" s="1617"/>
      <c r="E1" s="1626"/>
      <c r="F1" s="2582"/>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2326</v>
      </c>
      <c r="B2" s="1415" t="e">
        <f ca="1">IF(C2="——",ROUND(C50*D3/10000,0),ROUND(C50*D3/10000,0)-D2)</f>
        <v>#DIV/0!</v>
      </c>
      <c r="C2" s="2584"/>
      <c r="D2" s="1362" t="e">
        <f ca="1">SUMIF(INDIRECT("'"&amp;F2&amp;"'"&amp;"!A:A"),"承租人权益价值",INDIRECT("'"&amp;F2&amp;"'"&amp;"!c:c"))</f>
        <v>#REF!</v>
      </c>
      <c r="E2" s="2585" t="s">
        <v>2327</v>
      </c>
      <c r="F2" s="258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IF(C2="——",C50,ROUND(B2*10000/D3,0))</f>
        <v>#DIV/0!</v>
      </c>
      <c r="C3" s="398" t="s">
        <v>2640</v>
      </c>
      <c r="D3" s="397">
        <f>IF(D1="",'数据-汇总表'!E3,SUMIF('数据-汇总表'!$C19:$C33,D1,'数据-汇总表'!$E19:$E33))</f>
        <v>218862.73</v>
      </c>
      <c r="E3" s="266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2641</v>
      </c>
      <c r="B4" s="400"/>
      <c r="C4" s="3258" t="s">
        <v>2642</v>
      </c>
      <c r="D4" s="3259"/>
      <c r="E4" s="3260" t="s">
        <v>2643</v>
      </c>
      <c r="F4" s="3261"/>
      <c r="G4" s="3258" t="s">
        <v>2644</v>
      </c>
      <c r="H4" s="3259"/>
      <c r="I4" s="3258" t="s">
        <v>2645</v>
      </c>
      <c r="J4" s="3259"/>
      <c r="K4" s="608" t="s">
        <v>2646</v>
      </c>
      <c r="L4" s="1127"/>
      <c r="M4" s="1128"/>
      <c r="N4" s="1128"/>
      <c r="O4" s="1128"/>
      <c r="P4" s="3324" t="s">
        <v>2647</v>
      </c>
      <c r="Q4" s="3325"/>
      <c r="R4" s="3319" t="s">
        <v>2643</v>
      </c>
      <c r="S4" s="3320"/>
      <c r="T4" s="3319" t="s">
        <v>2644</v>
      </c>
      <c r="U4" s="3320"/>
      <c r="V4" s="3328" t="s">
        <v>2645</v>
      </c>
      <c r="W4" s="3328"/>
      <c r="X4" s="2668"/>
      <c r="Y4" s="3319" t="s">
        <v>2647</v>
      </c>
      <c r="Z4" s="3320"/>
      <c r="AA4" s="3318" t="s">
        <v>2643</v>
      </c>
      <c r="AB4" s="3318" t="s">
        <v>2644</v>
      </c>
      <c r="AC4" s="3321" t="s">
        <v>2645</v>
      </c>
    </row>
    <row r="5" spans="1:29" ht="15">
      <c r="A5" s="402"/>
      <c r="B5" s="403"/>
      <c r="C5" s="3251" t="s">
        <v>2538</v>
      </c>
      <c r="D5" s="3252"/>
      <c r="E5" s="3249" t="s">
        <v>2539</v>
      </c>
      <c r="F5" s="3250"/>
      <c r="G5" s="3251" t="s">
        <v>2540</v>
      </c>
      <c r="H5" s="3252"/>
      <c r="I5" s="3251" t="s">
        <v>2541</v>
      </c>
      <c r="J5" s="3252"/>
      <c r="K5" s="608"/>
      <c r="L5" s="1127"/>
      <c r="M5" s="1128"/>
      <c r="N5" s="1128"/>
      <c r="O5" s="1128"/>
      <c r="P5" s="3326"/>
      <c r="Q5" s="3265"/>
      <c r="R5" s="3247"/>
      <c r="S5" s="3248"/>
      <c r="T5" s="3247"/>
      <c r="U5" s="3248"/>
      <c r="V5" s="3270"/>
      <c r="W5" s="3270"/>
      <c r="X5" s="1809"/>
      <c r="Y5" s="3247"/>
      <c r="Z5" s="3248"/>
      <c r="AA5" s="3241"/>
      <c r="AB5" s="3241"/>
      <c r="AC5" s="3322"/>
    </row>
    <row r="6" spans="1:29" ht="15.75" thickBot="1">
      <c r="A6" s="404"/>
      <c r="B6" s="405"/>
      <c r="C6" s="3253" t="s">
        <v>2542</v>
      </c>
      <c r="D6" s="3254"/>
      <c r="E6" s="3255" t="s">
        <v>2542</v>
      </c>
      <c r="F6" s="3256"/>
      <c r="G6" s="3253" t="s">
        <v>2542</v>
      </c>
      <c r="H6" s="3254"/>
      <c r="I6" s="3253" t="s">
        <v>2542</v>
      </c>
      <c r="J6" s="3254"/>
      <c r="K6" s="608" t="s">
        <v>2543</v>
      </c>
      <c r="L6" s="1127"/>
      <c r="M6" s="1128"/>
      <c r="N6" s="1128"/>
      <c r="O6" s="1128"/>
      <c r="P6" s="3327"/>
      <c r="Q6" s="3267"/>
      <c r="R6" s="3247"/>
      <c r="S6" s="3248"/>
      <c r="T6" s="3268"/>
      <c r="U6" s="3269"/>
      <c r="V6" s="3270"/>
      <c r="W6" s="3270"/>
      <c r="X6" s="1809"/>
      <c r="Y6" s="3268"/>
      <c r="Z6" s="3269"/>
      <c r="AA6" s="3242"/>
      <c r="AB6" s="3242"/>
      <c r="AC6" s="3323"/>
    </row>
    <row r="7" spans="1:29" s="117" customFormat="1" ht="15.75" thickBot="1">
      <c r="A7" s="406" t="s">
        <v>2544</v>
      </c>
      <c r="B7" s="407"/>
      <c r="C7" s="408">
        <f>'数据-取费表'!B2</f>
        <v>43905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29" t="s">
        <v>2545</v>
      </c>
      <c r="Q7" s="3271"/>
      <c r="R7" s="767" t="s">
        <v>17</v>
      </c>
      <c r="S7" s="768">
        <f t="shared" ref="S7:S15" si="0">F7</f>
        <v>0</v>
      </c>
      <c r="T7" s="767" t="s">
        <v>17</v>
      </c>
      <c r="U7" s="768">
        <f t="shared" ref="U7:U15" si="1">H7</f>
        <v>0</v>
      </c>
      <c r="V7" s="767" t="s">
        <v>17</v>
      </c>
      <c r="W7" s="768">
        <f t="shared" ref="W7:W15" si="2">J7</f>
        <v>0</v>
      </c>
      <c r="X7" s="769"/>
      <c r="Y7" s="3243" t="s">
        <v>2545</v>
      </c>
      <c r="Z7" s="3244"/>
      <c r="AA7" s="770" t="e">
        <f>D7/F7</f>
        <v>#DIV/0!</v>
      </c>
      <c r="AB7" s="770" t="e">
        <f>D7/H7</f>
        <v>#DIV/0!</v>
      </c>
      <c r="AC7" s="2669" t="e">
        <f>D7/J7</f>
        <v>#DIV/0!</v>
      </c>
    </row>
    <row r="8" spans="1:29" s="117"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29" t="s">
        <v>2548</v>
      </c>
      <c r="Q8" s="3244"/>
      <c r="R8" s="767" t="s">
        <v>17</v>
      </c>
      <c r="S8" s="768">
        <f t="shared" si="0"/>
        <v>0</v>
      </c>
      <c r="T8" s="767" t="s">
        <v>17</v>
      </c>
      <c r="U8" s="768">
        <f t="shared" si="1"/>
        <v>0</v>
      </c>
      <c r="V8" s="767" t="s">
        <v>17</v>
      </c>
      <c r="W8" s="768">
        <f t="shared" si="2"/>
        <v>0</v>
      </c>
      <c r="X8" s="769"/>
      <c r="Y8" s="3243" t="s">
        <v>2548</v>
      </c>
      <c r="Z8" s="3244"/>
      <c r="AA8" s="770" t="e">
        <f t="shared" ref="AA8:AA47" si="3">D8/F8</f>
        <v>#DIV/0!</v>
      </c>
      <c r="AB8" s="770" t="e">
        <f t="shared" ref="AB8:AB47" si="4">D8/H8</f>
        <v>#DIV/0!</v>
      </c>
      <c r="AC8" s="2669" t="e">
        <f t="shared" ref="AC8:AC47" si="5">D8/J8</f>
        <v>#DIV/0!</v>
      </c>
    </row>
    <row r="9" spans="1:29" s="117" customFormat="1">
      <c r="A9" s="413" t="s">
        <v>2549</v>
      </c>
      <c r="B9" s="71" t="s">
        <v>2550</v>
      </c>
      <c r="C9" s="414"/>
      <c r="D9" s="135">
        <v>100</v>
      </c>
      <c r="E9" s="417"/>
      <c r="F9" s="135">
        <f>SUMIF(64:64,E9,65:65)-SUMIF(64:64,C9,65:65)+100</f>
        <v>100</v>
      </c>
      <c r="G9" s="415"/>
      <c r="H9" s="135">
        <f>SUMIF(64:64,G9,65:65)-SUMIF(64:64,C9,65:65)+100</f>
        <v>100</v>
      </c>
      <c r="I9" s="415"/>
      <c r="J9" s="135">
        <f>SUMIF(64:64,I9,65:65)-SUMIF(64:64,C9,65:65)+100</f>
        <v>100</v>
      </c>
      <c r="K9" s="609"/>
      <c r="L9" s="1129"/>
      <c r="M9" s="1130"/>
      <c r="N9" s="1130"/>
      <c r="O9" s="1130"/>
      <c r="P9" s="3281" t="s">
        <v>2551</v>
      </c>
      <c r="Q9" s="1791" t="str">
        <f t="shared" ref="Q9:Q15" si="6">B9</f>
        <v>用途</v>
      </c>
      <c r="R9" s="767" t="s">
        <v>17</v>
      </c>
      <c r="S9" s="768">
        <f t="shared" si="0"/>
        <v>100</v>
      </c>
      <c r="T9" s="767" t="s">
        <v>17</v>
      </c>
      <c r="U9" s="768">
        <f t="shared" si="1"/>
        <v>100</v>
      </c>
      <c r="V9" s="767" t="s">
        <v>17</v>
      </c>
      <c r="W9" s="768">
        <f t="shared" si="2"/>
        <v>100</v>
      </c>
      <c r="X9" s="769"/>
      <c r="Y9" s="3091" t="s">
        <v>2552</v>
      </c>
      <c r="Z9" s="55" t="str">
        <f t="shared" ref="Z9:Z15" si="7">Q9</f>
        <v>用途</v>
      </c>
      <c r="AA9" s="770">
        <f t="shared" si="3"/>
        <v>1</v>
      </c>
      <c r="AB9" s="770">
        <f t="shared" si="4"/>
        <v>1</v>
      </c>
      <c r="AC9" s="2669">
        <f t="shared" si="5"/>
        <v>1</v>
      </c>
    </row>
    <row r="10" spans="1:29" s="425" customFormat="1" ht="27">
      <c r="A10" s="419"/>
      <c r="B10" s="420" t="s">
        <v>2553</v>
      </c>
      <c r="C10" s="421"/>
      <c r="D10" s="136">
        <v>100</v>
      </c>
      <c r="E10" s="421"/>
      <c r="F10" s="136">
        <f>SUMIF(66:66,E10,67:67)-SUMIF(66:66,C10,67:67)+100</f>
        <v>100</v>
      </c>
      <c r="G10" s="422"/>
      <c r="H10" s="136">
        <f>SUMIF(66:66,G10,67:67)-SUMIF(66:66,C10,67:67)+100</f>
        <v>100</v>
      </c>
      <c r="I10" s="421"/>
      <c r="J10" s="136">
        <f>SUMIF(66:66,I10,67:67)-SUMIF(66:66,C10,67:67)+100</f>
        <v>100</v>
      </c>
      <c r="K10" s="610"/>
      <c r="L10" s="1132"/>
      <c r="M10" s="1133"/>
      <c r="N10" s="1133"/>
      <c r="O10" s="1133"/>
      <c r="P10" s="3281"/>
      <c r="Q10" s="1791" t="str">
        <f t="shared" si="6"/>
        <v>土地使用年限（年）</v>
      </c>
      <c r="R10" s="767" t="s">
        <v>17</v>
      </c>
      <c r="S10" s="768">
        <f t="shared" si="0"/>
        <v>100</v>
      </c>
      <c r="T10" s="767" t="s">
        <v>17</v>
      </c>
      <c r="U10" s="768">
        <f t="shared" si="1"/>
        <v>100</v>
      </c>
      <c r="V10" s="767" t="s">
        <v>17</v>
      </c>
      <c r="W10" s="768">
        <f t="shared" si="2"/>
        <v>100</v>
      </c>
      <c r="X10" s="769"/>
      <c r="Y10" s="3091"/>
      <c r="Z10" s="55" t="str">
        <f t="shared" si="7"/>
        <v>土地使用年限（年）</v>
      </c>
      <c r="AA10" s="770">
        <f t="shared" si="3"/>
        <v>1</v>
      </c>
      <c r="AB10" s="770">
        <f t="shared" si="4"/>
        <v>1</v>
      </c>
      <c r="AC10" s="2669">
        <f t="shared" si="5"/>
        <v>1</v>
      </c>
    </row>
    <row r="11" spans="1:29" ht="15">
      <c r="A11" s="426"/>
      <c r="B11" s="420" t="s">
        <v>2554</v>
      </c>
      <c r="C11" s="427"/>
      <c r="D11" s="136">
        <v>100</v>
      </c>
      <c r="E11" s="427"/>
      <c r="F11" s="136" t="e">
        <f>LOOKUP(E11,69:69,70:70)-LOOKUP(C11,69:69,70:70)+100</f>
        <v>#N/A</v>
      </c>
      <c r="G11" s="428"/>
      <c r="H11" s="136" t="e">
        <f>LOOKUP(G11,69:69,70:70)-LOOKUP(C11,69:69,70:70)+100</f>
        <v>#N/A</v>
      </c>
      <c r="I11" s="427"/>
      <c r="J11" s="136" t="e">
        <f>LOOKUP(I11,69:69,70:70)-LOOKUP(C11,69:69,70:70)+100</f>
        <v>#N/A</v>
      </c>
      <c r="K11" s="610"/>
      <c r="L11" s="1135"/>
      <c r="M11" s="1128"/>
      <c r="N11" s="1128"/>
      <c r="O11" s="1128"/>
      <c r="P11" s="3281"/>
      <c r="Q11" s="1791" t="str">
        <f t="shared" si="6"/>
        <v>容积率</v>
      </c>
      <c r="R11" s="767" t="s">
        <v>17</v>
      </c>
      <c r="S11" s="768" t="e">
        <f t="shared" si="0"/>
        <v>#N/A</v>
      </c>
      <c r="T11" s="767" t="s">
        <v>17</v>
      </c>
      <c r="U11" s="768" t="e">
        <f t="shared" si="1"/>
        <v>#N/A</v>
      </c>
      <c r="V11" s="767" t="s">
        <v>17</v>
      </c>
      <c r="W11" s="768" t="e">
        <f t="shared" si="2"/>
        <v>#N/A</v>
      </c>
      <c r="X11" s="769"/>
      <c r="Y11" s="3091"/>
      <c r="Z11" s="55" t="str">
        <f t="shared" si="7"/>
        <v>容积率</v>
      </c>
      <c r="AA11" s="770" t="e">
        <f t="shared" si="3"/>
        <v>#N/A</v>
      </c>
      <c r="AB11" s="770" t="e">
        <f t="shared" si="4"/>
        <v>#N/A</v>
      </c>
      <c r="AC11" s="2669" t="e">
        <f t="shared" si="5"/>
        <v>#N/A</v>
      </c>
    </row>
    <row r="12" spans="1:29" s="117" customFormat="1" ht="15">
      <c r="A12" s="429"/>
      <c r="B12" s="2598">
        <v>111</v>
      </c>
      <c r="C12" s="430"/>
      <c r="D12" s="431">
        <v>100</v>
      </c>
      <c r="E12" s="430"/>
      <c r="F12" s="136">
        <f>SUMIF(71:71,E12,72:72)-SUMIF(71:71,C12,72:72)+100</f>
        <v>100</v>
      </c>
      <c r="G12" s="2670"/>
      <c r="H12" s="136">
        <f>SUMIF(71:71,G12,72:72)-SUMIF(71:71,C12,72:72)+100</f>
        <v>100</v>
      </c>
      <c r="I12" s="430"/>
      <c r="J12" s="136">
        <f>SUMIF(71:71,I12,72:72)-SUMIF(71:71,C12,72:72)+100</f>
        <v>100</v>
      </c>
      <c r="K12" s="611"/>
      <c r="L12" s="1129"/>
      <c r="M12" s="1130"/>
      <c r="N12" s="1130"/>
      <c r="O12" s="1130"/>
      <c r="P12" s="3281"/>
      <c r="Q12" s="1791">
        <f t="shared" si="6"/>
        <v>111</v>
      </c>
      <c r="R12" s="767" t="s">
        <v>17</v>
      </c>
      <c r="S12" s="768">
        <f t="shared" si="0"/>
        <v>100</v>
      </c>
      <c r="T12" s="767" t="s">
        <v>17</v>
      </c>
      <c r="U12" s="768">
        <f t="shared" si="1"/>
        <v>100</v>
      </c>
      <c r="V12" s="767" t="s">
        <v>17</v>
      </c>
      <c r="W12" s="768">
        <f t="shared" si="2"/>
        <v>100</v>
      </c>
      <c r="X12" s="769"/>
      <c r="Y12" s="3091"/>
      <c r="Z12" s="55">
        <f t="shared" si="7"/>
        <v>111</v>
      </c>
      <c r="AA12" s="770">
        <f>D12/F12</f>
        <v>1</v>
      </c>
      <c r="AB12" s="770">
        <f>D12/H12</f>
        <v>1</v>
      </c>
      <c r="AC12" s="2669">
        <f>D12/J12</f>
        <v>1</v>
      </c>
    </row>
    <row r="13" spans="1:29" ht="15">
      <c r="A13" s="426"/>
      <c r="B13" s="2598">
        <v>111</v>
      </c>
      <c r="C13" s="432"/>
      <c r="D13" s="433">
        <v>100</v>
      </c>
      <c r="E13" s="430"/>
      <c r="F13" s="136">
        <f>SUMIF(73:73,E13,74:74)-SUMIF(73:73,C13,74:74)+100</f>
        <v>100</v>
      </c>
      <c r="G13" s="2670"/>
      <c r="H13" s="433">
        <f>SUMIF(73:73,G13,74:74)-SUMIF(73:73,C13,74:74)+100</f>
        <v>100</v>
      </c>
      <c r="I13" s="430"/>
      <c r="J13" s="433">
        <f>SUMIF(73:73,I13,74:74)-SUMIF(73:73,C13,74:74)+100</f>
        <v>100</v>
      </c>
      <c r="K13" s="611"/>
      <c r="L13" s="1137"/>
      <c r="M13" s="1128"/>
      <c r="N13" s="1128"/>
      <c r="O13" s="1128"/>
      <c r="P13" s="3281"/>
      <c r="Q13" s="1791">
        <f t="shared" si="6"/>
        <v>111</v>
      </c>
      <c r="R13" s="767" t="s">
        <v>17</v>
      </c>
      <c r="S13" s="768">
        <f t="shared" si="0"/>
        <v>100</v>
      </c>
      <c r="T13" s="767" t="s">
        <v>17</v>
      </c>
      <c r="U13" s="768">
        <f t="shared" si="1"/>
        <v>100</v>
      </c>
      <c r="V13" s="767" t="s">
        <v>17</v>
      </c>
      <c r="W13" s="768">
        <f t="shared" si="2"/>
        <v>100</v>
      </c>
      <c r="X13" s="769"/>
      <c r="Y13" s="3091"/>
      <c r="Z13" s="55">
        <f t="shared" si="7"/>
        <v>111</v>
      </c>
      <c r="AA13" s="770">
        <f t="shared" si="3"/>
        <v>1</v>
      </c>
      <c r="AB13" s="770">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37"/>
      <c r="M14" s="1128"/>
      <c r="N14" s="1128"/>
      <c r="O14" s="1128"/>
      <c r="P14" s="3281"/>
      <c r="Q14" s="1791">
        <f t="shared" si="6"/>
        <v>111</v>
      </c>
      <c r="R14" s="767" t="s">
        <v>17</v>
      </c>
      <c r="S14" s="768">
        <f t="shared" si="0"/>
        <v>100</v>
      </c>
      <c r="T14" s="767" t="s">
        <v>17</v>
      </c>
      <c r="U14" s="768">
        <f t="shared" si="1"/>
        <v>100</v>
      </c>
      <c r="V14" s="767" t="s">
        <v>17</v>
      </c>
      <c r="W14" s="768">
        <f t="shared" si="2"/>
        <v>100</v>
      </c>
      <c r="X14" s="769"/>
      <c r="Y14" s="3091"/>
      <c r="Z14" s="55">
        <f t="shared" si="7"/>
        <v>111</v>
      </c>
      <c r="AA14" s="770">
        <f t="shared" si="3"/>
        <v>1</v>
      </c>
      <c r="AB14" s="770">
        <f t="shared" si="4"/>
        <v>1</v>
      </c>
      <c r="AC14" s="2669">
        <f t="shared" si="5"/>
        <v>1</v>
      </c>
    </row>
    <row r="15" spans="1:29" ht="71.25">
      <c r="A15" s="438" t="s">
        <v>2555</v>
      </c>
      <c r="B15" s="627" t="s">
        <v>2683</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16" t="s">
        <v>2556</v>
      </c>
      <c r="Q15" s="1806" t="str">
        <f t="shared" si="6"/>
        <v>办公集聚程度</v>
      </c>
      <c r="R15" s="771" t="s">
        <v>17</v>
      </c>
      <c r="S15" s="772">
        <f t="shared" si="0"/>
        <v>100</v>
      </c>
      <c r="T15" s="771" t="s">
        <v>17</v>
      </c>
      <c r="U15" s="772">
        <f t="shared" si="1"/>
        <v>100</v>
      </c>
      <c r="V15" s="771" t="s">
        <v>17</v>
      </c>
      <c r="W15" s="772">
        <f t="shared" si="2"/>
        <v>100</v>
      </c>
      <c r="X15" s="1809"/>
      <c r="Y15" s="3272" t="s">
        <v>2556</v>
      </c>
      <c r="Z15" s="1810" t="str">
        <f t="shared" si="7"/>
        <v>办公集聚程度</v>
      </c>
      <c r="AA15" s="1807">
        <f t="shared" si="3"/>
        <v>1</v>
      </c>
      <c r="AB15" s="1807">
        <f t="shared" si="4"/>
        <v>1</v>
      </c>
      <c r="AC15" s="2672">
        <f t="shared" si="5"/>
        <v>1</v>
      </c>
    </row>
    <row r="16" spans="1:29" ht="15">
      <c r="A16" s="426"/>
      <c r="B16" s="628"/>
      <c r="C16" s="2609"/>
      <c r="D16" s="446"/>
      <c r="E16" s="445"/>
      <c r="F16" s="446"/>
      <c r="G16" s="2609"/>
      <c r="H16" s="448"/>
      <c r="I16" s="445"/>
      <c r="J16" s="446"/>
      <c r="K16" s="613"/>
      <c r="L16" s="1137"/>
      <c r="M16" s="1128"/>
      <c r="N16" s="1128"/>
      <c r="O16" s="1128"/>
      <c r="P16" s="3317"/>
      <c r="Q16" s="1806"/>
      <c r="R16" s="771"/>
      <c r="S16" s="772"/>
      <c r="T16" s="771"/>
      <c r="U16" s="772"/>
      <c r="V16" s="771"/>
      <c r="W16" s="772"/>
      <c r="X16" s="1809"/>
      <c r="Y16" s="3273"/>
      <c r="Z16" s="1810"/>
      <c r="AA16" s="1807">
        <v>1</v>
      </c>
      <c r="AB16" s="1807">
        <v>1</v>
      </c>
      <c r="AC16" s="2672">
        <v>1</v>
      </c>
    </row>
    <row r="17" spans="1:29" ht="71.25">
      <c r="A17" s="426"/>
      <c r="B17" s="629" t="s">
        <v>2096</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17"/>
      <c r="Q17" s="1806" t="str">
        <f>B17</f>
        <v>交通便捷度</v>
      </c>
      <c r="R17" s="771" t="s">
        <v>17</v>
      </c>
      <c r="S17" s="772">
        <f>F17</f>
        <v>100</v>
      </c>
      <c r="T17" s="771" t="s">
        <v>17</v>
      </c>
      <c r="U17" s="772">
        <f>H17</f>
        <v>100</v>
      </c>
      <c r="V17" s="771" t="s">
        <v>17</v>
      </c>
      <c r="W17" s="772">
        <f>J17</f>
        <v>100</v>
      </c>
      <c r="X17" s="1809"/>
      <c r="Y17" s="3273"/>
      <c r="Z17" s="1810" t="str">
        <f>Q17</f>
        <v>交通便捷度</v>
      </c>
      <c r="AA17" s="1807">
        <f t="shared" si="3"/>
        <v>1</v>
      </c>
      <c r="AB17" s="1807">
        <f t="shared" si="4"/>
        <v>1</v>
      </c>
      <c r="AC17" s="2672">
        <f t="shared" si="5"/>
        <v>1</v>
      </c>
    </row>
    <row r="18" spans="1:29" ht="15">
      <c r="A18" s="426"/>
      <c r="B18" s="630"/>
      <c r="C18" s="2674"/>
      <c r="D18" s="448"/>
      <c r="E18" s="2607"/>
      <c r="F18" s="448"/>
      <c r="G18" s="2608"/>
      <c r="H18" s="446"/>
      <c r="I18" s="2608"/>
      <c r="J18" s="446"/>
      <c r="K18" s="613"/>
      <c r="L18" s="1137"/>
      <c r="M18" s="1128"/>
      <c r="N18" s="1128"/>
      <c r="O18" s="1128"/>
      <c r="P18" s="3317"/>
      <c r="Q18" s="1806"/>
      <c r="R18" s="771"/>
      <c r="S18" s="772"/>
      <c r="T18" s="771"/>
      <c r="U18" s="772"/>
      <c r="V18" s="771"/>
      <c r="W18" s="772"/>
      <c r="X18" s="1809"/>
      <c r="Y18" s="3273"/>
      <c r="Z18" s="1810"/>
      <c r="AA18" s="1807">
        <v>1</v>
      </c>
      <c r="AB18" s="1807">
        <v>1</v>
      </c>
      <c r="AC18" s="2672">
        <v>1</v>
      </c>
    </row>
    <row r="19" spans="1:29" ht="42.75">
      <c r="A19" s="426"/>
      <c r="B19" s="629" t="s">
        <v>2684</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17"/>
      <c r="Q19" s="1806" t="str">
        <f>B19</f>
        <v>公共配套设施</v>
      </c>
      <c r="R19" s="771" t="s">
        <v>17</v>
      </c>
      <c r="S19" s="772">
        <f>F19</f>
        <v>100</v>
      </c>
      <c r="T19" s="771" t="s">
        <v>17</v>
      </c>
      <c r="U19" s="772">
        <f>H19</f>
        <v>100</v>
      </c>
      <c r="V19" s="771" t="s">
        <v>17</v>
      </c>
      <c r="W19" s="772">
        <f>J19</f>
        <v>100</v>
      </c>
      <c r="X19" s="1809"/>
      <c r="Y19" s="3273"/>
      <c r="Z19" s="1810" t="str">
        <f>Q19</f>
        <v>公共配套设施</v>
      </c>
      <c r="AA19" s="1807">
        <f t="shared" si="3"/>
        <v>1</v>
      </c>
      <c r="AB19" s="1807">
        <f t="shared" si="4"/>
        <v>1</v>
      </c>
      <c r="AC19" s="2672">
        <f t="shared" si="5"/>
        <v>1</v>
      </c>
    </row>
    <row r="20" spans="1:29" ht="15">
      <c r="A20" s="426"/>
      <c r="B20" s="630"/>
      <c r="C20" s="2609"/>
      <c r="D20" s="446"/>
      <c r="E20" s="2602"/>
      <c r="F20" s="446"/>
      <c r="G20" s="2603"/>
      <c r="H20" s="446"/>
      <c r="I20" s="2603"/>
      <c r="J20" s="446"/>
      <c r="K20" s="613"/>
      <c r="L20" s="1137"/>
      <c r="M20" s="1128"/>
      <c r="N20" s="1128"/>
      <c r="O20" s="1128"/>
      <c r="P20" s="3317"/>
      <c r="Q20" s="1806"/>
      <c r="R20" s="771"/>
      <c r="S20" s="772"/>
      <c r="T20" s="771"/>
      <c r="U20" s="772"/>
      <c r="V20" s="771"/>
      <c r="W20" s="772"/>
      <c r="X20" s="1809"/>
      <c r="Y20" s="3273"/>
      <c r="Z20" s="1810"/>
      <c r="AA20" s="1807">
        <v>1</v>
      </c>
      <c r="AB20" s="1807">
        <v>1</v>
      </c>
      <c r="AC20" s="2672">
        <v>1</v>
      </c>
    </row>
    <row r="21" spans="1:29" ht="28.5">
      <c r="A21" s="426"/>
      <c r="B21" s="631" t="s">
        <v>2685</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17"/>
      <c r="Q21" s="1806" t="str">
        <f>B21</f>
        <v>基础设施水平</v>
      </c>
      <c r="R21" s="771" t="s">
        <v>17</v>
      </c>
      <c r="S21" s="772">
        <f>F21</f>
        <v>100</v>
      </c>
      <c r="T21" s="771" t="s">
        <v>17</v>
      </c>
      <c r="U21" s="772">
        <f>H21</f>
        <v>100</v>
      </c>
      <c r="V21" s="771" t="s">
        <v>17</v>
      </c>
      <c r="W21" s="772">
        <f>J21</f>
        <v>100</v>
      </c>
      <c r="X21" s="1809"/>
      <c r="Y21" s="3273"/>
      <c r="Z21" s="1810" t="str">
        <f>Q21</f>
        <v>基础设施水平</v>
      </c>
      <c r="AA21" s="1807">
        <f t="shared" ref="AA21" si="8">D21/F21</f>
        <v>1</v>
      </c>
      <c r="AB21" s="1807">
        <f t="shared" ref="AB21" si="9">D21/H21</f>
        <v>1</v>
      </c>
      <c r="AC21" s="2672">
        <f t="shared" ref="AC21" si="10">D21/J21</f>
        <v>1</v>
      </c>
    </row>
    <row r="22" spans="1:29" ht="15">
      <c r="A22" s="426"/>
      <c r="B22" s="631"/>
      <c r="C22" s="2674"/>
      <c r="D22" s="446"/>
      <c r="E22" s="445"/>
      <c r="F22" s="446"/>
      <c r="G22" s="2609"/>
      <c r="H22" s="446"/>
      <c r="I22" s="2609"/>
      <c r="J22" s="446"/>
      <c r="K22" s="1380"/>
      <c r="L22" s="1137"/>
      <c r="M22" s="1128"/>
      <c r="N22" s="1128"/>
      <c r="O22" s="1128"/>
      <c r="P22" s="3317"/>
      <c r="Q22" s="1806"/>
      <c r="R22" s="771"/>
      <c r="S22" s="772"/>
      <c r="T22" s="771"/>
      <c r="U22" s="772"/>
      <c r="V22" s="771"/>
      <c r="W22" s="772"/>
      <c r="X22" s="1809"/>
      <c r="Y22" s="3273"/>
      <c r="Z22" s="1810"/>
      <c r="AA22" s="1807">
        <v>1</v>
      </c>
      <c r="AB22" s="1807">
        <v>1</v>
      </c>
      <c r="AC22" s="2672">
        <v>1</v>
      </c>
    </row>
    <row r="23" spans="1:29" ht="42.75">
      <c r="A23" s="426"/>
      <c r="B23" s="629" t="s">
        <v>2686</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17"/>
      <c r="Q23" s="1806" t="str">
        <f>B23</f>
        <v>环境质量</v>
      </c>
      <c r="R23" s="771" t="s">
        <v>17</v>
      </c>
      <c r="S23" s="772">
        <f>F23</f>
        <v>100</v>
      </c>
      <c r="T23" s="771" t="s">
        <v>17</v>
      </c>
      <c r="U23" s="772">
        <f>H23</f>
        <v>100</v>
      </c>
      <c r="V23" s="771" t="s">
        <v>17</v>
      </c>
      <c r="W23" s="772">
        <f>J23</f>
        <v>100</v>
      </c>
      <c r="X23" s="1809"/>
      <c r="Y23" s="3273"/>
      <c r="Z23" s="1810" t="str">
        <f>Q23</f>
        <v>环境质量</v>
      </c>
      <c r="AA23" s="1807">
        <f t="shared" si="3"/>
        <v>1</v>
      </c>
      <c r="AB23" s="1807">
        <f t="shared" si="4"/>
        <v>1</v>
      </c>
      <c r="AC23" s="2672">
        <f t="shared" si="5"/>
        <v>1</v>
      </c>
    </row>
    <row r="24" spans="1:29" ht="15">
      <c r="A24" s="426"/>
      <c r="B24" s="631"/>
      <c r="C24" s="2609"/>
      <c r="D24" s="446"/>
      <c r="E24" s="2602"/>
      <c r="F24" s="446"/>
      <c r="G24" s="2603"/>
      <c r="H24" s="446"/>
      <c r="I24" s="2603"/>
      <c r="J24" s="446"/>
      <c r="K24" s="613"/>
      <c r="L24" s="1137"/>
      <c r="M24" s="1128"/>
      <c r="N24" s="1128"/>
      <c r="O24" s="1128"/>
      <c r="P24" s="3317"/>
      <c r="Q24" s="1806"/>
      <c r="R24" s="771"/>
      <c r="S24" s="772"/>
      <c r="T24" s="771"/>
      <c r="U24" s="772"/>
      <c r="V24" s="771"/>
      <c r="W24" s="772"/>
      <c r="X24" s="1809"/>
      <c r="Y24" s="3273"/>
      <c r="Z24" s="1810"/>
      <c r="AA24" s="1807">
        <v>1</v>
      </c>
      <c r="AB24" s="1807">
        <v>1</v>
      </c>
      <c r="AC24" s="2672">
        <v>1</v>
      </c>
    </row>
    <row r="25" spans="1:29" ht="27">
      <c r="A25" s="402"/>
      <c r="B25" s="629" t="s">
        <v>2687</v>
      </c>
      <c r="C25" s="2613"/>
      <c r="D25" s="433">
        <v>100</v>
      </c>
      <c r="E25" s="432"/>
      <c r="F25" s="433">
        <f>SUMIF(87:87,E26,88:88)-SUMIF(87:87,C26,88:88)+100</f>
        <v>100</v>
      </c>
      <c r="G25" s="2613"/>
      <c r="H25" s="433">
        <f>SUMIF(87:87,G26,88:88)-SUMIF(87:87,C26,88:88)+100</f>
        <v>100</v>
      </c>
      <c r="I25" s="432"/>
      <c r="J25" s="433">
        <f>SUMIF(87:87,I26,88:88)-SUMIF(87:87,C26,88:88)+100</f>
        <v>100</v>
      </c>
      <c r="K25" s="612"/>
      <c r="L25" s="1137"/>
      <c r="M25" s="1128"/>
      <c r="N25" s="1128"/>
      <c r="O25" s="1128"/>
      <c r="P25" s="3317"/>
      <c r="Q25" s="1806" t="str">
        <f>B25</f>
        <v>毗邻道路的类型与等级</v>
      </c>
      <c r="R25" s="771" t="s">
        <v>17</v>
      </c>
      <c r="S25" s="772">
        <f>F25</f>
        <v>100</v>
      </c>
      <c r="T25" s="771" t="s">
        <v>17</v>
      </c>
      <c r="U25" s="772">
        <f>H25</f>
        <v>100</v>
      </c>
      <c r="V25" s="771" t="s">
        <v>17</v>
      </c>
      <c r="W25" s="772">
        <f>J25</f>
        <v>100</v>
      </c>
      <c r="X25" s="1809"/>
      <c r="Y25" s="3273"/>
      <c r="Z25" s="1810" t="str">
        <f>Q25</f>
        <v>毗邻道路的类型与等级</v>
      </c>
      <c r="AA25" s="1807">
        <f t="shared" si="3"/>
        <v>1</v>
      </c>
      <c r="AB25" s="1807">
        <f t="shared" si="4"/>
        <v>1</v>
      </c>
      <c r="AC25" s="2672">
        <f t="shared" si="5"/>
        <v>1</v>
      </c>
    </row>
    <row r="26" spans="1:29" ht="15">
      <c r="A26" s="402"/>
      <c r="B26" s="630"/>
      <c r="C26" s="632"/>
      <c r="D26" s="433"/>
      <c r="E26" s="614"/>
      <c r="F26" s="433"/>
      <c r="G26" s="632"/>
      <c r="H26" s="433"/>
      <c r="I26" s="614"/>
      <c r="J26" s="433"/>
      <c r="K26" s="613"/>
      <c r="L26" s="1137"/>
      <c r="M26" s="1128"/>
      <c r="N26" s="1128"/>
      <c r="O26" s="1128"/>
      <c r="P26" s="3317"/>
      <c r="Q26" s="1806"/>
      <c r="R26" s="771"/>
      <c r="S26" s="772"/>
      <c r="T26" s="771"/>
      <c r="U26" s="772"/>
      <c r="V26" s="771"/>
      <c r="W26" s="772"/>
      <c r="X26" s="1809"/>
      <c r="Y26" s="3273"/>
      <c r="Z26" s="1810"/>
      <c r="AA26" s="1807">
        <v>1</v>
      </c>
      <c r="AB26" s="1807">
        <v>1</v>
      </c>
      <c r="AC26" s="2672">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17"/>
      <c r="Q27" s="1806" t="str">
        <f t="shared" ref="Q27:Q47" si="11">B27</f>
        <v>楼层</v>
      </c>
      <c r="R27" s="771" t="s">
        <v>17</v>
      </c>
      <c r="S27" s="772">
        <f>F27</f>
        <v>100</v>
      </c>
      <c r="T27" s="771" t="s">
        <v>17</v>
      </c>
      <c r="U27" s="772">
        <f>H27</f>
        <v>100</v>
      </c>
      <c r="V27" s="771" t="s">
        <v>17</v>
      </c>
      <c r="W27" s="772">
        <f>J27</f>
        <v>100</v>
      </c>
      <c r="X27" s="1809"/>
      <c r="Y27" s="3273"/>
      <c r="Z27" s="1810" t="str">
        <f>Q27</f>
        <v>楼层</v>
      </c>
      <c r="AA27" s="1807">
        <f t="shared" si="3"/>
        <v>1</v>
      </c>
      <c r="AB27" s="1807">
        <f t="shared" si="4"/>
        <v>1</v>
      </c>
      <c r="AC27" s="2672">
        <f t="shared" si="5"/>
        <v>1</v>
      </c>
    </row>
    <row r="28" spans="1:29" s="117" customFormat="1" ht="15">
      <c r="A28" s="429"/>
      <c r="B28" s="629" t="s">
        <v>2688</v>
      </c>
      <c r="C28" s="2675"/>
      <c r="D28" s="460">
        <v>100</v>
      </c>
      <c r="E28" s="2663"/>
      <c r="F28" s="460">
        <f>SUMIF(91:91,E28,92:92)-SUMIF(91:91,C28,92:92)+100</f>
        <v>100</v>
      </c>
      <c r="G28" s="2675"/>
      <c r="H28" s="460">
        <f>SUMIF(91:91,G28,92:92)-SUMIF(91:91,C28,92:92)+100</f>
        <v>100</v>
      </c>
      <c r="I28" s="2663"/>
      <c r="J28" s="460">
        <f>SUMIF(91:91,I28,92:92)-SUMIF(91:91,C28,92:92)+100</f>
        <v>100</v>
      </c>
      <c r="K28" s="610"/>
      <c r="L28" s="1129"/>
      <c r="M28" s="1130"/>
      <c r="N28" s="1130"/>
      <c r="O28" s="1130"/>
      <c r="P28" s="3317"/>
      <c r="Q28" s="1791" t="str">
        <f t="shared" si="11"/>
        <v>朝向</v>
      </c>
      <c r="R28" s="767" t="s">
        <v>17</v>
      </c>
      <c r="S28" s="768">
        <f>F28</f>
        <v>100</v>
      </c>
      <c r="T28" s="767" t="s">
        <v>17</v>
      </c>
      <c r="U28" s="768">
        <f>H28</f>
        <v>100</v>
      </c>
      <c r="V28" s="767" t="s">
        <v>17</v>
      </c>
      <c r="W28" s="768">
        <f>J28</f>
        <v>100</v>
      </c>
      <c r="X28" s="769"/>
      <c r="Y28" s="3273"/>
      <c r="Z28" s="55" t="str">
        <f>Q28</f>
        <v>朝向</v>
      </c>
      <c r="AA28" s="1807">
        <f>D28/F28</f>
        <v>1</v>
      </c>
      <c r="AB28" s="1807">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7"/>
      <c r="M29" s="1128"/>
      <c r="N29" s="1128"/>
      <c r="O29" s="1128"/>
      <c r="P29" s="3317"/>
      <c r="Q29" s="1806">
        <f t="shared" si="11"/>
        <v>111</v>
      </c>
      <c r="R29" s="771" t="s">
        <v>17</v>
      </c>
      <c r="S29" s="772">
        <f t="shared" ref="S29:S47" si="12">F29</f>
        <v>100</v>
      </c>
      <c r="T29" s="771" t="s">
        <v>17</v>
      </c>
      <c r="U29" s="772">
        <f t="shared" ref="U29:U47" si="13">H29</f>
        <v>100</v>
      </c>
      <c r="V29" s="771" t="s">
        <v>17</v>
      </c>
      <c r="W29" s="772">
        <f t="shared" ref="W29:W47" si="14">J29</f>
        <v>100</v>
      </c>
      <c r="X29" s="1809"/>
      <c r="Y29" s="3273"/>
      <c r="Z29" s="1810">
        <f t="shared" ref="Z29:Z47" si="15">Q29</f>
        <v>111</v>
      </c>
      <c r="AA29" s="1807">
        <f t="shared" si="3"/>
        <v>1</v>
      </c>
      <c r="AB29" s="1807">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7"/>
      <c r="M30" s="1128"/>
      <c r="N30" s="1128"/>
      <c r="O30" s="1128"/>
      <c r="P30" s="3317"/>
      <c r="Q30" s="1806">
        <f t="shared" si="11"/>
        <v>111</v>
      </c>
      <c r="R30" s="771" t="s">
        <v>17</v>
      </c>
      <c r="S30" s="772">
        <f t="shared" si="12"/>
        <v>100</v>
      </c>
      <c r="T30" s="771" t="s">
        <v>17</v>
      </c>
      <c r="U30" s="772">
        <f t="shared" si="13"/>
        <v>100</v>
      </c>
      <c r="V30" s="771" t="s">
        <v>17</v>
      </c>
      <c r="W30" s="772">
        <f t="shared" si="14"/>
        <v>100</v>
      </c>
      <c r="X30" s="1809"/>
      <c r="Y30" s="3273"/>
      <c r="Z30" s="1810">
        <f t="shared" si="15"/>
        <v>111</v>
      </c>
      <c r="AA30" s="1807">
        <f t="shared" si="3"/>
        <v>1</v>
      </c>
      <c r="AB30" s="1807">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7"/>
      <c r="M31" s="1128"/>
      <c r="N31" s="1128"/>
      <c r="O31" s="1128"/>
      <c r="P31" s="3317"/>
      <c r="Q31" s="1806">
        <f t="shared" si="11"/>
        <v>111</v>
      </c>
      <c r="R31" s="771" t="s">
        <v>17</v>
      </c>
      <c r="S31" s="772">
        <f t="shared" si="12"/>
        <v>100</v>
      </c>
      <c r="T31" s="771" t="s">
        <v>17</v>
      </c>
      <c r="U31" s="772">
        <f t="shared" si="13"/>
        <v>100</v>
      </c>
      <c r="V31" s="771" t="s">
        <v>17</v>
      </c>
      <c r="W31" s="772">
        <f t="shared" si="14"/>
        <v>100</v>
      </c>
      <c r="X31" s="1809"/>
      <c r="Y31" s="3273"/>
      <c r="Z31" s="1810">
        <f t="shared" si="15"/>
        <v>111</v>
      </c>
      <c r="AA31" s="1807">
        <f t="shared" si="3"/>
        <v>1</v>
      </c>
      <c r="AB31" s="1807">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37"/>
      <c r="M32" s="1128"/>
      <c r="N32" s="1128"/>
      <c r="O32" s="1128"/>
      <c r="P32" s="3317"/>
      <c r="Q32" s="1806">
        <f t="shared" si="11"/>
        <v>111</v>
      </c>
      <c r="R32" s="771" t="s">
        <v>17</v>
      </c>
      <c r="S32" s="772">
        <f t="shared" si="12"/>
        <v>100</v>
      </c>
      <c r="T32" s="771" t="s">
        <v>17</v>
      </c>
      <c r="U32" s="772">
        <f t="shared" si="13"/>
        <v>100</v>
      </c>
      <c r="V32" s="771" t="s">
        <v>17</v>
      </c>
      <c r="W32" s="772">
        <f t="shared" si="14"/>
        <v>100</v>
      </c>
      <c r="X32" s="1809"/>
      <c r="Y32" s="3273"/>
      <c r="Z32" s="1810">
        <f t="shared" si="15"/>
        <v>111</v>
      </c>
      <c r="AA32" s="1807">
        <f t="shared" si="3"/>
        <v>1</v>
      </c>
      <c r="AB32" s="1807">
        <f t="shared" si="4"/>
        <v>1</v>
      </c>
      <c r="AC32" s="2672">
        <f t="shared" si="5"/>
        <v>1</v>
      </c>
    </row>
    <row r="33" spans="1:29" ht="15">
      <c r="A33" s="438" t="s">
        <v>2559</v>
      </c>
      <c r="B33" s="71" t="s">
        <v>2689</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7"/>
      <c r="M33" s="1128"/>
      <c r="N33" s="1128"/>
      <c r="O33" s="1128"/>
      <c r="P33" s="3312" t="s">
        <v>2561</v>
      </c>
      <c r="Q33" s="1806" t="str">
        <f t="shared" si="11"/>
        <v>建筑类型</v>
      </c>
      <c r="R33" s="771" t="s">
        <v>17</v>
      </c>
      <c r="S33" s="772">
        <f t="shared" si="12"/>
        <v>100</v>
      </c>
      <c r="T33" s="771" t="s">
        <v>17</v>
      </c>
      <c r="U33" s="772">
        <f t="shared" si="13"/>
        <v>100</v>
      </c>
      <c r="V33" s="771" t="s">
        <v>17</v>
      </c>
      <c r="W33" s="772">
        <f t="shared" si="14"/>
        <v>100</v>
      </c>
      <c r="X33" s="1809"/>
      <c r="Y33" s="3275" t="s">
        <v>2561</v>
      </c>
      <c r="Z33" s="1810" t="str">
        <f t="shared" si="15"/>
        <v>建筑类型</v>
      </c>
      <c r="AA33" s="1807">
        <f t="shared" si="3"/>
        <v>1</v>
      </c>
      <c r="AB33" s="1807">
        <f t="shared" si="4"/>
        <v>1</v>
      </c>
      <c r="AC33" s="2672">
        <f t="shared" si="5"/>
        <v>1</v>
      </c>
    </row>
    <row r="34" spans="1:29" s="469" customFormat="1" ht="15">
      <c r="A34" s="466"/>
      <c r="B34" s="420" t="s">
        <v>2562</v>
      </c>
      <c r="C34" s="467"/>
      <c r="D34" s="136">
        <v>100</v>
      </c>
      <c r="E34" s="428"/>
      <c r="F34" s="423" t="e">
        <f>LOOKUP(E34,104:104,105:105)-LOOKUP(C34,104:104,105:105)+100</f>
        <v>#N/A</v>
      </c>
      <c r="G34" s="427"/>
      <c r="H34" s="136" t="e">
        <f>LOOKUP(G34,104:104,105:105)-LOOKUP(C34,104:104,105:105)+100</f>
        <v>#N/A</v>
      </c>
      <c r="I34" s="427"/>
      <c r="J34" s="136" t="e">
        <f>LOOKUP(I34,104:104,105:105)-LOOKUP(C34,104:104,105:105)+100</f>
        <v>#N/A</v>
      </c>
      <c r="K34" s="611"/>
      <c r="L34" s="1135"/>
      <c r="M34" s="1138"/>
      <c r="N34" s="1138"/>
      <c r="O34" s="1138"/>
      <c r="P34" s="3313"/>
      <c r="Q34" s="773" t="str">
        <f t="shared" si="11"/>
        <v>项目建筑规模</v>
      </c>
      <c r="R34" s="774" t="s">
        <v>17</v>
      </c>
      <c r="S34" s="775" t="e">
        <f t="shared" si="12"/>
        <v>#N/A</v>
      </c>
      <c r="T34" s="774" t="s">
        <v>17</v>
      </c>
      <c r="U34" s="775" t="e">
        <f t="shared" si="13"/>
        <v>#N/A</v>
      </c>
      <c r="V34" s="774" t="s">
        <v>17</v>
      </c>
      <c r="W34" s="775" t="e">
        <f t="shared" si="14"/>
        <v>#N/A</v>
      </c>
      <c r="X34" s="776"/>
      <c r="Y34" s="3275"/>
      <c r="Z34" s="777" t="str">
        <f t="shared" si="15"/>
        <v>项目建筑规模</v>
      </c>
      <c r="AA34" s="1807" t="e">
        <f t="shared" si="3"/>
        <v>#N/A</v>
      </c>
      <c r="AB34" s="1807" t="e">
        <f t="shared" si="4"/>
        <v>#N/A</v>
      </c>
      <c r="AC34" s="2672"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13"/>
      <c r="Q35" s="1806" t="str">
        <f t="shared" si="11"/>
        <v>建筑结构</v>
      </c>
      <c r="R35" s="771" t="s">
        <v>17</v>
      </c>
      <c r="S35" s="772">
        <f t="shared" si="12"/>
        <v>100</v>
      </c>
      <c r="T35" s="771" t="s">
        <v>17</v>
      </c>
      <c r="U35" s="772">
        <f t="shared" si="13"/>
        <v>100</v>
      </c>
      <c r="V35" s="771" t="s">
        <v>17</v>
      </c>
      <c r="W35" s="772">
        <f t="shared" si="14"/>
        <v>100</v>
      </c>
      <c r="X35" s="1809"/>
      <c r="Y35" s="3275"/>
      <c r="Z35" s="1810" t="str">
        <f t="shared" si="15"/>
        <v>建筑结构</v>
      </c>
      <c r="AA35" s="1807">
        <f t="shared" si="3"/>
        <v>1</v>
      </c>
      <c r="AB35" s="1807">
        <f t="shared" si="4"/>
        <v>1</v>
      </c>
      <c r="AC35" s="2672">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13"/>
      <c r="Q36" s="1806" t="str">
        <f t="shared" si="11"/>
        <v>公共部分装修</v>
      </c>
      <c r="R36" s="771" t="s">
        <v>17</v>
      </c>
      <c r="S36" s="772">
        <f t="shared" si="12"/>
        <v>100</v>
      </c>
      <c r="T36" s="771" t="s">
        <v>17</v>
      </c>
      <c r="U36" s="772">
        <f t="shared" si="13"/>
        <v>100</v>
      </c>
      <c r="V36" s="771" t="s">
        <v>17</v>
      </c>
      <c r="W36" s="772">
        <f t="shared" si="14"/>
        <v>100</v>
      </c>
      <c r="X36" s="1809"/>
      <c r="Y36" s="3275"/>
      <c r="Z36" s="1810" t="str">
        <f t="shared" si="15"/>
        <v>公共部分装修</v>
      </c>
      <c r="AA36" s="1807">
        <f t="shared" si="3"/>
        <v>1</v>
      </c>
      <c r="AB36" s="1807">
        <f t="shared" si="4"/>
        <v>1</v>
      </c>
      <c r="AC36" s="2672">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13"/>
      <c r="Q37" s="1806" t="str">
        <f t="shared" si="11"/>
        <v>成新度</v>
      </c>
      <c r="R37" s="771" t="s">
        <v>17</v>
      </c>
      <c r="S37" s="772" t="e">
        <f t="shared" si="12"/>
        <v>#N/A</v>
      </c>
      <c r="T37" s="771" t="s">
        <v>17</v>
      </c>
      <c r="U37" s="772" t="e">
        <f t="shared" si="13"/>
        <v>#N/A</v>
      </c>
      <c r="V37" s="771" t="s">
        <v>17</v>
      </c>
      <c r="W37" s="772" t="e">
        <f t="shared" si="14"/>
        <v>#N/A</v>
      </c>
      <c r="X37" s="1809"/>
      <c r="Y37" s="3275"/>
      <c r="Z37" s="1810" t="str">
        <f t="shared" si="15"/>
        <v>成新度</v>
      </c>
      <c r="AA37" s="1807" t="e">
        <f t="shared" si="3"/>
        <v>#N/A</v>
      </c>
      <c r="AB37" s="1807" t="e">
        <f t="shared" si="4"/>
        <v>#N/A</v>
      </c>
      <c r="AC37" s="2672" t="e">
        <f t="shared" si="5"/>
        <v>#N/A</v>
      </c>
    </row>
    <row r="38" spans="1:29" s="117" customFormat="1" ht="15">
      <c r="A38" s="471"/>
      <c r="B38" s="420" t="s">
        <v>2690</v>
      </c>
      <c r="C38" s="458"/>
      <c r="D38" s="136">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13"/>
      <c r="Q38" s="1791" t="str">
        <f t="shared" si="11"/>
        <v>写字楼等级</v>
      </c>
      <c r="R38" s="767" t="s">
        <v>17</v>
      </c>
      <c r="S38" s="768">
        <f t="shared" si="12"/>
        <v>100</v>
      </c>
      <c r="T38" s="767" t="s">
        <v>17</v>
      </c>
      <c r="U38" s="768">
        <f t="shared" si="13"/>
        <v>100</v>
      </c>
      <c r="V38" s="767" t="s">
        <v>17</v>
      </c>
      <c r="W38" s="768">
        <f t="shared" si="14"/>
        <v>100</v>
      </c>
      <c r="X38" s="769"/>
      <c r="Y38" s="3275"/>
      <c r="Z38" s="55" t="str">
        <f t="shared" si="15"/>
        <v>写字楼等级</v>
      </c>
      <c r="AA38" s="770">
        <f t="shared" si="3"/>
        <v>1</v>
      </c>
      <c r="AB38" s="770">
        <f t="shared" si="4"/>
        <v>1</v>
      </c>
      <c r="AC38" s="2669">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13" t="s">
        <v>2561</v>
      </c>
      <c r="Q39" s="1806" t="str">
        <f t="shared" si="11"/>
        <v>物业管理</v>
      </c>
      <c r="R39" s="771" t="s">
        <v>17</v>
      </c>
      <c r="S39" s="772">
        <f t="shared" si="12"/>
        <v>100</v>
      </c>
      <c r="T39" s="771" t="s">
        <v>17</v>
      </c>
      <c r="U39" s="772">
        <f t="shared" si="13"/>
        <v>100</v>
      </c>
      <c r="V39" s="771" t="s">
        <v>17</v>
      </c>
      <c r="W39" s="772">
        <f t="shared" si="14"/>
        <v>100</v>
      </c>
      <c r="X39" s="1809"/>
      <c r="Y39" s="3275" t="s">
        <v>2561</v>
      </c>
      <c r="Z39" s="1810" t="str">
        <f t="shared" si="15"/>
        <v>物业管理</v>
      </c>
      <c r="AA39" s="1807">
        <f t="shared" si="3"/>
        <v>1</v>
      </c>
      <c r="AB39" s="1807">
        <f t="shared" si="4"/>
        <v>1</v>
      </c>
      <c r="AC39" s="2672">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13"/>
      <c r="Q40" s="1806" t="str">
        <f t="shared" si="11"/>
        <v>市政基础设施</v>
      </c>
      <c r="R40" s="771" t="s">
        <v>17</v>
      </c>
      <c r="S40" s="772">
        <f t="shared" si="12"/>
        <v>100</v>
      </c>
      <c r="T40" s="771" t="s">
        <v>17</v>
      </c>
      <c r="U40" s="772">
        <f t="shared" si="13"/>
        <v>100</v>
      </c>
      <c r="V40" s="771" t="s">
        <v>17</v>
      </c>
      <c r="W40" s="772">
        <f t="shared" si="14"/>
        <v>100</v>
      </c>
      <c r="X40" s="1809"/>
      <c r="Y40" s="3275"/>
      <c r="Z40" s="1810" t="str">
        <f t="shared" si="15"/>
        <v>市政基础设施</v>
      </c>
      <c r="AA40" s="1807">
        <f t="shared" si="3"/>
        <v>1</v>
      </c>
      <c r="AB40" s="1807">
        <f t="shared" si="4"/>
        <v>1</v>
      </c>
      <c r="AC40" s="2672">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13"/>
      <c r="Q41" s="1806" t="str">
        <f t="shared" si="11"/>
        <v>层高</v>
      </c>
      <c r="R41" s="771" t="s">
        <v>17</v>
      </c>
      <c r="S41" s="772">
        <f t="shared" si="12"/>
        <v>100</v>
      </c>
      <c r="T41" s="771" t="s">
        <v>17</v>
      </c>
      <c r="U41" s="772">
        <f t="shared" si="13"/>
        <v>100</v>
      </c>
      <c r="V41" s="771" t="s">
        <v>17</v>
      </c>
      <c r="W41" s="772">
        <f t="shared" si="14"/>
        <v>100</v>
      </c>
      <c r="X41" s="1809"/>
      <c r="Y41" s="3275"/>
      <c r="Z41" s="1810" t="str">
        <f t="shared" si="15"/>
        <v>层高</v>
      </c>
      <c r="AA41" s="1807">
        <f t="shared" si="3"/>
        <v>1</v>
      </c>
      <c r="AB41" s="1807">
        <f t="shared" si="4"/>
        <v>1</v>
      </c>
      <c r="AC41" s="2672">
        <f t="shared" si="5"/>
        <v>1</v>
      </c>
    </row>
    <row r="42" spans="1:29" s="469" customFormat="1" ht="15">
      <c r="A42" s="466"/>
      <c r="B42" s="1808"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13"/>
      <c r="Q42" s="773" t="str">
        <f t="shared" si="11"/>
        <v>单套建筑面积</v>
      </c>
      <c r="R42" s="774" t="s">
        <v>17</v>
      </c>
      <c r="S42" s="775">
        <f t="shared" si="12"/>
        <v>100</v>
      </c>
      <c r="T42" s="774" t="s">
        <v>17</v>
      </c>
      <c r="U42" s="775">
        <f t="shared" si="13"/>
        <v>100</v>
      </c>
      <c r="V42" s="774" t="s">
        <v>17</v>
      </c>
      <c r="W42" s="775">
        <f t="shared" si="14"/>
        <v>100</v>
      </c>
      <c r="X42" s="776"/>
      <c r="Y42" s="3275"/>
      <c r="Z42" s="777" t="str">
        <f t="shared" si="15"/>
        <v>单套建筑面积</v>
      </c>
      <c r="AA42" s="1807">
        <f t="shared" si="3"/>
        <v>1</v>
      </c>
      <c r="AB42" s="1807">
        <f t="shared" si="4"/>
        <v>1</v>
      </c>
      <c r="AC42" s="2672">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13"/>
      <c r="Q43" s="1806" t="str">
        <f t="shared" si="11"/>
        <v>内部装修</v>
      </c>
      <c r="R43" s="771" t="s">
        <v>17</v>
      </c>
      <c r="S43" s="772">
        <f t="shared" si="12"/>
        <v>100</v>
      </c>
      <c r="T43" s="771" t="s">
        <v>17</v>
      </c>
      <c r="U43" s="772">
        <f t="shared" si="13"/>
        <v>100</v>
      </c>
      <c r="V43" s="771" t="s">
        <v>17</v>
      </c>
      <c r="W43" s="772">
        <f t="shared" si="14"/>
        <v>100</v>
      </c>
      <c r="X43" s="1809"/>
      <c r="Y43" s="3275"/>
      <c r="Z43" s="1810" t="str">
        <f t="shared" si="15"/>
        <v>内部装修</v>
      </c>
      <c r="AA43" s="1807">
        <f t="shared" si="3"/>
        <v>1</v>
      </c>
      <c r="AB43" s="1807">
        <f t="shared" si="4"/>
        <v>1</v>
      </c>
      <c r="AC43" s="2672">
        <f t="shared" si="5"/>
        <v>1</v>
      </c>
    </row>
    <row r="44" spans="1:29" ht="15">
      <c r="A44" s="470"/>
      <c r="B44" s="420" t="s">
        <v>2572</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7"/>
      <c r="M44" s="1128"/>
      <c r="N44" s="1128"/>
      <c r="O44" s="1128"/>
      <c r="P44" s="3313"/>
      <c r="Q44" s="1806" t="str">
        <f t="shared" si="11"/>
        <v>内部装修维护情况</v>
      </c>
      <c r="R44" s="771" t="s">
        <v>17</v>
      </c>
      <c r="S44" s="772">
        <f t="shared" si="12"/>
        <v>100</v>
      </c>
      <c r="T44" s="771" t="s">
        <v>17</v>
      </c>
      <c r="U44" s="772">
        <f t="shared" si="13"/>
        <v>100</v>
      </c>
      <c r="V44" s="771" t="s">
        <v>17</v>
      </c>
      <c r="W44" s="772">
        <f t="shared" si="14"/>
        <v>100</v>
      </c>
      <c r="X44" s="1809"/>
      <c r="Y44" s="3275"/>
      <c r="Z44" s="1810" t="str">
        <f t="shared" si="15"/>
        <v>内部装修维护情况</v>
      </c>
      <c r="AA44" s="1807">
        <f t="shared" si="3"/>
        <v>1</v>
      </c>
      <c r="AB44" s="1807">
        <f t="shared" si="4"/>
        <v>1</v>
      </c>
      <c r="AC44" s="2672">
        <f t="shared" si="5"/>
        <v>1</v>
      </c>
    </row>
    <row r="45" spans="1:29" s="117" customFormat="1" ht="15">
      <c r="A45" s="471"/>
      <c r="B45" s="1383">
        <v>111</v>
      </c>
      <c r="C45" s="467"/>
      <c r="D45" s="136">
        <v>100</v>
      </c>
      <c r="E45" s="430"/>
      <c r="F45" s="423">
        <f>SUMIF(127:127,E45,128:128)-SUMIF(127:127,C45,128:128)+100</f>
        <v>100</v>
      </c>
      <c r="G45" s="430"/>
      <c r="H45" s="136">
        <f>SUMIF(127:127,G45,128:128)-SUMIF(127:127,C45,128:128)+100</f>
        <v>100</v>
      </c>
      <c r="I45" s="430"/>
      <c r="J45" s="136">
        <f>SUMIF(127:127,I45,128:128)-SUMIF(127:127,C45,128:128)+100</f>
        <v>100</v>
      </c>
      <c r="K45" s="611"/>
      <c r="L45" s="1129"/>
      <c r="M45" s="1130"/>
      <c r="N45" s="1130"/>
      <c r="O45" s="1130"/>
      <c r="P45" s="3313"/>
      <c r="Q45" s="1791">
        <f t="shared" si="11"/>
        <v>111</v>
      </c>
      <c r="R45" s="767" t="s">
        <v>17</v>
      </c>
      <c r="S45" s="768">
        <f t="shared" si="12"/>
        <v>100</v>
      </c>
      <c r="T45" s="767" t="s">
        <v>17</v>
      </c>
      <c r="U45" s="768">
        <f t="shared" si="13"/>
        <v>100</v>
      </c>
      <c r="V45" s="767" t="s">
        <v>17</v>
      </c>
      <c r="W45" s="768">
        <f t="shared" si="14"/>
        <v>100</v>
      </c>
      <c r="X45" s="769"/>
      <c r="Y45" s="3275"/>
      <c r="Z45" s="55">
        <f t="shared" si="15"/>
        <v>111</v>
      </c>
      <c r="AA45" s="770">
        <f t="shared" si="3"/>
        <v>1</v>
      </c>
      <c r="AB45" s="770">
        <f t="shared" si="4"/>
        <v>1</v>
      </c>
      <c r="AC45" s="2669">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13"/>
      <c r="Q46" s="1806">
        <f t="shared" si="11"/>
        <v>111</v>
      </c>
      <c r="R46" s="771" t="s">
        <v>17</v>
      </c>
      <c r="S46" s="772">
        <f t="shared" si="12"/>
        <v>100</v>
      </c>
      <c r="T46" s="771" t="s">
        <v>17</v>
      </c>
      <c r="U46" s="772">
        <f t="shared" si="13"/>
        <v>100</v>
      </c>
      <c r="V46" s="771" t="s">
        <v>17</v>
      </c>
      <c r="W46" s="772">
        <f t="shared" si="14"/>
        <v>100</v>
      </c>
      <c r="X46" s="1809"/>
      <c r="Y46" s="3275"/>
      <c r="Z46" s="1810">
        <f t="shared" si="15"/>
        <v>111</v>
      </c>
      <c r="AA46" s="1807">
        <f t="shared" si="3"/>
        <v>1</v>
      </c>
      <c r="AB46" s="1807">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14"/>
      <c r="Q47" s="1806">
        <f t="shared" si="11"/>
        <v>111</v>
      </c>
      <c r="R47" s="771" t="s">
        <v>17</v>
      </c>
      <c r="S47" s="772">
        <f t="shared" si="12"/>
        <v>100</v>
      </c>
      <c r="T47" s="771" t="s">
        <v>17</v>
      </c>
      <c r="U47" s="772">
        <f t="shared" si="13"/>
        <v>100</v>
      </c>
      <c r="V47" s="771" t="s">
        <v>17</v>
      </c>
      <c r="W47" s="772">
        <f t="shared" si="14"/>
        <v>100</v>
      </c>
      <c r="X47" s="1809"/>
      <c r="Y47" s="3315"/>
      <c r="Z47" s="1810">
        <f t="shared" si="15"/>
        <v>111</v>
      </c>
      <c r="AA47" s="1807">
        <f t="shared" si="3"/>
        <v>1</v>
      </c>
      <c r="AB47" s="1807">
        <f t="shared" si="4"/>
        <v>1</v>
      </c>
      <c r="AC47" s="2672">
        <f t="shared" si="5"/>
        <v>1</v>
      </c>
    </row>
    <row r="48" spans="1:29" ht="15">
      <c r="A48" s="477" t="s">
        <v>2573</v>
      </c>
      <c r="B48" s="478"/>
      <c r="C48" s="1404" t="s">
        <v>1</v>
      </c>
      <c r="D48" s="1405"/>
      <c r="E48" s="1406"/>
      <c r="F48" s="1407"/>
      <c r="G48" s="1408"/>
      <c r="H48" s="1409"/>
      <c r="I48" s="1406"/>
      <c r="J48" s="483"/>
      <c r="K48" s="780"/>
      <c r="L48" s="1140"/>
      <c r="M48" s="1128"/>
      <c r="N48" s="1128"/>
      <c r="O48" s="1128"/>
      <c r="P48" s="3281" t="str">
        <f>A48</f>
        <v>成交单价（元/平方米）</v>
      </c>
      <c r="Q48" s="3257"/>
      <c r="R48" s="3311">
        <f>E48</f>
        <v>0</v>
      </c>
      <c r="S48" s="3311"/>
      <c r="T48" s="3311">
        <f>G48</f>
        <v>0</v>
      </c>
      <c r="U48" s="3311"/>
      <c r="V48" s="3311">
        <f>I48</f>
        <v>0</v>
      </c>
      <c r="W48" s="3311"/>
      <c r="X48" s="444"/>
      <c r="Y48" s="778"/>
      <c r="Z48" s="444"/>
      <c r="AA48" s="444"/>
      <c r="AB48" s="444"/>
      <c r="AC48" s="628"/>
    </row>
    <row r="49" spans="1:29" ht="15.75" thickBot="1">
      <c r="A49" s="484" t="s">
        <v>2665</v>
      </c>
      <c r="B49" s="485"/>
      <c r="C49" s="1410" t="e">
        <f>R50</f>
        <v>#DIV/0!</v>
      </c>
      <c r="D49" s="1411"/>
      <c r="E49" s="1412" t="e">
        <f>R49</f>
        <v>#DIV/0!</v>
      </c>
      <c r="F49" s="1412"/>
      <c r="G49" s="1410" t="e">
        <f>T49</f>
        <v>#DIV/0!</v>
      </c>
      <c r="H49" s="1411"/>
      <c r="I49" s="1412" t="e">
        <f>V49</f>
        <v>#DIV/0!</v>
      </c>
      <c r="J49" s="487"/>
      <c r="K49" s="781"/>
      <c r="L49" s="1140"/>
      <c r="M49" s="1128"/>
      <c r="N49" s="1128"/>
      <c r="O49" s="1128"/>
      <c r="P49" s="3281" t="str">
        <f>A49</f>
        <v>比较价值（元/平方米）</v>
      </c>
      <c r="Q49" s="3257"/>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44"/>
      <c r="Y49" s="444"/>
      <c r="Z49" s="444"/>
      <c r="AA49" s="444"/>
      <c r="AB49" s="444"/>
      <c r="AC49" s="628"/>
    </row>
    <row r="50" spans="1:29" ht="15.75" thickBot="1">
      <c r="A50" s="490" t="s">
        <v>2666</v>
      </c>
      <c r="B50" s="491"/>
      <c r="C50" s="1414" t="e">
        <f>R50</f>
        <v>#DIV/0!</v>
      </c>
      <c r="D50" s="1414"/>
      <c r="E50" s="1414"/>
      <c r="F50" s="1414"/>
      <c r="G50" s="1414"/>
      <c r="H50" s="1414"/>
      <c r="I50" s="1414"/>
      <c r="J50" s="492"/>
      <c r="K50" s="782"/>
      <c r="L50" s="1140"/>
      <c r="M50" s="1128"/>
      <c r="N50" s="1128"/>
      <c r="O50" s="1128"/>
      <c r="P50" s="3330" t="str">
        <f>A50</f>
        <v>估价对象XX用房的比较价值（楼面单价，元/平方米）</v>
      </c>
      <c r="Q50" s="3331"/>
      <c r="R50" s="3332" t="e">
        <f>IF(F1="售价",ROUND(AVERAGE(R49:V49),0),ROUND(AVERAGE(R49:V49),1))</f>
        <v>#DIV/0!</v>
      </c>
      <c r="S50" s="3332"/>
      <c r="T50" s="3332"/>
      <c r="U50" s="3332"/>
      <c r="V50" s="3332"/>
      <c r="W50" s="3332"/>
      <c r="X50" s="2652"/>
      <c r="Y50" s="2652"/>
      <c r="Z50" s="2652"/>
      <c r="AA50" s="2652"/>
      <c r="AB50" s="2652"/>
      <c r="AC50" s="265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8"/>
    </row>
    <row r="56" spans="1:29" s="500" customFormat="1">
      <c r="A56" s="1142"/>
      <c r="B56" s="1143"/>
      <c r="C56" s="1147"/>
      <c r="D56" s="1142"/>
      <c r="E56" s="1142"/>
      <c r="F56" s="1142"/>
      <c r="G56" s="1142"/>
      <c r="H56" s="1142"/>
      <c r="I56" s="1142"/>
      <c r="J56" s="1142"/>
      <c r="K56" s="1145"/>
      <c r="L56" s="1146"/>
      <c r="M56" s="1142"/>
      <c r="N56" s="1142"/>
      <c r="O56" s="1142"/>
      <c r="P56" s="2678"/>
    </row>
    <row r="57" spans="1:29">
      <c r="A57" s="1141"/>
      <c r="B57" s="1143"/>
      <c r="C57" s="1147"/>
      <c r="D57" s="1141"/>
      <c r="E57" s="1141"/>
      <c r="F57" s="1141"/>
      <c r="G57" s="1141"/>
      <c r="H57" s="1141"/>
      <c r="I57" s="1141"/>
      <c r="J57" s="1141"/>
      <c r="K57" s="1102"/>
      <c r="L57" s="1103"/>
      <c r="M57" s="1141"/>
      <c r="N57" s="1141"/>
      <c r="O57" s="1141"/>
    </row>
    <row r="58" spans="1:29" ht="21.75" thickBot="1">
      <c r="A58" s="760" t="s">
        <v>2670</v>
      </c>
      <c r="B58" s="756"/>
      <c r="C58" s="761"/>
      <c r="D58" s="761"/>
      <c r="E58" s="761"/>
      <c r="F58" s="762"/>
      <c r="G58" s="762"/>
      <c r="H58" s="761"/>
      <c r="I58" s="761"/>
      <c r="J58" s="761"/>
      <c r="K58" s="763"/>
      <c r="L58" s="1158"/>
      <c r="M58" s="1156"/>
      <c r="N58" s="1156"/>
      <c r="O58" s="1156"/>
      <c r="P58" s="2679"/>
      <c r="Q58" s="502"/>
    </row>
    <row r="59" spans="1:29" s="506" customFormat="1" ht="15">
      <c r="A59" s="503" t="s">
        <v>2544</v>
      </c>
      <c r="B59" s="504"/>
      <c r="C59" s="1570" t="str">
        <f>YEAR(C7)&amp;"-"&amp;MONTH(C7)</f>
        <v>2020-3</v>
      </c>
      <c r="D59" s="1571">
        <f>EDATE(C59,-1)</f>
        <v>43862</v>
      </c>
      <c r="E59" s="1571">
        <f>EDATE(D59,-1)</f>
        <v>43831</v>
      </c>
      <c r="F59" s="1571">
        <f t="shared" ref="F59:O59" si="16">EDATE(E59,-1)</f>
        <v>43800</v>
      </c>
      <c r="G59" s="1571">
        <f t="shared" si="16"/>
        <v>43770</v>
      </c>
      <c r="H59" s="1571">
        <f t="shared" si="16"/>
        <v>43739</v>
      </c>
      <c r="I59" s="1571">
        <f t="shared" si="16"/>
        <v>43709</v>
      </c>
      <c r="J59" s="1571">
        <f t="shared" si="16"/>
        <v>43678</v>
      </c>
      <c r="K59" s="1571">
        <f t="shared" si="16"/>
        <v>43647</v>
      </c>
      <c r="L59" s="1571">
        <f t="shared" si="16"/>
        <v>43617</v>
      </c>
      <c r="M59" s="1571">
        <f t="shared" si="16"/>
        <v>43586</v>
      </c>
      <c r="N59" s="1571">
        <f t="shared" si="16"/>
        <v>43556</v>
      </c>
      <c r="O59" s="1571">
        <f t="shared" si="16"/>
        <v>43525</v>
      </c>
      <c r="P59" s="1567"/>
    </row>
    <row r="60" spans="1:29" s="117" customFormat="1" ht="15">
      <c r="A60" s="507"/>
      <c r="B60" s="508"/>
      <c r="C60" s="1569">
        <v>100</v>
      </c>
      <c r="D60" s="510"/>
      <c r="E60" s="510"/>
      <c r="F60" s="510"/>
      <c r="G60" s="510"/>
      <c r="H60" s="510"/>
      <c r="I60" s="510"/>
      <c r="J60" s="510"/>
      <c r="K60" s="510"/>
      <c r="L60" s="510"/>
      <c r="M60" s="511"/>
      <c r="N60" s="510"/>
      <c r="O60" s="511"/>
      <c r="P60" s="2680"/>
    </row>
    <row r="61" spans="1:29" s="117" customFormat="1" ht="15.75" thickBot="1">
      <c r="A61" s="513" t="s">
        <v>2581</v>
      </c>
      <c r="B61" s="514"/>
      <c r="C61" s="515"/>
      <c r="D61" s="516"/>
      <c r="E61" s="516"/>
      <c r="F61" s="516"/>
      <c r="G61" s="516"/>
      <c r="H61" s="516"/>
      <c r="I61" s="516"/>
      <c r="J61" s="516"/>
      <c r="K61" s="516"/>
      <c r="L61" s="516"/>
      <c r="M61" s="517"/>
      <c r="N61" s="516"/>
      <c r="O61" s="517"/>
      <c r="P61" s="2680"/>
      <c r="Q61" s="502"/>
    </row>
    <row r="62" spans="1:29" s="117" customFormat="1" ht="15">
      <c r="A62" s="519" t="s">
        <v>2546</v>
      </c>
      <c r="B62" s="508"/>
      <c r="C62" s="520" t="s">
        <v>2648</v>
      </c>
      <c r="D62" s="521"/>
      <c r="E62" s="521"/>
      <c r="F62" s="521"/>
      <c r="G62" s="521"/>
      <c r="H62" s="521"/>
      <c r="I62" s="521"/>
      <c r="J62" s="521"/>
      <c r="K62" s="521"/>
      <c r="L62" s="522"/>
      <c r="M62" s="523"/>
      <c r="N62" s="1148"/>
      <c r="O62" s="1148"/>
      <c r="P62" s="2681"/>
      <c r="Q62" s="502"/>
    </row>
    <row r="63" spans="1:29" s="117" customFormat="1" ht="15.75" thickBot="1">
      <c r="A63" s="519"/>
      <c r="B63" s="508"/>
      <c r="C63" s="509">
        <v>100</v>
      </c>
      <c r="D63" s="510"/>
      <c r="E63" s="510"/>
      <c r="F63" s="510"/>
      <c r="G63" s="510"/>
      <c r="H63" s="510"/>
      <c r="I63" s="510"/>
      <c r="J63" s="510"/>
      <c r="K63" s="510"/>
      <c r="L63" s="510"/>
      <c r="M63" s="512"/>
      <c r="N63" s="1148"/>
      <c r="O63" s="1148"/>
      <c r="P63" s="2680"/>
      <c r="Q63" s="502"/>
    </row>
    <row r="64" spans="1:29">
      <c r="A64" s="525" t="s">
        <v>2584</v>
      </c>
      <c r="B64" s="526" t="s">
        <v>2550</v>
      </c>
      <c r="C64" s="527">
        <f>C9</f>
        <v>0</v>
      </c>
      <c r="D64" s="528"/>
      <c r="E64" s="528"/>
      <c r="F64" s="528"/>
      <c r="G64" s="528"/>
      <c r="H64" s="528"/>
      <c r="I64" s="528"/>
      <c r="J64" s="528"/>
      <c r="K64" s="529"/>
      <c r="L64" s="530"/>
      <c r="M64" s="531"/>
      <c r="N64" s="1149"/>
      <c r="O64" s="1149"/>
      <c r="P64" s="2682"/>
      <c r="Q64" s="502"/>
    </row>
    <row r="65" spans="1:17" ht="15.75" thickBot="1">
      <c r="A65" s="532"/>
      <c r="B65" s="533"/>
      <c r="C65" s="534">
        <v>100</v>
      </c>
      <c r="D65" s="534"/>
      <c r="E65" s="534"/>
      <c r="F65" s="534"/>
      <c r="G65" s="534"/>
      <c r="H65" s="534"/>
      <c r="I65" s="534"/>
      <c r="J65" s="534"/>
      <c r="K65" s="534"/>
      <c r="L65" s="534"/>
      <c r="M65" s="535"/>
      <c r="N65" s="1150"/>
      <c r="O65" s="1150"/>
      <c r="P65" s="2682"/>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49"/>
      <c r="O66" s="1149"/>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2"/>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2"/>
      <c r="Q68" s="502"/>
    </row>
    <row r="69" spans="1:17" ht="15">
      <c r="A69" s="532"/>
      <c r="B69" s="546"/>
      <c r="C69" s="547"/>
      <c r="D69" s="547"/>
      <c r="E69" s="547"/>
      <c r="F69" s="547"/>
      <c r="G69" s="547"/>
      <c r="H69" s="547"/>
      <c r="I69" s="547"/>
      <c r="J69" s="547"/>
      <c r="K69" s="548"/>
      <c r="L69" s="549"/>
      <c r="M69" s="550"/>
      <c r="N69" s="1149"/>
      <c r="O69" s="1149"/>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2"/>
      <c r="Q70" s="502"/>
    </row>
    <row r="71" spans="1:17" s="469" customFormat="1" ht="15.75" thickTop="1">
      <c r="A71" s="551"/>
      <c r="B71" s="536">
        <f>B12</f>
        <v>111</v>
      </c>
      <c r="C71" s="552"/>
      <c r="D71" s="552"/>
      <c r="E71" s="552"/>
      <c r="F71" s="552"/>
      <c r="G71" s="552"/>
      <c r="H71" s="553"/>
      <c r="I71" s="553"/>
      <c r="J71" s="553"/>
      <c r="K71" s="553"/>
      <c r="L71" s="554"/>
      <c r="M71" s="555"/>
      <c r="N71" s="1151"/>
      <c r="O71" s="1151"/>
      <c r="P71" s="2683"/>
      <c r="Q71" s="557"/>
    </row>
    <row r="72" spans="1:17" s="469" customFormat="1" ht="15.75" thickBot="1">
      <c r="A72" s="551"/>
      <c r="B72" s="541"/>
      <c r="C72" s="558"/>
      <c r="D72" s="534"/>
      <c r="E72" s="534"/>
      <c r="F72" s="534"/>
      <c r="G72" s="534"/>
      <c r="H72" s="534"/>
      <c r="I72" s="534"/>
      <c r="J72" s="534"/>
      <c r="K72" s="534"/>
      <c r="L72" s="534"/>
      <c r="M72" s="535"/>
      <c r="N72" s="1150"/>
      <c r="O72" s="1150"/>
      <c r="P72" s="2683"/>
      <c r="Q72" s="557"/>
    </row>
    <row r="73" spans="1:17" s="469" customFormat="1" ht="15.75" thickTop="1">
      <c r="A73" s="551"/>
      <c r="B73" s="536">
        <f>B13</f>
        <v>111</v>
      </c>
      <c r="C73" s="552"/>
      <c r="D73" s="552"/>
      <c r="E73" s="552"/>
      <c r="F73" s="552"/>
      <c r="G73" s="552"/>
      <c r="H73" s="553"/>
      <c r="I73" s="553"/>
      <c r="J73" s="553"/>
      <c r="K73" s="553"/>
      <c r="L73" s="554"/>
      <c r="M73" s="555"/>
      <c r="N73" s="1151"/>
      <c r="O73" s="1151"/>
      <c r="P73" s="2684"/>
      <c r="Q73" s="559"/>
    </row>
    <row r="74" spans="1:17" s="469" customFormat="1" ht="15.75" thickBot="1">
      <c r="A74" s="551"/>
      <c r="B74" s="541"/>
      <c r="C74" s="558"/>
      <c r="D74" s="558"/>
      <c r="E74" s="558"/>
      <c r="F74" s="558"/>
      <c r="G74" s="558"/>
      <c r="H74" s="560"/>
      <c r="I74" s="560"/>
      <c r="J74" s="560"/>
      <c r="K74" s="560"/>
      <c r="L74" s="560"/>
      <c r="M74" s="561"/>
      <c r="N74" s="1151"/>
      <c r="O74" s="1151"/>
      <c r="P74" s="2683"/>
      <c r="Q74" s="557"/>
    </row>
    <row r="75" spans="1:17" s="469" customFormat="1" ht="15.75" thickTop="1">
      <c r="A75" s="551"/>
      <c r="B75" s="544">
        <f>B14</f>
        <v>111</v>
      </c>
      <c r="C75" s="521"/>
      <c r="D75" s="521"/>
      <c r="E75" s="521"/>
      <c r="F75" s="521"/>
      <c r="G75" s="521"/>
      <c r="H75" s="562"/>
      <c r="I75" s="562"/>
      <c r="J75" s="562"/>
      <c r="K75" s="562"/>
      <c r="L75" s="563"/>
      <c r="M75" s="564"/>
      <c r="N75" s="1151"/>
      <c r="O75" s="1151"/>
      <c r="P75" s="2685"/>
      <c r="Q75" s="557"/>
    </row>
    <row r="76" spans="1:17" s="469" customFormat="1" ht="15.75" thickBot="1">
      <c r="A76" s="566"/>
      <c r="B76" s="567"/>
      <c r="C76" s="568"/>
      <c r="D76" s="568"/>
      <c r="E76" s="568"/>
      <c r="F76" s="568"/>
      <c r="G76" s="568"/>
      <c r="H76" s="569"/>
      <c r="I76" s="569"/>
      <c r="J76" s="569"/>
      <c r="K76" s="569"/>
      <c r="L76" s="569"/>
      <c r="M76" s="570"/>
      <c r="N76" s="1151"/>
      <c r="O76" s="1151"/>
      <c r="P76" s="2683"/>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49"/>
      <c r="O77" s="1149"/>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2"/>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49"/>
      <c r="O79" s="1149"/>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2"/>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49"/>
      <c r="O81" s="1149"/>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2"/>
      <c r="Q82" s="502"/>
    </row>
    <row r="83" spans="1:17" ht="15.75" thickTop="1">
      <c r="A83" s="532"/>
      <c r="B83" s="544" t="s">
        <v>2685</v>
      </c>
      <c r="C83" s="658" t="s">
        <v>2671</v>
      </c>
      <c r="D83" s="658" t="s">
        <v>2672</v>
      </c>
      <c r="E83" s="658" t="s">
        <v>2673</v>
      </c>
      <c r="F83" s="658" t="s">
        <v>2674</v>
      </c>
      <c r="G83" s="658" t="s">
        <v>2675</v>
      </c>
      <c r="H83" s="537"/>
      <c r="I83" s="537"/>
      <c r="J83" s="537"/>
      <c r="K83" s="537"/>
      <c r="L83" s="537"/>
      <c r="M83" s="1379"/>
      <c r="N83" s="1150"/>
      <c r="O83" s="1150"/>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2"/>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49"/>
      <c r="O85" s="1149"/>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2"/>
      <c r="Q86" s="502"/>
    </row>
    <row r="87" spans="1:17" s="117" customFormat="1" ht="27.75" thickTop="1">
      <c r="A87" s="577"/>
      <c r="B87" s="536" t="s">
        <v>2695</v>
      </c>
      <c r="C87" s="552"/>
      <c r="D87" s="552"/>
      <c r="E87" s="552"/>
      <c r="F87" s="552"/>
      <c r="G87" s="552"/>
      <c r="H87" s="552"/>
      <c r="I87" s="552"/>
      <c r="J87" s="552"/>
      <c r="K87" s="552"/>
      <c r="L87" s="578"/>
      <c r="M87" s="579"/>
      <c r="N87" s="1148"/>
      <c r="O87" s="1148"/>
      <c r="P87" s="2682"/>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2"/>
      <c r="Q88" s="502"/>
    </row>
    <row r="89" spans="1:17" s="117" customFormat="1" ht="15.75" thickTop="1">
      <c r="A89" s="577"/>
      <c r="B89" s="536" t="str">
        <f>B27</f>
        <v>楼层</v>
      </c>
      <c r="C89" s="552"/>
      <c r="D89" s="552"/>
      <c r="E89" s="552"/>
      <c r="F89" s="2633"/>
      <c r="G89" s="552"/>
      <c r="H89" s="552"/>
      <c r="I89" s="552"/>
      <c r="J89" s="552"/>
      <c r="K89" s="552"/>
      <c r="L89" s="552"/>
      <c r="M89" s="579"/>
      <c r="N89" s="1148"/>
      <c r="O89" s="1148"/>
      <c r="P89" s="2682"/>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2"/>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3"/>
      <c r="Q92" s="557"/>
    </row>
    <row r="93" spans="1:17" ht="15.75" thickTop="1">
      <c r="A93" s="532"/>
      <c r="B93" s="536">
        <f>B29</f>
        <v>111</v>
      </c>
      <c r="C93" s="552"/>
      <c r="D93" s="552"/>
      <c r="E93" s="552"/>
      <c r="F93" s="552"/>
      <c r="G93" s="552"/>
      <c r="H93" s="552"/>
      <c r="I93" s="552"/>
      <c r="J93" s="552"/>
      <c r="K93" s="552"/>
      <c r="L93" s="578"/>
      <c r="M93" s="579"/>
      <c r="N93" s="1149"/>
      <c r="O93" s="1149"/>
      <c r="P93" s="2682"/>
      <c r="Q93" s="502"/>
    </row>
    <row r="94" spans="1:17" ht="15.75" thickBot="1">
      <c r="A94" s="532"/>
      <c r="B94" s="541"/>
      <c r="C94" s="558"/>
      <c r="D94" s="534"/>
      <c r="E94" s="534"/>
      <c r="F94" s="534"/>
      <c r="G94" s="534"/>
      <c r="H94" s="534"/>
      <c r="I94" s="534"/>
      <c r="J94" s="534"/>
      <c r="K94" s="534"/>
      <c r="L94" s="534"/>
      <c r="M94" s="535"/>
      <c r="N94" s="1150"/>
      <c r="O94" s="1150"/>
      <c r="P94" s="2682"/>
      <c r="Q94" s="502"/>
    </row>
    <row r="95" spans="1:17" ht="15.75" thickTop="1">
      <c r="A95" s="532"/>
      <c r="B95" s="536">
        <f>B30</f>
        <v>111</v>
      </c>
      <c r="C95" s="552"/>
      <c r="D95" s="552"/>
      <c r="E95" s="552"/>
      <c r="F95" s="552"/>
      <c r="G95" s="581"/>
      <c r="H95" s="581"/>
      <c r="I95" s="581"/>
      <c r="J95" s="581"/>
      <c r="K95" s="582"/>
      <c r="L95" s="583"/>
      <c r="M95" s="584"/>
      <c r="N95" s="1149"/>
      <c r="O95" s="1149"/>
      <c r="P95" s="2682"/>
      <c r="Q95" s="502"/>
    </row>
    <row r="96" spans="1:17" ht="15.75" thickBot="1">
      <c r="A96" s="532"/>
      <c r="B96" s="541"/>
      <c r="C96" s="558"/>
      <c r="D96" s="558"/>
      <c r="E96" s="558"/>
      <c r="F96" s="558"/>
      <c r="G96" s="534"/>
      <c r="H96" s="534"/>
      <c r="I96" s="534"/>
      <c r="J96" s="534"/>
      <c r="K96" s="534"/>
      <c r="L96" s="534"/>
      <c r="M96" s="535"/>
      <c r="N96" s="1150"/>
      <c r="O96" s="1150"/>
      <c r="P96" s="2682"/>
      <c r="Q96" s="502"/>
    </row>
    <row r="97" spans="1:17" ht="15.75" thickTop="1">
      <c r="A97" s="532"/>
      <c r="B97" s="536">
        <f>B31</f>
        <v>111</v>
      </c>
      <c r="C97" s="552"/>
      <c r="D97" s="552"/>
      <c r="E97" s="552"/>
      <c r="F97" s="552"/>
      <c r="G97" s="581"/>
      <c r="H97" s="581"/>
      <c r="I97" s="581"/>
      <c r="J97" s="581"/>
      <c r="K97" s="582"/>
      <c r="L97" s="583"/>
      <c r="M97" s="584"/>
      <c r="N97" s="1149"/>
      <c r="O97" s="1149"/>
      <c r="P97" s="2682"/>
      <c r="Q97" s="502"/>
    </row>
    <row r="98" spans="1:17" ht="15.75" thickBot="1">
      <c r="A98" s="532"/>
      <c r="B98" s="541"/>
      <c r="C98" s="558"/>
      <c r="D98" s="534"/>
      <c r="E98" s="534"/>
      <c r="F98" s="534"/>
      <c r="G98" s="534"/>
      <c r="H98" s="534"/>
      <c r="I98" s="534"/>
      <c r="J98" s="534"/>
      <c r="K98" s="534"/>
      <c r="L98" s="534"/>
      <c r="M98" s="535"/>
      <c r="N98" s="1150"/>
      <c r="O98" s="1150"/>
      <c r="P98" s="2682"/>
      <c r="Q98" s="502"/>
    </row>
    <row r="99" spans="1:17" ht="15.75" thickTop="1">
      <c r="A99" s="532"/>
      <c r="B99" s="544">
        <f>B32</f>
        <v>111</v>
      </c>
      <c r="C99" s="521"/>
      <c r="D99" s="521"/>
      <c r="E99" s="521"/>
      <c r="F99" s="521"/>
      <c r="G99" s="585"/>
      <c r="H99" s="585"/>
      <c r="I99" s="585"/>
      <c r="J99" s="585"/>
      <c r="K99" s="586"/>
      <c r="L99" s="587"/>
      <c r="M99" s="588"/>
      <c r="N99" s="1149"/>
      <c r="O99" s="1149"/>
      <c r="P99" s="2682"/>
      <c r="Q99" s="502"/>
    </row>
    <row r="100" spans="1:17" ht="15.75" thickBot="1">
      <c r="A100" s="2634"/>
      <c r="B100" s="567"/>
      <c r="C100" s="568"/>
      <c r="D100" s="568"/>
      <c r="E100" s="568"/>
      <c r="F100" s="568"/>
      <c r="G100" s="589"/>
      <c r="H100" s="589"/>
      <c r="I100" s="589"/>
      <c r="J100" s="589"/>
      <c r="K100" s="589"/>
      <c r="L100" s="589"/>
      <c r="M100" s="590"/>
      <c r="N100" s="1150"/>
      <c r="O100" s="1150"/>
      <c r="P100" s="2682"/>
      <c r="Q100" s="502"/>
    </row>
    <row r="101" spans="1:17">
      <c r="A101" s="525" t="s">
        <v>2559</v>
      </c>
      <c r="B101" s="526" t="s">
        <v>2608</v>
      </c>
      <c r="C101" s="528"/>
      <c r="D101" s="528"/>
      <c r="E101" s="528"/>
      <c r="F101" s="528"/>
      <c r="G101" s="528"/>
      <c r="H101" s="528"/>
      <c r="I101" s="528"/>
      <c r="J101" s="528"/>
      <c r="K101" s="529"/>
      <c r="L101" s="530"/>
      <c r="M101" s="531"/>
      <c r="N101" s="1149"/>
      <c r="O101" s="1149"/>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2"/>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2"/>
      <c r="Q103" s="502"/>
    </row>
    <row r="104" spans="1:17" s="469" customFormat="1">
      <c r="A104" s="591"/>
      <c r="B104" s="592"/>
      <c r="C104" s="593"/>
      <c r="D104" s="593"/>
      <c r="E104" s="593"/>
      <c r="F104" s="593"/>
      <c r="G104" s="593"/>
      <c r="H104" s="593"/>
      <c r="I104" s="593"/>
      <c r="J104" s="594"/>
      <c r="K104" s="594"/>
      <c r="L104" s="595"/>
      <c r="M104" s="596"/>
      <c r="N104" s="1151"/>
      <c r="O104" s="1151"/>
      <c r="P104" s="2683"/>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3"/>
      <c r="Q105" s="557"/>
    </row>
    <row r="106" spans="1:17" ht="15" thickTop="1">
      <c r="A106" s="597"/>
      <c r="B106" s="536" t="s">
        <v>2610</v>
      </c>
      <c r="C106" s="552"/>
      <c r="D106" s="552"/>
      <c r="E106" s="581"/>
      <c r="F106" s="581"/>
      <c r="G106" s="581"/>
      <c r="H106" s="581"/>
      <c r="I106" s="581"/>
      <c r="J106" s="581"/>
      <c r="K106" s="582"/>
      <c r="L106" s="583"/>
      <c r="M106" s="584"/>
      <c r="N106" s="1149"/>
      <c r="O106" s="1149"/>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2"/>
      <c r="Q107" s="502"/>
    </row>
    <row r="108" spans="1:17" ht="15" thickTop="1">
      <c r="A108" s="597"/>
      <c r="B108" s="536" t="s">
        <v>2612</v>
      </c>
      <c r="C108" s="552"/>
      <c r="D108" s="552"/>
      <c r="E108" s="552"/>
      <c r="F108" s="581"/>
      <c r="G108" s="581"/>
      <c r="H108" s="581"/>
      <c r="I108" s="581"/>
      <c r="J108" s="581"/>
      <c r="K108" s="582"/>
      <c r="L108" s="583"/>
      <c r="M108" s="584"/>
      <c r="N108" s="1149"/>
      <c r="O108" s="1149"/>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2"/>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2"/>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2"/>
      <c r="Q112" s="502"/>
    </row>
    <row r="113" spans="1:17" s="469" customFormat="1" ht="15" thickTop="1">
      <c r="A113" s="591"/>
      <c r="B113" s="536" t="s">
        <v>2696</v>
      </c>
      <c r="C113" s="552"/>
      <c r="D113" s="552"/>
      <c r="E113" s="552"/>
      <c r="F113" s="552"/>
      <c r="G113" s="552"/>
      <c r="H113" s="581"/>
      <c r="I113" s="581"/>
      <c r="J113" s="581"/>
      <c r="K113" s="582"/>
      <c r="L113" s="583"/>
      <c r="M113" s="584"/>
      <c r="N113" s="1151"/>
      <c r="O113" s="1151"/>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3"/>
      <c r="Q114" s="557"/>
    </row>
    <row r="115" spans="1:17" ht="15" thickTop="1">
      <c r="A115" s="597"/>
      <c r="B115" s="536" t="s">
        <v>2613</v>
      </c>
      <c r="C115" s="552"/>
      <c r="D115" s="552"/>
      <c r="E115" s="581"/>
      <c r="F115" s="581"/>
      <c r="G115" s="581"/>
      <c r="H115" s="581"/>
      <c r="I115" s="581"/>
      <c r="J115" s="581"/>
      <c r="K115" s="582"/>
      <c r="L115" s="583"/>
      <c r="M115" s="584"/>
      <c r="N115" s="1149"/>
      <c r="O115" s="1149"/>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2"/>
      <c r="Q116" s="502"/>
    </row>
    <row r="117" spans="1:17" ht="15" thickTop="1">
      <c r="A117" s="597"/>
      <c r="B117" s="536" t="s">
        <v>2614</v>
      </c>
      <c r="C117" s="552"/>
      <c r="D117" s="552"/>
      <c r="E117" s="552"/>
      <c r="F117" s="552"/>
      <c r="G117" s="552"/>
      <c r="H117" s="581"/>
      <c r="I117" s="581"/>
      <c r="J117" s="581"/>
      <c r="K117" s="582"/>
      <c r="L117" s="583"/>
      <c r="M117" s="584"/>
      <c r="N117" s="1149"/>
      <c r="O117" s="1149"/>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2"/>
      <c r="Q118" s="502"/>
    </row>
    <row r="119" spans="1:17" ht="15" thickTop="1">
      <c r="A119" s="597"/>
      <c r="B119" s="634" t="s">
        <v>2697</v>
      </c>
      <c r="C119" s="581"/>
      <c r="D119" s="581"/>
      <c r="E119" s="581"/>
      <c r="F119" s="581"/>
      <c r="G119" s="581"/>
      <c r="H119" s="581"/>
      <c r="I119" s="581"/>
      <c r="J119" s="581"/>
      <c r="K119" s="581"/>
      <c r="L119" s="2687"/>
      <c r="M119" s="2688"/>
      <c r="N119" s="1150"/>
      <c r="O119" s="1150"/>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2"/>
      <c r="Q120" s="502"/>
    </row>
    <row r="121" spans="1:17" s="469" customFormat="1" ht="15" thickTop="1">
      <c r="A121" s="591"/>
      <c r="B121" s="536" t="s">
        <v>2680</v>
      </c>
      <c r="C121" s="552"/>
      <c r="D121" s="552"/>
      <c r="E121" s="552"/>
      <c r="F121" s="581"/>
      <c r="G121" s="553"/>
      <c r="H121" s="553"/>
      <c r="I121" s="553"/>
      <c r="J121" s="553"/>
      <c r="K121" s="553"/>
      <c r="L121" s="554"/>
      <c r="M121" s="555"/>
      <c r="N121" s="1151"/>
      <c r="O121" s="1151"/>
      <c r="P121" s="2683"/>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3"/>
      <c r="Q122" s="557"/>
    </row>
    <row r="123" spans="1:17" ht="15" thickTop="1">
      <c r="A123" s="597"/>
      <c r="B123" s="536" t="s">
        <v>2616</v>
      </c>
      <c r="C123" s="552"/>
      <c r="D123" s="552"/>
      <c r="E123" s="552"/>
      <c r="F123" s="581"/>
      <c r="G123" s="581"/>
      <c r="H123" s="581"/>
      <c r="I123" s="581"/>
      <c r="J123" s="581"/>
      <c r="K123" s="582"/>
      <c r="L123" s="583"/>
      <c r="M123" s="584"/>
      <c r="N123" s="1149"/>
      <c r="O123" s="1149"/>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2"/>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49"/>
      <c r="O125" s="1149"/>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2"/>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3"/>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3"/>
      <c r="Q128" s="557"/>
    </row>
    <row r="129" spans="1:17" ht="15" thickTop="1">
      <c r="A129" s="597"/>
      <c r="B129" s="536">
        <f>B46</f>
        <v>111</v>
      </c>
      <c r="C129" s="552"/>
      <c r="D129" s="552"/>
      <c r="E129" s="552"/>
      <c r="F129" s="552"/>
      <c r="G129" s="581"/>
      <c r="H129" s="581"/>
      <c r="I129" s="581"/>
      <c r="J129" s="581"/>
      <c r="K129" s="582"/>
      <c r="L129" s="583"/>
      <c r="M129" s="584"/>
      <c r="N129" s="1149"/>
      <c r="O129" s="1149"/>
      <c r="P129" s="2682"/>
      <c r="Q129" s="502"/>
    </row>
    <row r="130" spans="1:17" ht="15.75" thickBot="1">
      <c r="A130" s="532"/>
      <c r="B130" s="541"/>
      <c r="C130" s="558"/>
      <c r="D130" s="558"/>
      <c r="E130" s="558"/>
      <c r="F130" s="558"/>
      <c r="G130" s="534"/>
      <c r="H130" s="534"/>
      <c r="I130" s="534"/>
      <c r="J130" s="534"/>
      <c r="K130" s="534"/>
      <c r="L130" s="534"/>
      <c r="M130" s="535"/>
      <c r="N130" s="1150"/>
      <c r="O130" s="1150"/>
      <c r="P130" s="2682"/>
      <c r="Q130" s="502"/>
    </row>
    <row r="131" spans="1:17" ht="15" thickTop="1">
      <c r="A131" s="597"/>
      <c r="B131" s="544">
        <f>B47</f>
        <v>111</v>
      </c>
      <c r="C131" s="521"/>
      <c r="D131" s="521"/>
      <c r="E131" s="521"/>
      <c r="F131" s="521"/>
      <c r="G131" s="585"/>
      <c r="H131" s="585"/>
      <c r="I131" s="585"/>
      <c r="J131" s="585"/>
      <c r="K131" s="521"/>
      <c r="L131" s="522"/>
      <c r="M131" s="588"/>
      <c r="N131" s="1149"/>
      <c r="O131" s="1149"/>
      <c r="P131" s="2682"/>
      <c r="Q131" s="502"/>
    </row>
    <row r="132" spans="1:17" ht="15.75" thickBot="1">
      <c r="A132" s="2634"/>
      <c r="B132" s="567"/>
      <c r="C132" s="568"/>
      <c r="D132" s="568"/>
      <c r="E132" s="568"/>
      <c r="F132" s="568"/>
      <c r="G132" s="589"/>
      <c r="H132" s="589"/>
      <c r="I132" s="589"/>
      <c r="J132" s="589"/>
      <c r="K132" s="589"/>
      <c r="L132" s="589"/>
      <c r="M132" s="590"/>
      <c r="N132" s="1150"/>
      <c r="O132" s="1150"/>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401" customWidth="1"/>
    <col min="2" max="2" width="15.87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875" style="401"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29" s="1625" customFormat="1" ht="28.5" customHeight="1" thickBot="1">
      <c r="A1" s="1614" t="s">
        <v>2524</v>
      </c>
      <c r="B1" s="2667" t="s">
        <v>2698</v>
      </c>
      <c r="C1" s="1616" t="s">
        <v>2526</v>
      </c>
      <c r="D1" s="1617"/>
      <c r="E1" s="1626"/>
      <c r="F1" s="2582"/>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2326</v>
      </c>
      <c r="B2" s="1415" t="e">
        <f ca="1">IF(C2="——",ROUND(C43*D3/10000,0),ROUND(C43*D3/10000,0)-D2)</f>
        <v>#DIV/0!</v>
      </c>
      <c r="C2" s="2584"/>
      <c r="D2" s="1121" t="e">
        <f ca="1">SUMIF(INDIRECT("'"&amp;F2&amp;"'"&amp;"!A:A"),"承租人权益价值",INDIRECT("'"&amp;F2&amp;"'"&amp;"!c:c"))</f>
        <v>#REF!</v>
      </c>
      <c r="E2" s="2585" t="s">
        <v>2327</v>
      </c>
      <c r="F2" s="258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2328</v>
      </c>
      <c r="B3" s="607" t="e">
        <f ca="1">IF(C2="——",C43,ROUND(B2*10000/D3,0))</f>
        <v>#DIV/0!</v>
      </c>
      <c r="C3" s="398" t="s">
        <v>2640</v>
      </c>
      <c r="D3" s="397">
        <f>IF(D1="",'数据-汇总表'!E3,SUMIF('数据-汇总表'!$C19:$C33,D1,'数据-汇总表'!$E19:$E33))</f>
        <v>218862.73</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2641</v>
      </c>
      <c r="B4" s="400"/>
      <c r="C4" s="3258" t="s">
        <v>2642</v>
      </c>
      <c r="D4" s="3259"/>
      <c r="E4" s="3260" t="s">
        <v>2643</v>
      </c>
      <c r="F4" s="3261"/>
      <c r="G4" s="3258" t="s">
        <v>2644</v>
      </c>
      <c r="H4" s="3259"/>
      <c r="I4" s="3258" t="s">
        <v>2645</v>
      </c>
      <c r="J4" s="3259"/>
      <c r="K4" s="608" t="s">
        <v>2646</v>
      </c>
      <c r="L4" s="1127"/>
      <c r="M4" s="1128"/>
      <c r="N4" s="1128"/>
      <c r="O4" s="1128"/>
      <c r="P4" s="3262" t="s">
        <v>2647</v>
      </c>
      <c r="Q4" s="3263"/>
      <c r="R4" s="3245" t="s">
        <v>2643</v>
      </c>
      <c r="S4" s="3246"/>
      <c r="T4" s="3245" t="s">
        <v>2644</v>
      </c>
      <c r="U4" s="3246"/>
      <c r="V4" s="3270" t="s">
        <v>2645</v>
      </c>
      <c r="W4" s="3270"/>
      <c r="X4" s="1809"/>
      <c r="Y4" s="3245" t="s">
        <v>2647</v>
      </c>
      <c r="Z4" s="3246"/>
      <c r="AA4" s="3240" t="s">
        <v>2643</v>
      </c>
      <c r="AB4" s="3241" t="s">
        <v>2644</v>
      </c>
      <c r="AC4" s="3240" t="s">
        <v>2645</v>
      </c>
    </row>
    <row r="5" spans="1:29" ht="15">
      <c r="A5" s="402"/>
      <c r="B5" s="403"/>
      <c r="C5" s="3251" t="s">
        <v>2538</v>
      </c>
      <c r="D5" s="3252"/>
      <c r="E5" s="3249" t="s">
        <v>2539</v>
      </c>
      <c r="F5" s="3250"/>
      <c r="G5" s="3251" t="s">
        <v>2540</v>
      </c>
      <c r="H5" s="3252"/>
      <c r="I5" s="3251" t="s">
        <v>2541</v>
      </c>
      <c r="J5" s="3252"/>
      <c r="K5" s="608"/>
      <c r="L5" s="1127"/>
      <c r="M5" s="1128"/>
      <c r="N5" s="1128"/>
      <c r="O5" s="1128"/>
      <c r="P5" s="3264"/>
      <c r="Q5" s="3265"/>
      <c r="R5" s="3247"/>
      <c r="S5" s="3248"/>
      <c r="T5" s="3247"/>
      <c r="U5" s="3248"/>
      <c r="V5" s="3270"/>
      <c r="W5" s="3270"/>
      <c r="X5" s="1809"/>
      <c r="Y5" s="3247"/>
      <c r="Z5" s="3248"/>
      <c r="AA5" s="3241"/>
      <c r="AB5" s="3241"/>
      <c r="AC5" s="3241"/>
    </row>
    <row r="6" spans="1:29" ht="15.75" thickBot="1">
      <c r="A6" s="404"/>
      <c r="B6" s="405"/>
      <c r="C6" s="3253" t="s">
        <v>2542</v>
      </c>
      <c r="D6" s="3254"/>
      <c r="E6" s="3255" t="s">
        <v>2542</v>
      </c>
      <c r="F6" s="3256"/>
      <c r="G6" s="3253" t="s">
        <v>2542</v>
      </c>
      <c r="H6" s="3254"/>
      <c r="I6" s="3253" t="s">
        <v>2542</v>
      </c>
      <c r="J6" s="3254"/>
      <c r="K6" s="608" t="s">
        <v>2543</v>
      </c>
      <c r="L6" s="1127"/>
      <c r="M6" s="1128"/>
      <c r="N6" s="1128"/>
      <c r="O6" s="1128"/>
      <c r="P6" s="3266"/>
      <c r="Q6" s="3267"/>
      <c r="R6" s="3247"/>
      <c r="S6" s="3248"/>
      <c r="T6" s="3268"/>
      <c r="U6" s="3269"/>
      <c r="V6" s="3270"/>
      <c r="W6" s="3270"/>
      <c r="X6" s="1809"/>
      <c r="Y6" s="3268"/>
      <c r="Z6" s="3269"/>
      <c r="AA6" s="3242"/>
      <c r="AB6" s="3242"/>
      <c r="AC6" s="3242"/>
    </row>
    <row r="7" spans="1:29" s="117" customFormat="1" ht="15.75" thickBot="1">
      <c r="A7" s="406" t="s">
        <v>2544</v>
      </c>
      <c r="B7" s="407"/>
      <c r="C7" s="408">
        <f>'数据-取费表'!B2</f>
        <v>43905</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43" t="s">
        <v>2545</v>
      </c>
      <c r="Q7" s="3271"/>
      <c r="R7" s="767" t="s">
        <v>17</v>
      </c>
      <c r="S7" s="768">
        <f t="shared" ref="S7:S15" si="0">F7</f>
        <v>0</v>
      </c>
      <c r="T7" s="767" t="s">
        <v>17</v>
      </c>
      <c r="U7" s="768">
        <f t="shared" ref="U7:U15" si="1">H7</f>
        <v>0</v>
      </c>
      <c r="V7" s="767" t="s">
        <v>17</v>
      </c>
      <c r="W7" s="768">
        <f t="shared" ref="W7:W15" si="2">J7</f>
        <v>0</v>
      </c>
      <c r="X7" s="769"/>
      <c r="Y7" s="3243" t="s">
        <v>2545</v>
      </c>
      <c r="Z7" s="3244"/>
      <c r="AA7" s="770" t="e">
        <f>D7/F7</f>
        <v>#DIV/0!</v>
      </c>
      <c r="AB7" s="770" t="e">
        <f>D7/H7</f>
        <v>#DIV/0!</v>
      </c>
      <c r="AC7" s="770" t="e">
        <f>D7/J7</f>
        <v>#DIV/0!</v>
      </c>
    </row>
    <row r="8" spans="1:29" s="117"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43" t="s">
        <v>2548</v>
      </c>
      <c r="Q8" s="3244"/>
      <c r="R8" s="767" t="s">
        <v>17</v>
      </c>
      <c r="S8" s="768">
        <f t="shared" si="0"/>
        <v>0</v>
      </c>
      <c r="T8" s="767" t="s">
        <v>17</v>
      </c>
      <c r="U8" s="768">
        <f t="shared" si="1"/>
        <v>0</v>
      </c>
      <c r="V8" s="767" t="s">
        <v>17</v>
      </c>
      <c r="W8" s="768">
        <f t="shared" si="2"/>
        <v>0</v>
      </c>
      <c r="X8" s="769"/>
      <c r="Y8" s="3243" t="s">
        <v>2548</v>
      </c>
      <c r="Z8" s="3244"/>
      <c r="AA8" s="770" t="e">
        <f t="shared" ref="AA8:AA40" si="3">D8/F8</f>
        <v>#DIV/0!</v>
      </c>
      <c r="AB8" s="770" t="e">
        <f t="shared" ref="AB8:AB40" si="4">D8/H8</f>
        <v>#DIV/0!</v>
      </c>
      <c r="AC8" s="770" t="e">
        <f t="shared" ref="AC8:AC40" si="5">D8/J8</f>
        <v>#DIV/0!</v>
      </c>
    </row>
    <row r="9" spans="1:29" s="117" customFormat="1">
      <c r="A9" s="413" t="s">
        <v>2549</v>
      </c>
      <c r="B9" s="71" t="s">
        <v>2550</v>
      </c>
      <c r="C9" s="414"/>
      <c r="D9" s="135">
        <v>100</v>
      </c>
      <c r="E9" s="417"/>
      <c r="F9" s="135">
        <f>SUMIF(57:57,E9,58:58)-SUMIF(57:57,C9,58:58)+100</f>
        <v>100</v>
      </c>
      <c r="G9" s="415"/>
      <c r="H9" s="135">
        <f>SUMIF(57:57,G9,58:58)-SUMIF(57:57,C9,58:58)+100</f>
        <v>100</v>
      </c>
      <c r="I9" s="415"/>
      <c r="J9" s="135">
        <f>SUMIF(57:57,I9,58:58)-SUMIF(57:57,C9,58:58)+100</f>
        <v>100</v>
      </c>
      <c r="K9" s="609"/>
      <c r="L9" s="1129"/>
      <c r="M9" s="1130"/>
      <c r="N9" s="1130"/>
      <c r="O9" s="1131"/>
      <c r="P9" s="3257" t="s">
        <v>2551</v>
      </c>
      <c r="Q9" s="1791" t="str">
        <f t="shared" ref="Q9:Q15" si="6">B9</f>
        <v>用途</v>
      </c>
      <c r="R9" s="767" t="s">
        <v>17</v>
      </c>
      <c r="S9" s="768">
        <f t="shared" si="0"/>
        <v>100</v>
      </c>
      <c r="T9" s="767" t="s">
        <v>17</v>
      </c>
      <c r="U9" s="768">
        <f t="shared" si="1"/>
        <v>100</v>
      </c>
      <c r="V9" s="767" t="s">
        <v>17</v>
      </c>
      <c r="W9" s="768">
        <f t="shared" si="2"/>
        <v>100</v>
      </c>
      <c r="X9" s="769"/>
      <c r="Y9" s="3091" t="s">
        <v>2552</v>
      </c>
      <c r="Z9" s="55" t="str">
        <f t="shared" ref="Z9:Z15" si="7">Q9</f>
        <v>用途</v>
      </c>
      <c r="AA9" s="770">
        <f t="shared" si="3"/>
        <v>1</v>
      </c>
      <c r="AB9" s="770">
        <f t="shared" si="4"/>
        <v>1</v>
      </c>
      <c r="AC9" s="770">
        <f t="shared" si="5"/>
        <v>1</v>
      </c>
    </row>
    <row r="10" spans="1:29" s="425" customFormat="1" ht="27">
      <c r="A10" s="419"/>
      <c r="B10" s="420" t="s">
        <v>2553</v>
      </c>
      <c r="C10" s="421"/>
      <c r="D10" s="136">
        <v>100</v>
      </c>
      <c r="E10" s="421"/>
      <c r="F10" s="136">
        <f>SUMIF(59:59,E10,60:60)-SUMIF(59:59,C10,60:60)+100</f>
        <v>100</v>
      </c>
      <c r="G10" s="422"/>
      <c r="H10" s="136">
        <f>SUMIF(59:59,G10,60:60)-SUMIF(59:59,C10,60:60)+100</f>
        <v>100</v>
      </c>
      <c r="I10" s="421"/>
      <c r="J10" s="136">
        <f>SUMIF(59:59,I10,60:60)-SUMIF(59:59,C10,60:60)+100</f>
        <v>100</v>
      </c>
      <c r="K10" s="610"/>
      <c r="L10" s="1132"/>
      <c r="M10" s="1133"/>
      <c r="N10" s="1133"/>
      <c r="O10" s="1134"/>
      <c r="P10" s="3257"/>
      <c r="Q10" s="1791" t="str">
        <f t="shared" si="6"/>
        <v>土地使用年限（年）</v>
      </c>
      <c r="R10" s="767" t="s">
        <v>17</v>
      </c>
      <c r="S10" s="768">
        <f t="shared" si="0"/>
        <v>100</v>
      </c>
      <c r="T10" s="767" t="s">
        <v>17</v>
      </c>
      <c r="U10" s="768">
        <f t="shared" si="1"/>
        <v>100</v>
      </c>
      <c r="V10" s="767" t="s">
        <v>17</v>
      </c>
      <c r="W10" s="768">
        <f t="shared" si="2"/>
        <v>100</v>
      </c>
      <c r="X10" s="769"/>
      <c r="Y10" s="3091"/>
      <c r="Z10" s="55" t="str">
        <f t="shared" si="7"/>
        <v>土地使用年限（年）</v>
      </c>
      <c r="AA10" s="770">
        <f t="shared" si="3"/>
        <v>1</v>
      </c>
      <c r="AB10" s="770">
        <f t="shared" si="4"/>
        <v>1</v>
      </c>
      <c r="AC10" s="770">
        <f t="shared" si="5"/>
        <v>1</v>
      </c>
    </row>
    <row r="11" spans="1:29" ht="15">
      <c r="A11" s="426"/>
      <c r="B11" s="420" t="s">
        <v>2554</v>
      </c>
      <c r="C11" s="427"/>
      <c r="D11" s="136">
        <v>100</v>
      </c>
      <c r="E11" s="427"/>
      <c r="F11" s="136" t="e">
        <f>LOOKUP(E11,62:62,63:63)-LOOKUP(C11,62:62,63:63)+100</f>
        <v>#N/A</v>
      </c>
      <c r="G11" s="428"/>
      <c r="H11" s="136" t="e">
        <f>LOOKUP(G11,62:62,63:63)-LOOKUP(C11,62:62,63:63)+100</f>
        <v>#N/A</v>
      </c>
      <c r="I11" s="427"/>
      <c r="J11" s="136" t="e">
        <f>LOOKUP(I11,62:62,63:63)-LOOKUP(C11,62:62,63:63)+100</f>
        <v>#N/A</v>
      </c>
      <c r="K11" s="610"/>
      <c r="L11" s="1135"/>
      <c r="M11" s="1128"/>
      <c r="N11" s="1128"/>
      <c r="O11" s="1136"/>
      <c r="P11" s="3257"/>
      <c r="Q11" s="1791" t="str">
        <f t="shared" si="6"/>
        <v>容积率</v>
      </c>
      <c r="R11" s="767" t="s">
        <v>17</v>
      </c>
      <c r="S11" s="768" t="e">
        <f t="shared" si="0"/>
        <v>#N/A</v>
      </c>
      <c r="T11" s="767" t="s">
        <v>17</v>
      </c>
      <c r="U11" s="768" t="e">
        <f t="shared" si="1"/>
        <v>#N/A</v>
      </c>
      <c r="V11" s="767" t="s">
        <v>17</v>
      </c>
      <c r="W11" s="768" t="e">
        <f t="shared" si="2"/>
        <v>#N/A</v>
      </c>
      <c r="X11" s="769"/>
      <c r="Y11" s="3091"/>
      <c r="Z11" s="55" t="str">
        <f t="shared" si="7"/>
        <v>容积率</v>
      </c>
      <c r="AA11" s="770" t="e">
        <f t="shared" si="3"/>
        <v>#N/A</v>
      </c>
      <c r="AB11" s="770" t="e">
        <f t="shared" si="4"/>
        <v>#N/A</v>
      </c>
      <c r="AC11" s="770" t="e">
        <f t="shared" si="5"/>
        <v>#N/A</v>
      </c>
    </row>
    <row r="12" spans="1:29" s="117" customFormat="1" ht="15">
      <c r="A12" s="429"/>
      <c r="B12" s="2598">
        <v>111</v>
      </c>
      <c r="C12" s="430"/>
      <c r="D12" s="431">
        <v>100</v>
      </c>
      <c r="E12" s="432"/>
      <c r="F12" s="136">
        <f>SUMIF(64:64,E12,65:65)-SUMIF(64:64,C12,65:65)+100</f>
        <v>100</v>
      </c>
      <c r="G12" s="2690"/>
      <c r="H12" s="136">
        <f>SUMIF(64:64,G12,65:65)-SUMIF(64:64,C12,65:65)+100</f>
        <v>100</v>
      </c>
      <c r="I12" s="467"/>
      <c r="J12" s="136">
        <f>SUMIF(64:64,I12,65:65)-SUMIF(64:64,C12,65:65)+100</f>
        <v>100</v>
      </c>
      <c r="K12" s="611"/>
      <c r="L12" s="1129"/>
      <c r="M12" s="1130"/>
      <c r="N12" s="1130"/>
      <c r="O12" s="1131"/>
      <c r="P12" s="3257"/>
      <c r="Q12" s="1791">
        <f t="shared" si="6"/>
        <v>111</v>
      </c>
      <c r="R12" s="767" t="s">
        <v>17</v>
      </c>
      <c r="S12" s="768">
        <f t="shared" si="0"/>
        <v>100</v>
      </c>
      <c r="T12" s="767" t="s">
        <v>17</v>
      </c>
      <c r="U12" s="768">
        <f t="shared" si="1"/>
        <v>100</v>
      </c>
      <c r="V12" s="767" t="s">
        <v>17</v>
      </c>
      <c r="W12" s="768">
        <f t="shared" si="2"/>
        <v>100</v>
      </c>
      <c r="X12" s="769"/>
      <c r="Y12" s="3091"/>
      <c r="Z12" s="55">
        <f t="shared" si="7"/>
        <v>111</v>
      </c>
      <c r="AA12" s="770">
        <f>D12/F12</f>
        <v>1</v>
      </c>
      <c r="AB12" s="770">
        <f>D12/H12</f>
        <v>1</v>
      </c>
      <c r="AC12" s="770">
        <f>D12/J12</f>
        <v>1</v>
      </c>
    </row>
    <row r="13" spans="1:29" ht="15">
      <c r="A13" s="426"/>
      <c r="B13" s="2598">
        <v>111</v>
      </c>
      <c r="C13" s="432"/>
      <c r="D13" s="433">
        <v>100</v>
      </c>
      <c r="E13" s="432"/>
      <c r="F13" s="136">
        <f>SUMIF(66:66,E13,67:67)-SUMIF(66:66,C13,67:67)+100</f>
        <v>100</v>
      </c>
      <c r="G13" s="2690"/>
      <c r="H13" s="433">
        <f>SUMIF(66:66,G13,67:67)-SUMIF(66:66,C13,67:67)+100</f>
        <v>100</v>
      </c>
      <c r="I13" s="467"/>
      <c r="J13" s="433">
        <f>SUMIF(66:66,I13,67:67)-SUMIF(66:66,C13,67:67)+100</f>
        <v>100</v>
      </c>
      <c r="K13" s="611"/>
      <c r="L13" s="1137"/>
      <c r="M13" s="1128"/>
      <c r="N13" s="1128"/>
      <c r="O13" s="1136"/>
      <c r="P13" s="3257"/>
      <c r="Q13" s="1791">
        <f t="shared" si="6"/>
        <v>111</v>
      </c>
      <c r="R13" s="767" t="s">
        <v>17</v>
      </c>
      <c r="S13" s="768">
        <f t="shared" si="0"/>
        <v>100</v>
      </c>
      <c r="T13" s="767" t="s">
        <v>17</v>
      </c>
      <c r="U13" s="768">
        <f t="shared" si="1"/>
        <v>100</v>
      </c>
      <c r="V13" s="767" t="s">
        <v>17</v>
      </c>
      <c r="W13" s="768">
        <f t="shared" si="2"/>
        <v>100</v>
      </c>
      <c r="X13" s="769"/>
      <c r="Y13" s="3091"/>
      <c r="Z13" s="55">
        <f t="shared" si="7"/>
        <v>111</v>
      </c>
      <c r="AA13" s="770">
        <f t="shared" si="3"/>
        <v>1</v>
      </c>
      <c r="AB13" s="770">
        <f t="shared" si="4"/>
        <v>1</v>
      </c>
      <c r="AC13" s="770">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7"/>
      <c r="M14" s="1128"/>
      <c r="N14" s="1128"/>
      <c r="O14" s="1136"/>
      <c r="P14" s="3257"/>
      <c r="Q14" s="1791">
        <f t="shared" si="6"/>
        <v>111</v>
      </c>
      <c r="R14" s="767" t="s">
        <v>17</v>
      </c>
      <c r="S14" s="768">
        <f t="shared" si="0"/>
        <v>100</v>
      </c>
      <c r="T14" s="767" t="s">
        <v>17</v>
      </c>
      <c r="U14" s="768">
        <f t="shared" si="1"/>
        <v>100</v>
      </c>
      <c r="V14" s="767" t="s">
        <v>17</v>
      </c>
      <c r="W14" s="768">
        <f t="shared" si="2"/>
        <v>100</v>
      </c>
      <c r="X14" s="769"/>
      <c r="Y14" s="3091"/>
      <c r="Z14" s="55">
        <f t="shared" si="7"/>
        <v>111</v>
      </c>
      <c r="AA14" s="770">
        <f t="shared" si="3"/>
        <v>1</v>
      </c>
      <c r="AB14" s="770">
        <f t="shared" si="4"/>
        <v>1</v>
      </c>
      <c r="AC14" s="770">
        <f t="shared" si="5"/>
        <v>1</v>
      </c>
    </row>
    <row r="15" spans="1:29" ht="57">
      <c r="A15" s="438" t="s">
        <v>2555</v>
      </c>
      <c r="B15" s="69" t="s">
        <v>2699</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72" t="s">
        <v>2556</v>
      </c>
      <c r="Q15" s="1806" t="str">
        <f t="shared" si="6"/>
        <v>产业集聚程度</v>
      </c>
      <c r="R15" s="771" t="s">
        <v>17</v>
      </c>
      <c r="S15" s="772">
        <f t="shared" si="0"/>
        <v>100</v>
      </c>
      <c r="T15" s="771" t="s">
        <v>17</v>
      </c>
      <c r="U15" s="772">
        <f t="shared" si="1"/>
        <v>100</v>
      </c>
      <c r="V15" s="771" t="s">
        <v>17</v>
      </c>
      <c r="W15" s="772">
        <f t="shared" si="2"/>
        <v>100</v>
      </c>
      <c r="X15" s="1809"/>
      <c r="Y15" s="3272" t="s">
        <v>2556</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273"/>
      <c r="Q16" s="1806"/>
      <c r="R16" s="771"/>
      <c r="S16" s="772"/>
      <c r="T16" s="771"/>
      <c r="U16" s="772"/>
      <c r="V16" s="771"/>
      <c r="W16" s="772"/>
      <c r="X16" s="1809"/>
      <c r="Y16" s="3273"/>
      <c r="Z16" s="1810"/>
      <c r="AA16" s="1807">
        <v>1</v>
      </c>
      <c r="AB16" s="1807">
        <v>1</v>
      </c>
      <c r="AC16" s="1807">
        <v>1</v>
      </c>
    </row>
    <row r="17" spans="1:29" ht="85.5">
      <c r="A17" s="426"/>
      <c r="B17" s="449" t="s">
        <v>2096</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73"/>
      <c r="Q17" s="1806" t="str">
        <f>B17</f>
        <v>交通便捷度</v>
      </c>
      <c r="R17" s="771" t="s">
        <v>17</v>
      </c>
      <c r="S17" s="772">
        <f>F17</f>
        <v>100</v>
      </c>
      <c r="T17" s="771" t="s">
        <v>17</v>
      </c>
      <c r="U17" s="772">
        <f>H17</f>
        <v>100</v>
      </c>
      <c r="V17" s="771" t="s">
        <v>17</v>
      </c>
      <c r="W17" s="772">
        <f>J17</f>
        <v>100</v>
      </c>
      <c r="X17" s="1809"/>
      <c r="Y17" s="3273"/>
      <c r="Z17" s="1810" t="str">
        <f>Q17</f>
        <v>交通便捷度</v>
      </c>
      <c r="AA17" s="1807">
        <f t="shared" si="3"/>
        <v>1</v>
      </c>
      <c r="AB17" s="1807">
        <f t="shared" si="4"/>
        <v>1</v>
      </c>
      <c r="AC17" s="1807">
        <f t="shared" si="5"/>
        <v>1</v>
      </c>
    </row>
    <row r="18" spans="1:29" ht="15">
      <c r="A18" s="426"/>
      <c r="B18" s="454"/>
      <c r="C18" s="2606"/>
      <c r="D18" s="448"/>
      <c r="E18" s="2608"/>
      <c r="F18" s="451"/>
      <c r="G18" s="2607"/>
      <c r="H18" s="446"/>
      <c r="I18" s="2608"/>
      <c r="J18" s="446"/>
      <c r="K18" s="613"/>
      <c r="L18" s="1137"/>
      <c r="M18" s="1128"/>
      <c r="N18" s="1128"/>
      <c r="O18" s="1136"/>
      <c r="P18" s="3273"/>
      <c r="Q18" s="1806"/>
      <c r="R18" s="771"/>
      <c r="S18" s="772"/>
      <c r="T18" s="771"/>
      <c r="U18" s="772"/>
      <c r="V18" s="771"/>
      <c r="W18" s="772"/>
      <c r="X18" s="1809"/>
      <c r="Y18" s="3273"/>
      <c r="Z18" s="1810"/>
      <c r="AA18" s="1807">
        <v>1</v>
      </c>
      <c r="AB18" s="1807">
        <v>1</v>
      </c>
      <c r="AC18" s="1807">
        <v>1</v>
      </c>
    </row>
    <row r="19" spans="1:29" ht="42.75">
      <c r="A19" s="426"/>
      <c r="B19" s="449" t="s">
        <v>2684</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73"/>
      <c r="Q19" s="1806" t="str">
        <f>B19</f>
        <v>公共配套设施</v>
      </c>
      <c r="R19" s="771" t="s">
        <v>17</v>
      </c>
      <c r="S19" s="772">
        <f>F19</f>
        <v>100</v>
      </c>
      <c r="T19" s="771" t="s">
        <v>17</v>
      </c>
      <c r="U19" s="772">
        <f>H19</f>
        <v>100</v>
      </c>
      <c r="V19" s="771" t="s">
        <v>17</v>
      </c>
      <c r="W19" s="772">
        <f>J19</f>
        <v>100</v>
      </c>
      <c r="X19" s="1809"/>
      <c r="Y19" s="3273"/>
      <c r="Z19" s="1810" t="str">
        <f>Q19</f>
        <v>公共配套设施</v>
      </c>
      <c r="AA19" s="1807">
        <f t="shared" si="3"/>
        <v>1</v>
      </c>
      <c r="AB19" s="1807">
        <f t="shared" si="4"/>
        <v>1</v>
      </c>
      <c r="AC19" s="1807">
        <f t="shared" si="5"/>
        <v>1</v>
      </c>
    </row>
    <row r="20" spans="1:29" ht="15">
      <c r="A20" s="426"/>
      <c r="B20" s="454"/>
      <c r="C20" s="445"/>
      <c r="D20" s="446"/>
      <c r="E20" s="2603"/>
      <c r="F20" s="447"/>
      <c r="G20" s="2602"/>
      <c r="H20" s="446"/>
      <c r="I20" s="2603"/>
      <c r="J20" s="446"/>
      <c r="K20" s="613"/>
      <c r="L20" s="1137"/>
      <c r="M20" s="1128"/>
      <c r="N20" s="1128"/>
      <c r="O20" s="1136"/>
      <c r="P20" s="3273"/>
      <c r="Q20" s="1806"/>
      <c r="R20" s="771"/>
      <c r="S20" s="772"/>
      <c r="T20" s="771"/>
      <c r="U20" s="772"/>
      <c r="V20" s="771"/>
      <c r="W20" s="772"/>
      <c r="X20" s="1809"/>
      <c r="Y20" s="3273"/>
      <c r="Z20" s="1810"/>
      <c r="AA20" s="1807">
        <v>1</v>
      </c>
      <c r="AB20" s="1807">
        <v>1</v>
      </c>
      <c r="AC20" s="1807">
        <v>1</v>
      </c>
    </row>
    <row r="21" spans="1:29" ht="28.5">
      <c r="A21" s="426"/>
      <c r="B21" s="1381" t="s">
        <v>2685</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73"/>
      <c r="Q21" s="1806" t="str">
        <f>B21</f>
        <v>基础设施水平</v>
      </c>
      <c r="R21" s="771" t="s">
        <v>17</v>
      </c>
      <c r="S21" s="772">
        <f>F21</f>
        <v>100</v>
      </c>
      <c r="T21" s="771" t="s">
        <v>17</v>
      </c>
      <c r="U21" s="772">
        <f>H21</f>
        <v>100</v>
      </c>
      <c r="V21" s="771" t="s">
        <v>17</v>
      </c>
      <c r="W21" s="772">
        <f>J21</f>
        <v>100</v>
      </c>
      <c r="X21" s="1809"/>
      <c r="Y21" s="3273"/>
      <c r="Z21" s="1810" t="str">
        <f>Q21</f>
        <v>基础设施水平</v>
      </c>
      <c r="AA21" s="1807">
        <f t="shared" ref="AA21" si="8">D21/F21</f>
        <v>1</v>
      </c>
      <c r="AB21" s="1807">
        <f t="shared" ref="AB21" si="9">D21/H21</f>
        <v>1</v>
      </c>
      <c r="AC21" s="1807">
        <f t="shared" ref="AC21" si="10">D21/J21</f>
        <v>1</v>
      </c>
    </row>
    <row r="22" spans="1:29" ht="15">
      <c r="A22" s="426"/>
      <c r="B22" s="1381"/>
      <c r="C22" s="2606"/>
      <c r="D22" s="446"/>
      <c r="E22" s="445"/>
      <c r="F22" s="447"/>
      <c r="G22" s="445"/>
      <c r="H22" s="446"/>
      <c r="I22" s="445"/>
      <c r="J22" s="446"/>
      <c r="K22" s="1380"/>
      <c r="L22" s="1137"/>
      <c r="M22" s="1128"/>
      <c r="N22" s="1128"/>
      <c r="O22" s="1136"/>
      <c r="P22" s="3273"/>
      <c r="Q22" s="1806"/>
      <c r="R22" s="771"/>
      <c r="S22" s="772"/>
      <c r="T22" s="771"/>
      <c r="U22" s="772"/>
      <c r="V22" s="771"/>
      <c r="W22" s="772"/>
      <c r="X22" s="1809"/>
      <c r="Y22" s="3273"/>
      <c r="Z22" s="1810"/>
      <c r="AA22" s="1807">
        <v>1</v>
      </c>
      <c r="AB22" s="1807">
        <v>1</v>
      </c>
      <c r="AC22" s="1807">
        <v>1</v>
      </c>
    </row>
    <row r="23" spans="1:29" ht="71.25">
      <c r="A23" s="426"/>
      <c r="B23" s="449" t="s">
        <v>2686</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73"/>
      <c r="Q23" s="1806" t="str">
        <f>B23</f>
        <v>环境质量</v>
      </c>
      <c r="R23" s="771" t="s">
        <v>17</v>
      </c>
      <c r="S23" s="772">
        <f>F23</f>
        <v>100</v>
      </c>
      <c r="T23" s="771" t="s">
        <v>17</v>
      </c>
      <c r="U23" s="772">
        <f>H23</f>
        <v>100</v>
      </c>
      <c r="V23" s="771" t="s">
        <v>17</v>
      </c>
      <c r="W23" s="772">
        <f>J23</f>
        <v>100</v>
      </c>
      <c r="X23" s="1809"/>
      <c r="Y23" s="3273"/>
      <c r="Z23" s="1810" t="str">
        <f>Q23</f>
        <v>环境质量</v>
      </c>
      <c r="AA23" s="1807">
        <f t="shared" si="3"/>
        <v>1</v>
      </c>
      <c r="AB23" s="1807">
        <f t="shared" si="4"/>
        <v>1</v>
      </c>
      <c r="AC23" s="1807">
        <f t="shared" si="5"/>
        <v>1</v>
      </c>
    </row>
    <row r="24" spans="1:29" ht="15">
      <c r="A24" s="426"/>
      <c r="B24" s="1381"/>
      <c r="C24" s="445"/>
      <c r="D24" s="446"/>
      <c r="E24" s="2603"/>
      <c r="F24" s="447"/>
      <c r="G24" s="2602"/>
      <c r="H24" s="446"/>
      <c r="I24" s="2603"/>
      <c r="J24" s="446"/>
      <c r="K24" s="613"/>
      <c r="L24" s="1137"/>
      <c r="M24" s="1128"/>
      <c r="N24" s="1128"/>
      <c r="O24" s="1136"/>
      <c r="P24" s="3273"/>
      <c r="Q24" s="1806"/>
      <c r="R24" s="771"/>
      <c r="S24" s="772"/>
      <c r="T24" s="771"/>
      <c r="U24" s="772"/>
      <c r="V24" s="771"/>
      <c r="W24" s="772"/>
      <c r="X24" s="1809"/>
      <c r="Y24" s="3273"/>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73"/>
      <c r="Q25" s="1806">
        <f>B25</f>
        <v>111</v>
      </c>
      <c r="R25" s="771" t="s">
        <v>17</v>
      </c>
      <c r="S25" s="772">
        <f>F25</f>
        <v>100</v>
      </c>
      <c r="T25" s="771" t="s">
        <v>17</v>
      </c>
      <c r="U25" s="772">
        <f>H25</f>
        <v>100</v>
      </c>
      <c r="V25" s="771" t="s">
        <v>17</v>
      </c>
      <c r="W25" s="772">
        <f>J25</f>
        <v>100</v>
      </c>
      <c r="X25" s="1809"/>
      <c r="Y25" s="3273"/>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73"/>
      <c r="Q26" s="1806">
        <f t="shared" ref="Q26:Q40" si="11">B26</f>
        <v>111</v>
      </c>
      <c r="R26" s="771" t="s">
        <v>17</v>
      </c>
      <c r="S26" s="772">
        <f>F26</f>
        <v>100</v>
      </c>
      <c r="T26" s="771" t="s">
        <v>17</v>
      </c>
      <c r="U26" s="772">
        <f>H26</f>
        <v>100</v>
      </c>
      <c r="V26" s="771" t="s">
        <v>17</v>
      </c>
      <c r="W26" s="772">
        <f>J26</f>
        <v>100</v>
      </c>
      <c r="X26" s="1809"/>
      <c r="Y26" s="3273"/>
      <c r="Z26" s="1810">
        <f>Q26</f>
        <v>111</v>
      </c>
      <c r="AA26" s="1807">
        <f t="shared" si="3"/>
        <v>1</v>
      </c>
      <c r="AB26" s="1807">
        <f t="shared" si="4"/>
        <v>1</v>
      </c>
      <c r="AC26" s="1807">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73"/>
      <c r="Q27" s="1791">
        <f t="shared" si="11"/>
        <v>111</v>
      </c>
      <c r="R27" s="767" t="s">
        <v>17</v>
      </c>
      <c r="S27" s="768">
        <f>F27</f>
        <v>100</v>
      </c>
      <c r="T27" s="767" t="s">
        <v>17</v>
      </c>
      <c r="U27" s="768">
        <f>H27</f>
        <v>100</v>
      </c>
      <c r="V27" s="767" t="s">
        <v>17</v>
      </c>
      <c r="W27" s="768">
        <f>J27</f>
        <v>100</v>
      </c>
      <c r="X27" s="769"/>
      <c r="Y27" s="3273"/>
      <c r="Z27" s="55">
        <f>Q27</f>
        <v>111</v>
      </c>
      <c r="AA27" s="1807">
        <f>D27/F27</f>
        <v>1</v>
      </c>
      <c r="AB27" s="1807">
        <f>D27/H27</f>
        <v>1</v>
      </c>
      <c r="AC27" s="1807">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73"/>
      <c r="Q28" s="1806">
        <f t="shared" si="11"/>
        <v>111</v>
      </c>
      <c r="R28" s="771" t="s">
        <v>17</v>
      </c>
      <c r="S28" s="772">
        <f t="shared" ref="S28:S40" si="12">F28</f>
        <v>100</v>
      </c>
      <c r="T28" s="771" t="s">
        <v>17</v>
      </c>
      <c r="U28" s="772">
        <f t="shared" ref="U28:U40" si="13">H28</f>
        <v>100</v>
      </c>
      <c r="V28" s="771" t="s">
        <v>17</v>
      </c>
      <c r="W28" s="772">
        <f t="shared" ref="W28:W40" si="14">J28</f>
        <v>100</v>
      </c>
      <c r="X28" s="1809"/>
      <c r="Y28" s="3273"/>
      <c r="Z28" s="1810">
        <f t="shared" ref="Z28:Z40" si="15">Q28</f>
        <v>111</v>
      </c>
      <c r="AA28" s="1807">
        <f t="shared" si="3"/>
        <v>1</v>
      </c>
      <c r="AB28" s="1807">
        <f t="shared" si="4"/>
        <v>1</v>
      </c>
      <c r="AC28" s="1807">
        <f t="shared" si="5"/>
        <v>1</v>
      </c>
    </row>
    <row r="29" spans="1:29" ht="28.5">
      <c r="A29" s="464" t="s">
        <v>2559</v>
      </c>
      <c r="B29" s="71" t="s">
        <v>2689</v>
      </c>
      <c r="C29" s="2677"/>
      <c r="D29" s="465">
        <v>100</v>
      </c>
      <c r="E29" s="2677"/>
      <c r="F29" s="459">
        <f>SUMIF(88:88,E29,89:89)-SUMIF(88:88,C29,89:89)+100</f>
        <v>100</v>
      </c>
      <c r="G29" s="2677"/>
      <c r="H29" s="433">
        <f>SUMIF(88:88,G29,89:89)-SUMIF(88:88,C29,89:89)+100</f>
        <v>100</v>
      </c>
      <c r="I29" s="2677"/>
      <c r="J29" s="465">
        <f>SUMIF(88:88,I29,89:89)-SUMIF(88:88,C29,89:89)+100</f>
        <v>100</v>
      </c>
      <c r="K29" s="610"/>
      <c r="L29" s="1137"/>
      <c r="M29" s="1128"/>
      <c r="N29" s="1128"/>
      <c r="O29" s="1136"/>
      <c r="P29" s="3274" t="s">
        <v>2561</v>
      </c>
      <c r="Q29" s="1806" t="str">
        <f t="shared" si="11"/>
        <v>建筑类型</v>
      </c>
      <c r="R29" s="771" t="s">
        <v>17</v>
      </c>
      <c r="S29" s="772">
        <f t="shared" si="12"/>
        <v>100</v>
      </c>
      <c r="T29" s="771" t="s">
        <v>17</v>
      </c>
      <c r="U29" s="772">
        <f t="shared" si="13"/>
        <v>100</v>
      </c>
      <c r="V29" s="771" t="s">
        <v>17</v>
      </c>
      <c r="W29" s="772">
        <f t="shared" si="14"/>
        <v>100</v>
      </c>
      <c r="X29" s="1809"/>
      <c r="Y29" s="3275" t="s">
        <v>2561</v>
      </c>
      <c r="Z29" s="1810" t="str">
        <f t="shared" si="15"/>
        <v>建筑类型</v>
      </c>
      <c r="AA29" s="1807">
        <f t="shared" si="3"/>
        <v>1</v>
      </c>
      <c r="AB29" s="1807">
        <f t="shared" si="4"/>
        <v>1</v>
      </c>
      <c r="AC29" s="1807">
        <f t="shared" si="5"/>
        <v>1</v>
      </c>
    </row>
    <row r="30" spans="1:29" s="469" customFormat="1" ht="15">
      <c r="A30" s="466"/>
      <c r="B30" s="420" t="s">
        <v>2562</v>
      </c>
      <c r="C30" s="467"/>
      <c r="D30" s="136">
        <v>100</v>
      </c>
      <c r="E30" s="428"/>
      <c r="F30" s="423" t="e">
        <f>LOOKUP(E30,91:91,92:92)-LOOKUP(C30,91:91,92:92)+100</f>
        <v>#N/A</v>
      </c>
      <c r="G30" s="427"/>
      <c r="H30" s="136" t="e">
        <f>LOOKUP(G30,91:91,92:92)-LOOKUP(C30,91:91,92:92)+100</f>
        <v>#N/A</v>
      </c>
      <c r="I30" s="427"/>
      <c r="J30" s="136" t="e">
        <f>LOOKUP(I30,91:91,92:92)-LOOKUP(C30,91:91,92:92)+100</f>
        <v>#N/A</v>
      </c>
      <c r="K30" s="611"/>
      <c r="L30" s="1135"/>
      <c r="M30" s="1138"/>
      <c r="N30" s="1138"/>
      <c r="O30" s="1139"/>
      <c r="P30" s="3275"/>
      <c r="Q30" s="773" t="str">
        <f t="shared" si="11"/>
        <v>项目建筑规模</v>
      </c>
      <c r="R30" s="774" t="s">
        <v>17</v>
      </c>
      <c r="S30" s="775" t="e">
        <f t="shared" si="12"/>
        <v>#N/A</v>
      </c>
      <c r="T30" s="774" t="s">
        <v>17</v>
      </c>
      <c r="U30" s="775" t="e">
        <f t="shared" si="13"/>
        <v>#N/A</v>
      </c>
      <c r="V30" s="774" t="s">
        <v>17</v>
      </c>
      <c r="W30" s="775" t="e">
        <f t="shared" si="14"/>
        <v>#N/A</v>
      </c>
      <c r="X30" s="776"/>
      <c r="Y30" s="3275"/>
      <c r="Z30" s="777" t="str">
        <f t="shared" si="15"/>
        <v>项目建筑规模</v>
      </c>
      <c r="AA30" s="1807" t="e">
        <f t="shared" si="3"/>
        <v>#N/A</v>
      </c>
      <c r="AB30" s="1807" t="e">
        <f t="shared" si="4"/>
        <v>#N/A</v>
      </c>
      <c r="AC30" s="1807"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75"/>
      <c r="Q31" s="1806" t="str">
        <f t="shared" si="11"/>
        <v>建筑结构</v>
      </c>
      <c r="R31" s="771" t="s">
        <v>17</v>
      </c>
      <c r="S31" s="772">
        <f t="shared" si="12"/>
        <v>100</v>
      </c>
      <c r="T31" s="771" t="s">
        <v>17</v>
      </c>
      <c r="U31" s="772">
        <f t="shared" si="13"/>
        <v>100</v>
      </c>
      <c r="V31" s="771" t="s">
        <v>17</v>
      </c>
      <c r="W31" s="772">
        <f t="shared" si="14"/>
        <v>100</v>
      </c>
      <c r="X31" s="1809"/>
      <c r="Y31" s="3275"/>
      <c r="Z31" s="1810" t="str">
        <f t="shared" si="15"/>
        <v>建筑结构</v>
      </c>
      <c r="AA31" s="1807">
        <f t="shared" si="3"/>
        <v>1</v>
      </c>
      <c r="AB31" s="1807">
        <f t="shared" si="4"/>
        <v>1</v>
      </c>
      <c r="AC31" s="1807">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75"/>
      <c r="Q32" s="1806" t="str">
        <f t="shared" si="11"/>
        <v>公共部分装修</v>
      </c>
      <c r="R32" s="771" t="s">
        <v>17</v>
      </c>
      <c r="S32" s="772">
        <f t="shared" si="12"/>
        <v>100</v>
      </c>
      <c r="T32" s="771" t="s">
        <v>17</v>
      </c>
      <c r="U32" s="772">
        <f t="shared" si="13"/>
        <v>100</v>
      </c>
      <c r="V32" s="771" t="s">
        <v>17</v>
      </c>
      <c r="W32" s="772">
        <f t="shared" si="14"/>
        <v>100</v>
      </c>
      <c r="X32" s="1809"/>
      <c r="Y32" s="3275"/>
      <c r="Z32" s="1810" t="str">
        <f t="shared" si="15"/>
        <v>公共部分装修</v>
      </c>
      <c r="AA32" s="1807">
        <f t="shared" si="3"/>
        <v>1</v>
      </c>
      <c r="AB32" s="1807">
        <f t="shared" si="4"/>
        <v>1</v>
      </c>
      <c r="AC32" s="1807">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75"/>
      <c r="Q33" s="1806" t="str">
        <f t="shared" si="11"/>
        <v>成新度</v>
      </c>
      <c r="R33" s="771" t="s">
        <v>17</v>
      </c>
      <c r="S33" s="772" t="e">
        <f t="shared" si="12"/>
        <v>#N/A</v>
      </c>
      <c r="T33" s="771" t="s">
        <v>17</v>
      </c>
      <c r="U33" s="772" t="e">
        <f t="shared" si="13"/>
        <v>#N/A</v>
      </c>
      <c r="V33" s="771" t="s">
        <v>17</v>
      </c>
      <c r="W33" s="772" t="e">
        <f t="shared" si="14"/>
        <v>#N/A</v>
      </c>
      <c r="X33" s="1809"/>
      <c r="Y33" s="3275"/>
      <c r="Z33" s="1810" t="str">
        <f t="shared" si="15"/>
        <v>成新度</v>
      </c>
      <c r="AA33" s="1807" t="e">
        <f t="shared" si="3"/>
        <v>#N/A</v>
      </c>
      <c r="AB33" s="1807" t="e">
        <f t="shared" si="4"/>
        <v>#N/A</v>
      </c>
      <c r="AC33" s="1807" t="e">
        <f t="shared" si="5"/>
        <v>#N/A</v>
      </c>
    </row>
    <row r="34" spans="1:29" s="117" customFormat="1" ht="15">
      <c r="A34" s="471"/>
      <c r="B34" s="420" t="s">
        <v>2691</v>
      </c>
      <c r="C34" s="458"/>
      <c r="D34" s="136">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75"/>
      <c r="Q34" s="1791" t="str">
        <f t="shared" si="11"/>
        <v>物业管理</v>
      </c>
      <c r="R34" s="767" t="s">
        <v>17</v>
      </c>
      <c r="S34" s="768">
        <f t="shared" si="12"/>
        <v>100</v>
      </c>
      <c r="T34" s="767" t="s">
        <v>17</v>
      </c>
      <c r="U34" s="768">
        <f t="shared" si="13"/>
        <v>100</v>
      </c>
      <c r="V34" s="767" t="s">
        <v>17</v>
      </c>
      <c r="W34" s="768">
        <f t="shared" si="14"/>
        <v>100</v>
      </c>
      <c r="X34" s="769"/>
      <c r="Y34" s="3275"/>
      <c r="Z34" s="55" t="str">
        <f t="shared" si="15"/>
        <v>物业管理</v>
      </c>
      <c r="AA34" s="770">
        <f t="shared" si="3"/>
        <v>1</v>
      </c>
      <c r="AB34" s="770">
        <f t="shared" si="4"/>
        <v>1</v>
      </c>
      <c r="AC34" s="770">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75" t="s">
        <v>2561</v>
      </c>
      <c r="Q35" s="1806" t="str">
        <f t="shared" si="11"/>
        <v>市政基础设施</v>
      </c>
      <c r="R35" s="771" t="s">
        <v>17</v>
      </c>
      <c r="S35" s="772">
        <f t="shared" si="12"/>
        <v>100</v>
      </c>
      <c r="T35" s="771" t="s">
        <v>17</v>
      </c>
      <c r="U35" s="772">
        <f t="shared" si="13"/>
        <v>100</v>
      </c>
      <c r="V35" s="771" t="s">
        <v>17</v>
      </c>
      <c r="W35" s="772">
        <f t="shared" si="14"/>
        <v>100</v>
      </c>
      <c r="X35" s="1809"/>
      <c r="Y35" s="3275" t="s">
        <v>2561</v>
      </c>
      <c r="Z35" s="1810" t="str">
        <f t="shared" si="15"/>
        <v>市政基础设施</v>
      </c>
      <c r="AA35" s="1807">
        <f t="shared" si="3"/>
        <v>1</v>
      </c>
      <c r="AB35" s="1807">
        <f t="shared" si="4"/>
        <v>1</v>
      </c>
      <c r="AC35" s="1807">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75"/>
      <c r="Q36" s="1806" t="str">
        <f t="shared" si="11"/>
        <v>内部装修</v>
      </c>
      <c r="R36" s="771" t="s">
        <v>17</v>
      </c>
      <c r="S36" s="772">
        <f t="shared" si="12"/>
        <v>100</v>
      </c>
      <c r="T36" s="771" t="s">
        <v>17</v>
      </c>
      <c r="U36" s="772">
        <f t="shared" si="13"/>
        <v>100</v>
      </c>
      <c r="V36" s="771" t="s">
        <v>17</v>
      </c>
      <c r="W36" s="772">
        <f t="shared" si="14"/>
        <v>100</v>
      </c>
      <c r="X36" s="1809"/>
      <c r="Y36" s="3275"/>
      <c r="Z36" s="1810" t="str">
        <f t="shared" si="15"/>
        <v>内部装修</v>
      </c>
      <c r="AA36" s="1807">
        <f t="shared" si="3"/>
        <v>1</v>
      </c>
      <c r="AB36" s="1807">
        <f t="shared" si="4"/>
        <v>1</v>
      </c>
      <c r="AC36" s="1807">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75"/>
      <c r="Q37" s="1806" t="str">
        <f t="shared" si="11"/>
        <v>内部装修状况</v>
      </c>
      <c r="R37" s="771" t="s">
        <v>17</v>
      </c>
      <c r="S37" s="772">
        <f t="shared" si="12"/>
        <v>100</v>
      </c>
      <c r="T37" s="771" t="s">
        <v>17</v>
      </c>
      <c r="U37" s="772">
        <f t="shared" si="13"/>
        <v>100</v>
      </c>
      <c r="V37" s="771" t="s">
        <v>17</v>
      </c>
      <c r="W37" s="772">
        <f t="shared" si="14"/>
        <v>100</v>
      </c>
      <c r="X37" s="1809"/>
      <c r="Y37" s="3275"/>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75"/>
      <c r="Q38" s="773">
        <f t="shared" si="11"/>
        <v>111</v>
      </c>
      <c r="R38" s="774" t="s">
        <v>17</v>
      </c>
      <c r="S38" s="775">
        <f t="shared" si="12"/>
        <v>100</v>
      </c>
      <c r="T38" s="774" t="s">
        <v>17</v>
      </c>
      <c r="U38" s="775">
        <f t="shared" si="13"/>
        <v>100</v>
      </c>
      <c r="V38" s="774" t="s">
        <v>17</v>
      </c>
      <c r="W38" s="775">
        <f t="shared" si="14"/>
        <v>100</v>
      </c>
      <c r="X38" s="776"/>
      <c r="Y38" s="3275"/>
      <c r="Z38" s="777">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75"/>
      <c r="Q39" s="1806">
        <f t="shared" si="11"/>
        <v>111</v>
      </c>
      <c r="R39" s="771" t="s">
        <v>17</v>
      </c>
      <c r="S39" s="772">
        <f t="shared" si="12"/>
        <v>100</v>
      </c>
      <c r="T39" s="771" t="s">
        <v>17</v>
      </c>
      <c r="U39" s="772">
        <f t="shared" si="13"/>
        <v>100</v>
      </c>
      <c r="V39" s="771" t="s">
        <v>17</v>
      </c>
      <c r="W39" s="772">
        <f t="shared" si="14"/>
        <v>100</v>
      </c>
      <c r="X39" s="1809"/>
      <c r="Y39" s="3275"/>
      <c r="Z39" s="1810">
        <f t="shared" si="15"/>
        <v>111</v>
      </c>
      <c r="AA39" s="1807">
        <f t="shared" si="3"/>
        <v>1</v>
      </c>
      <c r="AB39" s="1807">
        <f t="shared" si="4"/>
        <v>1</v>
      </c>
      <c r="AC39" s="1807">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15"/>
      <c r="Q40" s="1806">
        <f t="shared" si="11"/>
        <v>111</v>
      </c>
      <c r="R40" s="771" t="s">
        <v>17</v>
      </c>
      <c r="S40" s="772">
        <f t="shared" si="12"/>
        <v>100</v>
      </c>
      <c r="T40" s="771" t="s">
        <v>17</v>
      </c>
      <c r="U40" s="772">
        <f t="shared" si="13"/>
        <v>100</v>
      </c>
      <c r="V40" s="771" t="s">
        <v>17</v>
      </c>
      <c r="W40" s="772">
        <f t="shared" si="14"/>
        <v>100</v>
      </c>
      <c r="X40" s="1809"/>
      <c r="Y40" s="3315"/>
      <c r="Z40" s="1810">
        <f t="shared" si="15"/>
        <v>111</v>
      </c>
      <c r="AA40" s="1807">
        <f t="shared" si="3"/>
        <v>1</v>
      </c>
      <c r="AB40" s="1807">
        <f t="shared" si="4"/>
        <v>1</v>
      </c>
      <c r="AC40" s="1807">
        <f t="shared" si="5"/>
        <v>1</v>
      </c>
    </row>
    <row r="41" spans="1:29" ht="15">
      <c r="A41" s="477" t="s">
        <v>2573</v>
      </c>
      <c r="B41" s="478"/>
      <c r="C41" s="1404" t="s">
        <v>1</v>
      </c>
      <c r="D41" s="1405"/>
      <c r="E41" s="1406"/>
      <c r="F41" s="1407"/>
      <c r="G41" s="1408"/>
      <c r="H41" s="1409"/>
      <c r="I41" s="1406"/>
      <c r="J41" s="1409"/>
      <c r="K41" s="780"/>
      <c r="L41" s="1140"/>
      <c r="M41" s="1141"/>
      <c r="N41" s="1128"/>
      <c r="O41" s="1141"/>
      <c r="P41" s="3257" t="str">
        <f>A41</f>
        <v>成交单价（元/平方米）</v>
      </c>
      <c r="Q41" s="3257"/>
      <c r="R41" s="3311">
        <f>E41</f>
        <v>0</v>
      </c>
      <c r="S41" s="3311"/>
      <c r="T41" s="3311">
        <f>G41</f>
        <v>0</v>
      </c>
      <c r="U41" s="3311"/>
      <c r="V41" s="3311">
        <f>I41</f>
        <v>0</v>
      </c>
      <c r="W41" s="3311"/>
      <c r="X41" s="756"/>
      <c r="Y41" s="778"/>
      <c r="Z41" s="756"/>
      <c r="AA41" s="756"/>
      <c r="AB41" s="756"/>
      <c r="AC41" s="756"/>
    </row>
    <row r="42" spans="1:29" ht="15.75" thickBot="1">
      <c r="A42" s="484" t="s">
        <v>2665</v>
      </c>
      <c r="B42" s="485"/>
      <c r="C42" s="1410" t="e">
        <f>R43</f>
        <v>#DIV/0!</v>
      </c>
      <c r="D42" s="1411"/>
      <c r="E42" s="1412" t="e">
        <f>R42</f>
        <v>#DIV/0!</v>
      </c>
      <c r="F42" s="1412"/>
      <c r="G42" s="1410" t="e">
        <f>T42</f>
        <v>#DIV/0!</v>
      </c>
      <c r="H42" s="1411"/>
      <c r="I42" s="1412" t="e">
        <f>V42</f>
        <v>#DIV/0!</v>
      </c>
      <c r="J42" s="1411"/>
      <c r="K42" s="781"/>
      <c r="L42" s="1140"/>
      <c r="M42" s="1141"/>
      <c r="N42" s="1128"/>
      <c r="O42" s="1141"/>
      <c r="P42" s="3257" t="str">
        <f>A42</f>
        <v>比较价值（元/平方米）</v>
      </c>
      <c r="Q42" s="3257"/>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756"/>
      <c r="Y42" s="756"/>
      <c r="Z42" s="756"/>
      <c r="AA42" s="756"/>
      <c r="AB42" s="756"/>
      <c r="AC42" s="756"/>
    </row>
    <row r="43" spans="1:29" ht="15.75" thickBot="1">
      <c r="A43" s="490" t="s">
        <v>2666</v>
      </c>
      <c r="B43" s="491"/>
      <c r="C43" s="1414" t="e">
        <f>R43</f>
        <v>#DIV/0!</v>
      </c>
      <c r="D43" s="1414"/>
      <c r="E43" s="1414"/>
      <c r="F43" s="1414"/>
      <c r="G43" s="1414"/>
      <c r="H43" s="1414"/>
      <c r="I43" s="1414"/>
      <c r="J43" s="1414"/>
      <c r="K43" s="782"/>
      <c r="L43" s="1140"/>
      <c r="M43" s="1141"/>
      <c r="N43" s="1141"/>
      <c r="O43" s="1141"/>
      <c r="P43" s="3277" t="str">
        <f>A43</f>
        <v>估价对象XX用房的比较价值（楼面单价，元/平方米）</v>
      </c>
      <c r="Q43" s="3278"/>
      <c r="R43" s="3310" t="e">
        <f>IF(F1="售价",ROUND(AVERAGE(R42:V42),0),ROUND(AVERAGE(R42:V42),1))</f>
        <v>#DIV/0!</v>
      </c>
      <c r="S43" s="3310"/>
      <c r="T43" s="3310"/>
      <c r="U43" s="3310"/>
      <c r="V43" s="3310"/>
      <c r="W43" s="3310"/>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2670</v>
      </c>
      <c r="B51" s="756"/>
      <c r="C51" s="761"/>
      <c r="D51" s="761"/>
      <c r="E51" s="761"/>
      <c r="F51" s="762"/>
      <c r="G51" s="762"/>
      <c r="H51" s="761"/>
      <c r="I51" s="761"/>
      <c r="J51" s="761"/>
      <c r="K51" s="1157"/>
      <c r="L51" s="1158"/>
      <c r="M51" s="1156"/>
      <c r="N51" s="1156"/>
      <c r="O51" s="1156"/>
      <c r="P51" s="501"/>
      <c r="Q51" s="502"/>
    </row>
    <row r="52" spans="1:17" s="506" customFormat="1" ht="15">
      <c r="A52" s="503" t="s">
        <v>2544</v>
      </c>
      <c r="B52" s="504"/>
      <c r="C52" s="1570" t="str">
        <f>YEAR(C7)&amp;"-"&amp;MONTH(C7)</f>
        <v>2020-3</v>
      </c>
      <c r="D52" s="1571">
        <f>EDATE(C52,-1)</f>
        <v>43862</v>
      </c>
      <c r="E52" s="1571">
        <f t="shared" ref="E52:O52" si="16">EDATE(D52,-1)</f>
        <v>43831</v>
      </c>
      <c r="F52" s="1571">
        <f t="shared" si="16"/>
        <v>43800</v>
      </c>
      <c r="G52" s="1571">
        <f t="shared" si="16"/>
        <v>43770</v>
      </c>
      <c r="H52" s="1571">
        <f t="shared" si="16"/>
        <v>43739</v>
      </c>
      <c r="I52" s="1571">
        <f t="shared" si="16"/>
        <v>43709</v>
      </c>
      <c r="J52" s="1571">
        <f t="shared" si="16"/>
        <v>43678</v>
      </c>
      <c r="K52" s="1571">
        <f t="shared" si="16"/>
        <v>43647</v>
      </c>
      <c r="L52" s="1571">
        <f t="shared" si="16"/>
        <v>43617</v>
      </c>
      <c r="M52" s="1571">
        <f t="shared" si="16"/>
        <v>43586</v>
      </c>
      <c r="N52" s="1571">
        <f t="shared" si="16"/>
        <v>43556</v>
      </c>
      <c r="O52" s="1571">
        <f t="shared" si="16"/>
        <v>43525</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2581</v>
      </c>
      <c r="B54" s="514"/>
      <c r="C54" s="515"/>
      <c r="D54" s="516"/>
      <c r="E54" s="516"/>
      <c r="F54" s="516"/>
      <c r="G54" s="516"/>
      <c r="H54" s="516"/>
      <c r="I54" s="516"/>
      <c r="J54" s="516"/>
      <c r="K54" s="516"/>
      <c r="L54" s="516"/>
      <c r="M54" s="517"/>
      <c r="N54" s="516"/>
      <c r="O54" s="518"/>
      <c r="P54" s="502"/>
      <c r="Q54" s="502"/>
    </row>
    <row r="55" spans="1:17" s="117" customFormat="1" ht="15">
      <c r="A55" s="519" t="s">
        <v>2546</v>
      </c>
      <c r="B55" s="508"/>
      <c r="C55" s="520" t="s">
        <v>2648</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2584</v>
      </c>
      <c r="B57" s="526" t="s">
        <v>2550</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2685</v>
      </c>
      <c r="C76" s="658" t="s">
        <v>2671</v>
      </c>
      <c r="D76" s="658" t="s">
        <v>2672</v>
      </c>
      <c r="E76" s="658" t="s">
        <v>2673</v>
      </c>
      <c r="F76" s="658" t="s">
        <v>2674</v>
      </c>
      <c r="G76" s="658" t="s">
        <v>2675</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4"/>
      <c r="B87" s="567"/>
      <c r="C87" s="568"/>
      <c r="D87" s="568"/>
      <c r="E87" s="568"/>
      <c r="F87" s="568"/>
      <c r="G87" s="589"/>
      <c r="H87" s="589"/>
      <c r="I87" s="589"/>
      <c r="J87" s="589"/>
      <c r="K87" s="589"/>
      <c r="L87" s="589"/>
      <c r="M87" s="590"/>
      <c r="N87" s="1150"/>
      <c r="O87" s="1150"/>
      <c r="P87" s="45"/>
      <c r="Q87" s="502"/>
    </row>
    <row r="88" spans="1:17">
      <c r="A88" s="525" t="s">
        <v>2559</v>
      </c>
      <c r="B88" s="526" t="s">
        <v>2608</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2610</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2612</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2613</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2614</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2616</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4"/>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401" customWidth="1"/>
    <col min="2" max="2" width="15.87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5.5" style="401" customWidth="1"/>
    <col min="10" max="10" width="12.125" style="401" customWidth="1"/>
    <col min="11" max="11" width="12.125" style="493" customWidth="1"/>
    <col min="12" max="12" width="12.125" style="494" customWidth="1"/>
    <col min="13" max="15" width="12.125" style="401" customWidth="1"/>
    <col min="16" max="16" width="4.875" style="1120"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29" s="1625" customFormat="1" ht="28.5" customHeight="1" thickBot="1">
      <c r="A1" s="1614" t="s">
        <v>2703</v>
      </c>
      <c r="B1" s="1615"/>
      <c r="C1" s="1616" t="s">
        <v>2526</v>
      </c>
      <c r="D1" s="1617"/>
      <c r="E1" s="1618"/>
      <c r="F1" s="2582"/>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2326</v>
      </c>
      <c r="B2" s="1415" t="e">
        <f ca="1">IF(C2="——",IF(B37="元/平方米",ROUND(C39*D3/10000,0),ROUND(F3*C39/10000,0)),IF(B37="元/平方米",ROUND(C39*D3/10000,0),ROUND(F3*C39/10000,0))-D2)</f>
        <v>#DIV/0!</v>
      </c>
      <c r="C2" s="2584"/>
      <c r="D2" s="1121" t="e">
        <f ca="1">SUMIF(INDIRECT("'"&amp;F2&amp;"'"&amp;"!A:A"),"承租人权益价值",INDIRECT("'"&amp;F2&amp;"'"&amp;"!c:c"))</f>
        <v>#REF!</v>
      </c>
      <c r="E2" s="2585" t="s">
        <v>2327</v>
      </c>
      <c r="F2" s="258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2328</v>
      </c>
      <c r="B3" s="607" t="e">
        <f ca="1">IF(AND(C2="——",B37="元/平方米"),C39,ROUND(B2*10000/D3,0))</f>
        <v>#DIV/0!</v>
      </c>
      <c r="C3" s="398" t="s">
        <v>2640</v>
      </c>
      <c r="D3" s="397">
        <f>SUMIF('数据-汇总表'!$C19:$C33,D1,'数据-汇总表'!$E19:$E33)</f>
        <v>0</v>
      </c>
      <c r="E3" s="398" t="s">
        <v>2704</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2641</v>
      </c>
      <c r="B4" s="400"/>
      <c r="C4" s="3258" t="s">
        <v>2642</v>
      </c>
      <c r="D4" s="3259"/>
      <c r="E4" s="3260" t="s">
        <v>2643</v>
      </c>
      <c r="F4" s="3261"/>
      <c r="G4" s="3258" t="s">
        <v>2644</v>
      </c>
      <c r="H4" s="3259"/>
      <c r="I4" s="3258" t="s">
        <v>2645</v>
      </c>
      <c r="J4" s="3259"/>
      <c r="K4" s="608" t="s">
        <v>2646</v>
      </c>
      <c r="L4" s="1127"/>
      <c r="M4" s="1128"/>
      <c r="N4" s="1128"/>
      <c r="O4" s="1128"/>
      <c r="P4" s="3262" t="s">
        <v>2647</v>
      </c>
      <c r="Q4" s="3263"/>
      <c r="R4" s="3245" t="s">
        <v>2643</v>
      </c>
      <c r="S4" s="3246"/>
      <c r="T4" s="3245" t="s">
        <v>2644</v>
      </c>
      <c r="U4" s="3246"/>
      <c r="V4" s="3270" t="s">
        <v>2645</v>
      </c>
      <c r="W4" s="3270"/>
      <c r="X4" s="1809"/>
      <c r="Y4" s="3245" t="s">
        <v>2647</v>
      </c>
      <c r="Z4" s="3246"/>
      <c r="AA4" s="3240" t="s">
        <v>2643</v>
      </c>
      <c r="AB4" s="3241" t="s">
        <v>2644</v>
      </c>
      <c r="AC4" s="3240" t="s">
        <v>2645</v>
      </c>
    </row>
    <row r="5" spans="1:29" ht="15">
      <c r="A5" s="402"/>
      <c r="B5" s="403"/>
      <c r="C5" s="3251" t="s">
        <v>2538</v>
      </c>
      <c r="D5" s="3252"/>
      <c r="E5" s="3249" t="s">
        <v>2539</v>
      </c>
      <c r="F5" s="3250"/>
      <c r="G5" s="3251" t="s">
        <v>2540</v>
      </c>
      <c r="H5" s="3252"/>
      <c r="I5" s="3251" t="s">
        <v>2541</v>
      </c>
      <c r="J5" s="3252"/>
      <c r="K5" s="608"/>
      <c r="L5" s="1127"/>
      <c r="M5" s="1128"/>
      <c r="N5" s="1128"/>
      <c r="O5" s="1128"/>
      <c r="P5" s="3264"/>
      <c r="Q5" s="3265"/>
      <c r="R5" s="3247"/>
      <c r="S5" s="3248"/>
      <c r="T5" s="3247"/>
      <c r="U5" s="3248"/>
      <c r="V5" s="3270"/>
      <c r="W5" s="3270"/>
      <c r="X5" s="1809"/>
      <c r="Y5" s="3247"/>
      <c r="Z5" s="3248"/>
      <c r="AA5" s="3241"/>
      <c r="AB5" s="3241"/>
      <c r="AC5" s="3241"/>
    </row>
    <row r="6" spans="1:29" ht="15.75" thickBot="1">
      <c r="A6" s="404"/>
      <c r="B6" s="405"/>
      <c r="C6" s="3253" t="s">
        <v>2542</v>
      </c>
      <c r="D6" s="3254"/>
      <c r="E6" s="3255" t="s">
        <v>2542</v>
      </c>
      <c r="F6" s="3256"/>
      <c r="G6" s="3253" t="s">
        <v>2542</v>
      </c>
      <c r="H6" s="3254"/>
      <c r="I6" s="3253" t="s">
        <v>2542</v>
      </c>
      <c r="J6" s="3254"/>
      <c r="K6" s="608" t="s">
        <v>2543</v>
      </c>
      <c r="L6" s="1127"/>
      <c r="M6" s="1128"/>
      <c r="N6" s="1128"/>
      <c r="O6" s="1128"/>
      <c r="P6" s="3266"/>
      <c r="Q6" s="3267"/>
      <c r="R6" s="3247"/>
      <c r="S6" s="3248"/>
      <c r="T6" s="3268"/>
      <c r="U6" s="3269"/>
      <c r="V6" s="3270"/>
      <c r="W6" s="3270"/>
      <c r="X6" s="1809"/>
      <c r="Y6" s="3268"/>
      <c r="Z6" s="3269"/>
      <c r="AA6" s="3242"/>
      <c r="AB6" s="3242"/>
      <c r="AC6" s="3242"/>
    </row>
    <row r="7" spans="1:29" s="117" customFormat="1" ht="15.75" thickBot="1">
      <c r="A7" s="406" t="s">
        <v>2544</v>
      </c>
      <c r="B7" s="407"/>
      <c r="C7" s="408">
        <f>'数据-取费表'!B2</f>
        <v>43905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43" t="s">
        <v>2545</v>
      </c>
      <c r="Q7" s="3271"/>
      <c r="R7" s="767" t="s">
        <v>17</v>
      </c>
      <c r="S7" s="768">
        <f t="shared" ref="S7:S14" si="0">F7</f>
        <v>0</v>
      </c>
      <c r="T7" s="767" t="s">
        <v>17</v>
      </c>
      <c r="U7" s="768">
        <f t="shared" ref="U7:U14" si="1">H7</f>
        <v>0</v>
      </c>
      <c r="V7" s="767" t="s">
        <v>17</v>
      </c>
      <c r="W7" s="768">
        <f t="shared" ref="W7:W14" si="2">J7</f>
        <v>0</v>
      </c>
      <c r="X7" s="769"/>
      <c r="Y7" s="3243" t="s">
        <v>2545</v>
      </c>
      <c r="Z7" s="3244"/>
      <c r="AA7" s="770" t="e">
        <f>D7/F7</f>
        <v>#DIV/0!</v>
      </c>
      <c r="AB7" s="770" t="e">
        <f>D7/H7</f>
        <v>#DIV/0!</v>
      </c>
      <c r="AC7" s="770" t="e">
        <f>D7/J7</f>
        <v>#DIV/0!</v>
      </c>
    </row>
    <row r="8" spans="1:29" s="117"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43" t="s">
        <v>2548</v>
      </c>
      <c r="Q8" s="3244"/>
      <c r="R8" s="767" t="s">
        <v>17</v>
      </c>
      <c r="S8" s="768">
        <f t="shared" si="0"/>
        <v>0</v>
      </c>
      <c r="T8" s="767" t="s">
        <v>17</v>
      </c>
      <c r="U8" s="768">
        <f t="shared" si="1"/>
        <v>0</v>
      </c>
      <c r="V8" s="767" t="s">
        <v>17</v>
      </c>
      <c r="W8" s="768">
        <f t="shared" si="2"/>
        <v>0</v>
      </c>
      <c r="X8" s="769"/>
      <c r="Y8" s="3243" t="s">
        <v>2548</v>
      </c>
      <c r="Z8" s="3244"/>
      <c r="AA8" s="770" t="e">
        <f t="shared" ref="AA8:AA36" si="3">D8/F8</f>
        <v>#DIV/0!</v>
      </c>
      <c r="AB8" s="770" t="e">
        <f t="shared" ref="AB8:AB36" si="4">D8/H8</f>
        <v>#DIV/0!</v>
      </c>
      <c r="AC8" s="770" t="e">
        <f t="shared" ref="AC8:AC36" si="5">D8/J8</f>
        <v>#DIV/0!</v>
      </c>
    </row>
    <row r="9" spans="1:29" s="117" customFormat="1">
      <c r="A9" s="68" t="s">
        <v>2549</v>
      </c>
      <c r="B9" s="638" t="s">
        <v>2550</v>
      </c>
      <c r="C9" s="414"/>
      <c r="D9" s="135">
        <v>100</v>
      </c>
      <c r="E9" s="417"/>
      <c r="F9" s="135">
        <f>SUMIF(53:53,E9,54:54)-SUMIF(53:53,C9,54:54)+100</f>
        <v>100</v>
      </c>
      <c r="G9" s="415"/>
      <c r="H9" s="135">
        <f>SUMIF(53:53,G9,54:54)-SUMIF(53:53,C9,54:54)+100</f>
        <v>100</v>
      </c>
      <c r="I9" s="415"/>
      <c r="J9" s="135">
        <f>SUMIF(53:53,I9,54:54)-SUMIF(53:53,C9,54:54)+100</f>
        <v>100</v>
      </c>
      <c r="K9" s="609"/>
      <c r="L9" s="1129"/>
      <c r="M9" s="1130"/>
      <c r="N9" s="1130"/>
      <c r="O9" s="1130"/>
      <c r="P9" s="3257" t="s">
        <v>2551</v>
      </c>
      <c r="Q9" s="1791" t="str">
        <f t="shared" ref="Q9:Q14" si="6">B9</f>
        <v>用途</v>
      </c>
      <c r="R9" s="767" t="s">
        <v>17</v>
      </c>
      <c r="S9" s="768">
        <f t="shared" si="0"/>
        <v>100</v>
      </c>
      <c r="T9" s="767" t="s">
        <v>17</v>
      </c>
      <c r="U9" s="768">
        <f t="shared" si="1"/>
        <v>100</v>
      </c>
      <c r="V9" s="767" t="s">
        <v>17</v>
      </c>
      <c r="W9" s="768">
        <f t="shared" si="2"/>
        <v>100</v>
      </c>
      <c r="X9" s="769"/>
      <c r="Y9" s="3091" t="s">
        <v>2552</v>
      </c>
      <c r="Z9" s="55" t="str">
        <f t="shared" ref="Z9:Z14" si="7">Q9</f>
        <v>用途</v>
      </c>
      <c r="AA9" s="770">
        <f t="shared" si="3"/>
        <v>1</v>
      </c>
      <c r="AB9" s="770">
        <f t="shared" si="4"/>
        <v>1</v>
      </c>
      <c r="AC9" s="770">
        <f t="shared" si="5"/>
        <v>1</v>
      </c>
    </row>
    <row r="10" spans="1:29" s="425" customFormat="1" ht="27">
      <c r="A10" s="639"/>
      <c r="B10" s="640" t="s">
        <v>2553</v>
      </c>
      <c r="C10" s="421"/>
      <c r="D10" s="136">
        <v>100</v>
      </c>
      <c r="E10" s="421"/>
      <c r="F10" s="136">
        <f>SUMIF(55:55,E10,56:56)-SUMIF(55:55,C10,56:56)+100</f>
        <v>100</v>
      </c>
      <c r="G10" s="422"/>
      <c r="H10" s="136">
        <f>SUMIF(55:55,G10,56:56)-SUMIF(55:55,C10,56:56)+100</f>
        <v>100</v>
      </c>
      <c r="I10" s="421"/>
      <c r="J10" s="136">
        <f>SUMIF(55:55,I10,56:56)-SUMIF(55:55,C10,56:56)+100</f>
        <v>100</v>
      </c>
      <c r="K10" s="610"/>
      <c r="L10" s="1132"/>
      <c r="M10" s="1133"/>
      <c r="N10" s="1133"/>
      <c r="O10" s="1133"/>
      <c r="P10" s="3257"/>
      <c r="Q10" s="1791" t="str">
        <f t="shared" si="6"/>
        <v>土地使用年限（年）</v>
      </c>
      <c r="R10" s="767" t="s">
        <v>17</v>
      </c>
      <c r="S10" s="768">
        <f t="shared" si="0"/>
        <v>100</v>
      </c>
      <c r="T10" s="767" t="s">
        <v>17</v>
      </c>
      <c r="U10" s="768">
        <f t="shared" si="1"/>
        <v>100</v>
      </c>
      <c r="V10" s="767" t="s">
        <v>17</v>
      </c>
      <c r="W10" s="768">
        <f t="shared" si="2"/>
        <v>100</v>
      </c>
      <c r="X10" s="769"/>
      <c r="Y10" s="3091"/>
      <c r="Z10" s="55" t="str">
        <f t="shared" si="7"/>
        <v>土地使用年限（年）</v>
      </c>
      <c r="AA10" s="770">
        <f t="shared" si="3"/>
        <v>1</v>
      </c>
      <c r="AB10" s="770">
        <f t="shared" si="4"/>
        <v>1</v>
      </c>
      <c r="AC10" s="770">
        <f t="shared" si="5"/>
        <v>1</v>
      </c>
    </row>
    <row r="11" spans="1:29" ht="15">
      <c r="A11" s="641"/>
      <c r="B11" s="642">
        <v>111</v>
      </c>
      <c r="C11" s="430"/>
      <c r="D11" s="136">
        <v>100</v>
      </c>
      <c r="E11" s="430"/>
      <c r="F11" s="136">
        <f>SUMIF(57:57,E11,58:58)-SUMIF(57:57,C11,58:58)+100</f>
        <v>100</v>
      </c>
      <c r="G11" s="430"/>
      <c r="H11" s="136">
        <f>SUMIF(57:57,G11,58:58)-SUMIF(57:57,C11,58:58)+100</f>
        <v>100</v>
      </c>
      <c r="I11" s="430"/>
      <c r="J11" s="136">
        <f>SUMIF(57:57,I11,58:58)-SUMIF(57:57,C11,58:58)+100</f>
        <v>100</v>
      </c>
      <c r="K11" s="611"/>
      <c r="L11" s="1135"/>
      <c r="M11" s="1128"/>
      <c r="N11" s="1128"/>
      <c r="O11" s="1128"/>
      <c r="P11" s="3257"/>
      <c r="Q11" s="1791">
        <f t="shared" si="6"/>
        <v>111</v>
      </c>
      <c r="R11" s="767" t="s">
        <v>17</v>
      </c>
      <c r="S11" s="768">
        <f t="shared" si="0"/>
        <v>100</v>
      </c>
      <c r="T11" s="767" t="s">
        <v>17</v>
      </c>
      <c r="U11" s="768">
        <f t="shared" si="1"/>
        <v>100</v>
      </c>
      <c r="V11" s="767" t="s">
        <v>17</v>
      </c>
      <c r="W11" s="768">
        <f t="shared" si="2"/>
        <v>100</v>
      </c>
      <c r="X11" s="769"/>
      <c r="Y11" s="3091"/>
      <c r="Z11" s="55">
        <f t="shared" si="7"/>
        <v>111</v>
      </c>
      <c r="AA11" s="770">
        <f t="shared" si="3"/>
        <v>1</v>
      </c>
      <c r="AB11" s="770">
        <f t="shared" si="4"/>
        <v>1</v>
      </c>
      <c r="AC11" s="770">
        <f t="shared" si="5"/>
        <v>1</v>
      </c>
    </row>
    <row r="12" spans="1:29" s="117" customFormat="1" ht="15">
      <c r="A12" s="643"/>
      <c r="B12" s="642">
        <v>111</v>
      </c>
      <c r="C12" s="430"/>
      <c r="D12" s="431">
        <v>100</v>
      </c>
      <c r="E12" s="430"/>
      <c r="F12" s="136">
        <f>SUMIF(59:59,E12,60:60)-SUMIF(59:59,C12,60:60)+100</f>
        <v>100</v>
      </c>
      <c r="G12" s="430"/>
      <c r="H12" s="136">
        <f>SUMIF(59:59,G12,60:60)-SUMIF(59:59,C12,60:60)+100</f>
        <v>100</v>
      </c>
      <c r="I12" s="430"/>
      <c r="J12" s="136">
        <f>SUMIF(59:59,I12,60:60)-SUMIF(59:59,C12,60:60)+100</f>
        <v>100</v>
      </c>
      <c r="K12" s="611"/>
      <c r="L12" s="1129"/>
      <c r="M12" s="1130"/>
      <c r="N12" s="1130"/>
      <c r="O12" s="1130"/>
      <c r="P12" s="3257"/>
      <c r="Q12" s="1791">
        <f t="shared" si="6"/>
        <v>111</v>
      </c>
      <c r="R12" s="767" t="s">
        <v>17</v>
      </c>
      <c r="S12" s="768">
        <f t="shared" si="0"/>
        <v>100</v>
      </c>
      <c r="T12" s="767" t="s">
        <v>17</v>
      </c>
      <c r="U12" s="768">
        <f t="shared" si="1"/>
        <v>100</v>
      </c>
      <c r="V12" s="767" t="s">
        <v>17</v>
      </c>
      <c r="W12" s="768">
        <f t="shared" si="2"/>
        <v>100</v>
      </c>
      <c r="X12" s="769"/>
      <c r="Y12" s="3091"/>
      <c r="Z12" s="55">
        <f t="shared" si="7"/>
        <v>111</v>
      </c>
      <c r="AA12" s="770">
        <f>D12/F12</f>
        <v>1</v>
      </c>
      <c r="AB12" s="770">
        <f>D12/H12</f>
        <v>1</v>
      </c>
      <c r="AC12" s="770">
        <f>D12/J12</f>
        <v>1</v>
      </c>
    </row>
    <row r="13" spans="1:29" ht="15.75" thickBot="1">
      <c r="A13" s="644"/>
      <c r="B13" s="642">
        <v>111</v>
      </c>
      <c r="C13" s="432"/>
      <c r="D13" s="433">
        <v>100</v>
      </c>
      <c r="E13" s="430"/>
      <c r="F13" s="136">
        <f>SUMIF(61:61,E13,62:62)-SUMIF(61:61,C13,62:62)+100</f>
        <v>100</v>
      </c>
      <c r="G13" s="430"/>
      <c r="H13" s="433">
        <f>SUMIF(61:61,G13,62:62)-SUMIF(61:61,C13,62:62)+100</f>
        <v>100</v>
      </c>
      <c r="I13" s="430"/>
      <c r="J13" s="433">
        <f>SUMIF(61:61,I13,62:62)-SUMIF(61:61,C13,62:62)+100</f>
        <v>100</v>
      </c>
      <c r="K13" s="611"/>
      <c r="L13" s="1137"/>
      <c r="M13" s="1128"/>
      <c r="N13" s="1128"/>
      <c r="O13" s="1128"/>
      <c r="P13" s="3257"/>
      <c r="Q13" s="1791">
        <f t="shared" si="6"/>
        <v>111</v>
      </c>
      <c r="R13" s="767" t="s">
        <v>17</v>
      </c>
      <c r="S13" s="768">
        <f t="shared" si="0"/>
        <v>100</v>
      </c>
      <c r="T13" s="767" t="s">
        <v>17</v>
      </c>
      <c r="U13" s="768">
        <f t="shared" si="1"/>
        <v>100</v>
      </c>
      <c r="V13" s="767" t="s">
        <v>17</v>
      </c>
      <c r="W13" s="768">
        <f t="shared" si="2"/>
        <v>100</v>
      </c>
      <c r="X13" s="769"/>
      <c r="Y13" s="3091"/>
      <c r="Z13" s="55">
        <f t="shared" si="7"/>
        <v>111</v>
      </c>
      <c r="AA13" s="770">
        <f t="shared" si="3"/>
        <v>1</v>
      </c>
      <c r="AB13" s="770">
        <f t="shared" si="4"/>
        <v>1</v>
      </c>
      <c r="AC13" s="770">
        <f t="shared" si="5"/>
        <v>1</v>
      </c>
    </row>
    <row r="14" spans="1:29" ht="85.5">
      <c r="A14" s="399" t="s">
        <v>2555</v>
      </c>
      <c r="B14" s="627" t="s">
        <v>2705</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72" t="s">
        <v>2556</v>
      </c>
      <c r="Q14" s="1806" t="str">
        <f t="shared" si="6"/>
        <v>交通便捷度</v>
      </c>
      <c r="R14" s="771" t="s">
        <v>17</v>
      </c>
      <c r="S14" s="772">
        <f t="shared" si="0"/>
        <v>100</v>
      </c>
      <c r="T14" s="771" t="s">
        <v>17</v>
      </c>
      <c r="U14" s="772">
        <f t="shared" si="1"/>
        <v>100</v>
      </c>
      <c r="V14" s="771" t="s">
        <v>17</v>
      </c>
      <c r="W14" s="772">
        <f t="shared" si="2"/>
        <v>100</v>
      </c>
      <c r="X14" s="1809"/>
      <c r="Y14" s="3272" t="s">
        <v>2556</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273"/>
      <c r="Q15" s="1806"/>
      <c r="R15" s="771"/>
      <c r="S15" s="772"/>
      <c r="T15" s="771"/>
      <c r="U15" s="772"/>
      <c r="V15" s="771"/>
      <c r="W15" s="772"/>
      <c r="X15" s="1809"/>
      <c r="Y15" s="3273"/>
      <c r="Z15" s="1810"/>
      <c r="AA15" s="1807">
        <v>1</v>
      </c>
      <c r="AB15" s="1807">
        <v>1</v>
      </c>
      <c r="AC15" s="1807">
        <v>1</v>
      </c>
    </row>
    <row r="16" spans="1:29" ht="42.75">
      <c r="A16" s="402"/>
      <c r="B16" s="629" t="s">
        <v>2684</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73"/>
      <c r="Q16" s="1806" t="str">
        <f>B16</f>
        <v>公共配套设施</v>
      </c>
      <c r="R16" s="771" t="s">
        <v>17</v>
      </c>
      <c r="S16" s="772">
        <f>F16</f>
        <v>100</v>
      </c>
      <c r="T16" s="771" t="s">
        <v>17</v>
      </c>
      <c r="U16" s="772">
        <f>H16</f>
        <v>100</v>
      </c>
      <c r="V16" s="771" t="s">
        <v>17</v>
      </c>
      <c r="W16" s="772">
        <f>J16</f>
        <v>100</v>
      </c>
      <c r="X16" s="1809"/>
      <c r="Y16" s="3273"/>
      <c r="Z16" s="1810" t="str">
        <f>Q16</f>
        <v>公共配套设施</v>
      </c>
      <c r="AA16" s="1807">
        <f t="shared" si="3"/>
        <v>1</v>
      </c>
      <c r="AB16" s="1807">
        <f t="shared" si="4"/>
        <v>1</v>
      </c>
      <c r="AC16" s="1807">
        <f t="shared" si="5"/>
        <v>1</v>
      </c>
    </row>
    <row r="17" spans="1:29" ht="15">
      <c r="A17" s="402"/>
      <c r="B17" s="630"/>
      <c r="C17" s="2606"/>
      <c r="D17" s="446"/>
      <c r="E17" s="445"/>
      <c r="F17" s="447"/>
      <c r="G17" s="445"/>
      <c r="H17" s="446"/>
      <c r="I17" s="445"/>
      <c r="J17" s="446"/>
      <c r="K17" s="613"/>
      <c r="L17" s="1137"/>
      <c r="M17" s="1128"/>
      <c r="N17" s="1128"/>
      <c r="O17" s="1128"/>
      <c r="P17" s="3273"/>
      <c r="Q17" s="1806"/>
      <c r="R17" s="771"/>
      <c r="S17" s="772"/>
      <c r="T17" s="771"/>
      <c r="U17" s="772"/>
      <c r="V17" s="771"/>
      <c r="W17" s="772"/>
      <c r="X17" s="1809"/>
      <c r="Y17" s="3273"/>
      <c r="Z17" s="1810"/>
      <c r="AA17" s="1807">
        <v>1</v>
      </c>
      <c r="AB17" s="1807">
        <v>1</v>
      </c>
      <c r="AC17" s="1807">
        <v>1</v>
      </c>
    </row>
    <row r="18" spans="1:29" ht="28.5">
      <c r="A18" s="402"/>
      <c r="B18" s="631" t="s">
        <v>2685</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73"/>
      <c r="Q18" s="1806" t="str">
        <f>B18</f>
        <v>基础设施水平</v>
      </c>
      <c r="R18" s="771" t="s">
        <v>17</v>
      </c>
      <c r="S18" s="772">
        <f>F18</f>
        <v>100</v>
      </c>
      <c r="T18" s="771" t="s">
        <v>17</v>
      </c>
      <c r="U18" s="772">
        <f>H18</f>
        <v>100</v>
      </c>
      <c r="V18" s="771" t="s">
        <v>17</v>
      </c>
      <c r="W18" s="772">
        <f>J18</f>
        <v>100</v>
      </c>
      <c r="X18" s="1809"/>
      <c r="Y18" s="3273"/>
      <c r="Z18" s="1810" t="str">
        <f>Q18</f>
        <v>基础设施水平</v>
      </c>
      <c r="AA18" s="1807">
        <f t="shared" ref="AA18" si="8">D18/F18</f>
        <v>1</v>
      </c>
      <c r="AB18" s="1807">
        <f t="shared" ref="AB18" si="9">D18/H18</f>
        <v>1</v>
      </c>
      <c r="AC18" s="1807">
        <f t="shared" ref="AC18" si="10">D18/J18</f>
        <v>1</v>
      </c>
    </row>
    <row r="19" spans="1:29" ht="15">
      <c r="A19" s="402"/>
      <c r="B19" s="631"/>
      <c r="C19" s="2606"/>
      <c r="D19" s="448"/>
      <c r="E19" s="2606"/>
      <c r="F19" s="451"/>
      <c r="G19" s="2606"/>
      <c r="H19" s="446"/>
      <c r="I19" s="445"/>
      <c r="J19" s="446"/>
      <c r="K19" s="1380"/>
      <c r="L19" s="1137"/>
      <c r="M19" s="1128"/>
      <c r="N19" s="1128"/>
      <c r="O19" s="1128"/>
      <c r="P19" s="3273"/>
      <c r="Q19" s="1806"/>
      <c r="R19" s="771"/>
      <c r="S19" s="772"/>
      <c r="T19" s="771"/>
      <c r="U19" s="772"/>
      <c r="V19" s="771"/>
      <c r="W19" s="772"/>
      <c r="X19" s="1809"/>
      <c r="Y19" s="3273"/>
      <c r="Z19" s="1810"/>
      <c r="AA19" s="1807">
        <v>1</v>
      </c>
      <c r="AB19" s="1807">
        <v>1</v>
      </c>
      <c r="AC19" s="1807">
        <v>1</v>
      </c>
    </row>
    <row r="20" spans="1:29" ht="57">
      <c r="A20" s="402"/>
      <c r="B20" s="629" t="s">
        <v>2706</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73"/>
      <c r="Q20" s="1806" t="str">
        <f>B20</f>
        <v>自然及人文环境</v>
      </c>
      <c r="R20" s="771" t="s">
        <v>17</v>
      </c>
      <c r="S20" s="772">
        <f>F20</f>
        <v>100</v>
      </c>
      <c r="T20" s="771" t="s">
        <v>17</v>
      </c>
      <c r="U20" s="772">
        <f>H20</f>
        <v>100</v>
      </c>
      <c r="V20" s="771" t="s">
        <v>17</v>
      </c>
      <c r="W20" s="772">
        <f>J20</f>
        <v>100</v>
      </c>
      <c r="X20" s="1809"/>
      <c r="Y20" s="3273"/>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273"/>
      <c r="Q21" s="1806"/>
      <c r="R21" s="771"/>
      <c r="S21" s="772"/>
      <c r="T21" s="771"/>
      <c r="U21" s="772"/>
      <c r="V21" s="771"/>
      <c r="W21" s="772"/>
      <c r="X21" s="1809"/>
      <c r="Y21" s="3273"/>
      <c r="Z21" s="1810"/>
      <c r="AA21" s="1807">
        <v>1</v>
      </c>
      <c r="AB21" s="1807">
        <v>1</v>
      </c>
      <c r="AC21" s="1807">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73"/>
      <c r="Q22" s="1806" t="str">
        <f>B22</f>
        <v>楼层</v>
      </c>
      <c r="R22" s="771" t="s">
        <v>17</v>
      </c>
      <c r="S22" s="772">
        <f>F22</f>
        <v>100</v>
      </c>
      <c r="T22" s="771" t="s">
        <v>17</v>
      </c>
      <c r="U22" s="772">
        <f>H22</f>
        <v>100</v>
      </c>
      <c r="V22" s="771" t="s">
        <v>17</v>
      </c>
      <c r="W22" s="772">
        <f>J22</f>
        <v>100</v>
      </c>
      <c r="X22" s="1809"/>
      <c r="Y22" s="3273"/>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73"/>
      <c r="Q23" s="1806">
        <f>B23</f>
        <v>111</v>
      </c>
      <c r="R23" s="771" t="s">
        <v>17</v>
      </c>
      <c r="S23" s="772">
        <f>F23</f>
        <v>100</v>
      </c>
      <c r="T23" s="771" t="s">
        <v>17</v>
      </c>
      <c r="U23" s="772">
        <f>H23</f>
        <v>100</v>
      </c>
      <c r="V23" s="771" t="s">
        <v>17</v>
      </c>
      <c r="W23" s="772">
        <f>J23</f>
        <v>100</v>
      </c>
      <c r="X23" s="1809"/>
      <c r="Y23" s="3273"/>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73"/>
      <c r="Q24" s="1806">
        <f t="shared" ref="Q24:Q36" si="11">B24</f>
        <v>111</v>
      </c>
      <c r="R24" s="771" t="s">
        <v>17</v>
      </c>
      <c r="S24" s="772">
        <f>F24</f>
        <v>100</v>
      </c>
      <c r="T24" s="771" t="s">
        <v>17</v>
      </c>
      <c r="U24" s="772">
        <f>H24</f>
        <v>100</v>
      </c>
      <c r="V24" s="771" t="s">
        <v>17</v>
      </c>
      <c r="W24" s="772">
        <f>J24</f>
        <v>100</v>
      </c>
      <c r="X24" s="1809"/>
      <c r="Y24" s="3273"/>
      <c r="Z24" s="1810">
        <f>Q24</f>
        <v>111</v>
      </c>
      <c r="AA24" s="1807">
        <f t="shared" si="3"/>
        <v>1</v>
      </c>
      <c r="AB24" s="1807">
        <f t="shared" si="4"/>
        <v>1</v>
      </c>
      <c r="AC24" s="1807">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73"/>
      <c r="Q25" s="1791">
        <f t="shared" si="11"/>
        <v>111</v>
      </c>
      <c r="R25" s="767" t="s">
        <v>17</v>
      </c>
      <c r="S25" s="768">
        <f>F25</f>
        <v>100</v>
      </c>
      <c r="T25" s="767" t="s">
        <v>17</v>
      </c>
      <c r="U25" s="768">
        <f>H25</f>
        <v>100</v>
      </c>
      <c r="V25" s="767" t="s">
        <v>17</v>
      </c>
      <c r="W25" s="768">
        <f>J25</f>
        <v>100</v>
      </c>
      <c r="X25" s="769"/>
      <c r="Y25" s="3273"/>
      <c r="Z25" s="55">
        <f>Q25</f>
        <v>111</v>
      </c>
      <c r="AA25" s="1807">
        <f>D25/F25</f>
        <v>1</v>
      </c>
      <c r="AB25" s="1807">
        <f>D25/H25</f>
        <v>1</v>
      </c>
      <c r="AC25" s="1807">
        <f>D25/J25</f>
        <v>1</v>
      </c>
    </row>
    <row r="26" spans="1:29" ht="28.5">
      <c r="A26" s="650" t="s">
        <v>2559</v>
      </c>
      <c r="B26" s="70" t="s">
        <v>2708</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4" t="s">
        <v>2561</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75" t="s">
        <v>2561</v>
      </c>
      <c r="Z26" s="1810" t="str">
        <f t="shared" ref="Z26:Z36" si="15">Q26</f>
        <v>配套类型</v>
      </c>
      <c r="AA26" s="1807">
        <f t="shared" si="3"/>
        <v>1</v>
      </c>
      <c r="AB26" s="1807">
        <f t="shared" si="4"/>
        <v>1</v>
      </c>
      <c r="AC26" s="1807">
        <f t="shared" si="5"/>
        <v>1</v>
      </c>
    </row>
    <row r="27" spans="1:29" s="469" customFormat="1" ht="15">
      <c r="A27" s="651"/>
      <c r="B27" s="652" t="s">
        <v>2709</v>
      </c>
      <c r="C27" s="653"/>
      <c r="D27" s="136">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75"/>
      <c r="Q27" s="773" t="str">
        <f t="shared" si="11"/>
        <v>项目停车位配比</v>
      </c>
      <c r="R27" s="774" t="s">
        <v>17</v>
      </c>
      <c r="S27" s="775">
        <f t="shared" si="12"/>
        <v>100</v>
      </c>
      <c r="T27" s="774" t="s">
        <v>17</v>
      </c>
      <c r="U27" s="775">
        <f t="shared" si="13"/>
        <v>100</v>
      </c>
      <c r="V27" s="774" t="s">
        <v>17</v>
      </c>
      <c r="W27" s="775">
        <f t="shared" si="14"/>
        <v>100</v>
      </c>
      <c r="X27" s="776"/>
      <c r="Y27" s="3275"/>
      <c r="Z27" s="777" t="str">
        <f t="shared" si="15"/>
        <v>项目停车位配比</v>
      </c>
      <c r="AA27" s="1807">
        <f t="shared" si="3"/>
        <v>1</v>
      </c>
      <c r="AB27" s="1807">
        <f t="shared" si="4"/>
        <v>1</v>
      </c>
      <c r="AC27" s="1807">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75"/>
      <c r="Q28" s="1806" t="str">
        <f t="shared" si="11"/>
        <v>公共部分装修</v>
      </c>
      <c r="R28" s="771" t="s">
        <v>17</v>
      </c>
      <c r="S28" s="772">
        <f t="shared" si="12"/>
        <v>100</v>
      </c>
      <c r="T28" s="771" t="s">
        <v>17</v>
      </c>
      <c r="U28" s="772">
        <f t="shared" si="13"/>
        <v>100</v>
      </c>
      <c r="V28" s="771" t="s">
        <v>17</v>
      </c>
      <c r="W28" s="772">
        <f t="shared" si="14"/>
        <v>100</v>
      </c>
      <c r="X28" s="1809"/>
      <c r="Y28" s="3275"/>
      <c r="Z28" s="1810" t="str">
        <f t="shared" si="15"/>
        <v>公共部分装修</v>
      </c>
      <c r="AA28" s="1807">
        <f t="shared" si="3"/>
        <v>1</v>
      </c>
      <c r="AB28" s="1807">
        <f t="shared" si="4"/>
        <v>1</v>
      </c>
      <c r="AC28" s="1807">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75"/>
      <c r="Q29" s="1806" t="str">
        <f t="shared" si="11"/>
        <v>成新率</v>
      </c>
      <c r="R29" s="771" t="s">
        <v>17</v>
      </c>
      <c r="S29" s="772" t="e">
        <f t="shared" si="12"/>
        <v>#N/A</v>
      </c>
      <c r="T29" s="771" t="s">
        <v>17</v>
      </c>
      <c r="U29" s="772" t="e">
        <f t="shared" si="13"/>
        <v>#N/A</v>
      </c>
      <c r="V29" s="771" t="s">
        <v>17</v>
      </c>
      <c r="W29" s="772" t="e">
        <f t="shared" si="14"/>
        <v>#N/A</v>
      </c>
      <c r="X29" s="1809"/>
      <c r="Y29" s="3275"/>
      <c r="Z29" s="1810" t="str">
        <f t="shared" si="15"/>
        <v>成新率</v>
      </c>
      <c r="AA29" s="1807" t="e">
        <f t="shared" si="3"/>
        <v>#N/A</v>
      </c>
      <c r="AB29" s="1807" t="e">
        <f t="shared" si="4"/>
        <v>#N/A</v>
      </c>
      <c r="AC29" s="1807"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75"/>
      <c r="Q30" s="1806" t="str">
        <f t="shared" si="11"/>
        <v>物业等级</v>
      </c>
      <c r="R30" s="771" t="s">
        <v>17</v>
      </c>
      <c r="S30" s="772">
        <f t="shared" si="12"/>
        <v>100</v>
      </c>
      <c r="T30" s="771" t="s">
        <v>17</v>
      </c>
      <c r="U30" s="772">
        <f t="shared" si="13"/>
        <v>100</v>
      </c>
      <c r="V30" s="771" t="s">
        <v>17</v>
      </c>
      <c r="W30" s="772">
        <f t="shared" si="14"/>
        <v>100</v>
      </c>
      <c r="X30" s="1809"/>
      <c r="Y30" s="3275"/>
      <c r="Z30" s="1810" t="str">
        <f t="shared" si="15"/>
        <v>物业等级</v>
      </c>
      <c r="AA30" s="1807">
        <f t="shared" si="3"/>
        <v>1</v>
      </c>
      <c r="AB30" s="1807">
        <f t="shared" si="4"/>
        <v>1</v>
      </c>
      <c r="AC30" s="1807">
        <f t="shared" si="5"/>
        <v>1</v>
      </c>
    </row>
    <row r="31" spans="1:29" s="117" customFormat="1" ht="15">
      <c r="A31" s="656"/>
      <c r="B31" s="652" t="s">
        <v>2713</v>
      </c>
      <c r="C31" s="467"/>
      <c r="D31" s="136">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75"/>
      <c r="Q31" s="1791" t="str">
        <f t="shared" si="11"/>
        <v>停车位面积</v>
      </c>
      <c r="R31" s="767" t="s">
        <v>17</v>
      </c>
      <c r="S31" s="768" t="e">
        <f t="shared" si="12"/>
        <v>#N/A</v>
      </c>
      <c r="T31" s="767" t="s">
        <v>17</v>
      </c>
      <c r="U31" s="768" t="e">
        <f t="shared" si="13"/>
        <v>#N/A</v>
      </c>
      <c r="V31" s="767" t="s">
        <v>17</v>
      </c>
      <c r="W31" s="768" t="e">
        <f t="shared" si="14"/>
        <v>#N/A</v>
      </c>
      <c r="X31" s="769"/>
      <c r="Y31" s="3275"/>
      <c r="Z31" s="55" t="str">
        <f t="shared" si="15"/>
        <v>停车位面积</v>
      </c>
      <c r="AA31" s="770" t="e">
        <f t="shared" si="3"/>
        <v>#N/A</v>
      </c>
      <c r="AB31" s="770" t="e">
        <f t="shared" si="4"/>
        <v>#N/A</v>
      </c>
      <c r="AC31" s="770"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75" t="s">
        <v>2561</v>
      </c>
      <c r="Q32" s="1806" t="str">
        <f t="shared" si="11"/>
        <v>车位类型</v>
      </c>
      <c r="R32" s="771" t="s">
        <v>17</v>
      </c>
      <c r="S32" s="772">
        <f t="shared" si="12"/>
        <v>100</v>
      </c>
      <c r="T32" s="771" t="s">
        <v>17</v>
      </c>
      <c r="U32" s="772">
        <f t="shared" si="13"/>
        <v>100</v>
      </c>
      <c r="V32" s="771" t="s">
        <v>17</v>
      </c>
      <c r="W32" s="772">
        <f t="shared" si="14"/>
        <v>100</v>
      </c>
      <c r="X32" s="1809"/>
      <c r="Y32" s="3275" t="s">
        <v>2561</v>
      </c>
      <c r="Z32" s="1810" t="str">
        <f t="shared" si="15"/>
        <v>车位类型</v>
      </c>
      <c r="AA32" s="1807">
        <f t="shared" si="3"/>
        <v>1</v>
      </c>
      <c r="AB32" s="1807">
        <f t="shared" si="4"/>
        <v>1</v>
      </c>
      <c r="AC32" s="1807">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75"/>
      <c r="Q33" s="1806" t="str">
        <f t="shared" si="11"/>
        <v>是否直接入户</v>
      </c>
      <c r="R33" s="771" t="s">
        <v>17</v>
      </c>
      <c r="S33" s="772">
        <f t="shared" si="12"/>
        <v>100</v>
      </c>
      <c r="T33" s="771" t="s">
        <v>17</v>
      </c>
      <c r="U33" s="772">
        <f t="shared" si="13"/>
        <v>100</v>
      </c>
      <c r="V33" s="771" t="s">
        <v>17</v>
      </c>
      <c r="W33" s="772">
        <f t="shared" si="14"/>
        <v>100</v>
      </c>
      <c r="X33" s="1809"/>
      <c r="Y33" s="3275"/>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75"/>
      <c r="Q34" s="1806">
        <f t="shared" si="11"/>
        <v>111</v>
      </c>
      <c r="R34" s="771" t="s">
        <v>17</v>
      </c>
      <c r="S34" s="772">
        <f t="shared" si="12"/>
        <v>100</v>
      </c>
      <c r="T34" s="771" t="s">
        <v>17</v>
      </c>
      <c r="U34" s="772">
        <f t="shared" si="13"/>
        <v>100</v>
      </c>
      <c r="V34" s="771" t="s">
        <v>17</v>
      </c>
      <c r="W34" s="772">
        <f t="shared" si="14"/>
        <v>100</v>
      </c>
      <c r="X34" s="1809"/>
      <c r="Y34" s="3275"/>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75"/>
      <c r="Q35" s="773">
        <f t="shared" si="11"/>
        <v>111</v>
      </c>
      <c r="R35" s="774" t="s">
        <v>17</v>
      </c>
      <c r="S35" s="775">
        <f t="shared" si="12"/>
        <v>100</v>
      </c>
      <c r="T35" s="774" t="s">
        <v>17</v>
      </c>
      <c r="U35" s="775">
        <f t="shared" si="13"/>
        <v>100</v>
      </c>
      <c r="V35" s="774" t="s">
        <v>17</v>
      </c>
      <c r="W35" s="775">
        <f t="shared" si="14"/>
        <v>100</v>
      </c>
      <c r="X35" s="776"/>
      <c r="Y35" s="3275"/>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75"/>
      <c r="Q36" s="1806">
        <f t="shared" si="11"/>
        <v>111</v>
      </c>
      <c r="R36" s="771" t="s">
        <v>17</v>
      </c>
      <c r="S36" s="772">
        <f t="shared" si="12"/>
        <v>100</v>
      </c>
      <c r="T36" s="771" t="s">
        <v>17</v>
      </c>
      <c r="U36" s="772">
        <f t="shared" si="13"/>
        <v>100</v>
      </c>
      <c r="V36" s="771" t="s">
        <v>17</v>
      </c>
      <c r="W36" s="772">
        <f t="shared" si="14"/>
        <v>100</v>
      </c>
      <c r="X36" s="1809"/>
      <c r="Y36" s="3275"/>
      <c r="Z36" s="1810">
        <f t="shared" si="15"/>
        <v>111</v>
      </c>
      <c r="AA36" s="1807">
        <f t="shared" si="3"/>
        <v>1</v>
      </c>
      <c r="AB36" s="1807">
        <f t="shared" si="4"/>
        <v>1</v>
      </c>
      <c r="AC36" s="1807">
        <f t="shared" si="5"/>
        <v>1</v>
      </c>
    </row>
    <row r="37" spans="1:29" ht="15">
      <c r="A37" s="477" t="s">
        <v>2716</v>
      </c>
      <c r="B37" s="2693" t="s">
        <v>2717</v>
      </c>
      <c r="C37" s="1404" t="s">
        <v>1</v>
      </c>
      <c r="D37" s="1405"/>
      <c r="E37" s="1406"/>
      <c r="F37" s="1407"/>
      <c r="G37" s="1408"/>
      <c r="H37" s="1409"/>
      <c r="I37" s="1406"/>
      <c r="J37" s="1409"/>
      <c r="K37" s="617"/>
      <c r="L37" s="1140"/>
      <c r="M37" s="1141"/>
      <c r="N37" s="1128"/>
      <c r="O37" s="1141"/>
      <c r="P37" s="3257" t="str">
        <f>A37</f>
        <v>成交单价</v>
      </c>
      <c r="Q37" s="3257"/>
      <c r="R37" s="3311">
        <f>E37</f>
        <v>0</v>
      </c>
      <c r="S37" s="3311"/>
      <c r="T37" s="3311">
        <f>G37</f>
        <v>0</v>
      </c>
      <c r="U37" s="3311"/>
      <c r="V37" s="3311">
        <f>I37</f>
        <v>0</v>
      </c>
      <c r="W37" s="3311"/>
      <c r="X37" s="756"/>
      <c r="Y37" s="778"/>
      <c r="Z37" s="756"/>
      <c r="AA37" s="756"/>
      <c r="AB37" s="756"/>
      <c r="AC37" s="756"/>
    </row>
    <row r="38" spans="1:29" ht="15.75" thickBot="1">
      <c r="A38" s="484" t="s">
        <v>2718</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57" t="str">
        <f>A38</f>
        <v>比较价值（元/平方米）</v>
      </c>
      <c r="Q38" s="3257"/>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756"/>
      <c r="Y38" s="756"/>
      <c r="Z38" s="756"/>
      <c r="AA38" s="756"/>
      <c r="AB38" s="756"/>
      <c r="AC38" s="756"/>
    </row>
    <row r="39" spans="1:29" ht="15.75" thickBot="1">
      <c r="A39" s="490" t="s">
        <v>2719</v>
      </c>
      <c r="B39" s="491"/>
      <c r="C39" s="1414" t="e">
        <f>R39</f>
        <v>#DIV/0!</v>
      </c>
      <c r="D39" s="1414"/>
      <c r="E39" s="1414"/>
      <c r="F39" s="1414"/>
      <c r="G39" s="1414"/>
      <c r="H39" s="1414"/>
      <c r="I39" s="1414"/>
      <c r="J39" s="1414"/>
      <c r="K39" s="619"/>
      <c r="L39" s="1140"/>
      <c r="M39" s="1141"/>
      <c r="N39" s="1141"/>
      <c r="O39" s="1141"/>
      <c r="P39" s="3277" t="str">
        <f>A39</f>
        <v>估价对象XX用房的比较价值（楼面单价，元/平方米）</v>
      </c>
      <c r="Q39" s="3278"/>
      <c r="R39" s="3310" t="e">
        <f>IF(F1="售价",ROUND(AVERAGE(R38:V38),0),ROUND(AVERAGE(R38:V38),1))</f>
        <v>#DIV/0!</v>
      </c>
      <c r="S39" s="3310"/>
      <c r="T39" s="3310"/>
      <c r="U39" s="3310"/>
      <c r="V39" s="3310"/>
      <c r="W39" s="3310"/>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2724</v>
      </c>
      <c r="B48" s="504"/>
      <c r="C48" s="1570" t="str">
        <f>YEAR(C7)&amp;"-"&amp;MONTH(C7)</f>
        <v>2020-3</v>
      </c>
      <c r="D48" s="1571">
        <f>EDATE(C48,-1)</f>
        <v>43862</v>
      </c>
      <c r="E48" s="1571">
        <f t="shared" ref="E48:O48" si="16">EDATE(D48,-1)</f>
        <v>43831</v>
      </c>
      <c r="F48" s="1571">
        <f t="shared" si="16"/>
        <v>43800</v>
      </c>
      <c r="G48" s="1571">
        <f t="shared" si="16"/>
        <v>43770</v>
      </c>
      <c r="H48" s="1571">
        <f t="shared" si="16"/>
        <v>43739</v>
      </c>
      <c r="I48" s="1571">
        <f t="shared" si="16"/>
        <v>43709</v>
      </c>
      <c r="J48" s="1571">
        <f t="shared" si="16"/>
        <v>43678</v>
      </c>
      <c r="K48" s="1571">
        <f t="shared" si="16"/>
        <v>43647</v>
      </c>
      <c r="L48" s="1571">
        <f t="shared" si="16"/>
        <v>43617</v>
      </c>
      <c r="M48" s="1571">
        <f t="shared" si="16"/>
        <v>43586</v>
      </c>
      <c r="N48" s="1571">
        <f t="shared" si="16"/>
        <v>43556</v>
      </c>
      <c r="O48" s="1571">
        <f t="shared" si="16"/>
        <v>43525</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2581</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2546</v>
      </c>
      <c r="B51" s="508"/>
      <c r="C51" s="520" t="s">
        <v>2648</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2584</v>
      </c>
      <c r="B53" s="526" t="s">
        <v>2550</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2599</v>
      </c>
      <c r="C65" s="576" t="s">
        <v>2593</v>
      </c>
      <c r="D65" s="576" t="s">
        <v>2594</v>
      </c>
      <c r="E65" s="576" t="s">
        <v>2595</v>
      </c>
      <c r="F65" s="576" t="s">
        <v>2596</v>
      </c>
      <c r="G65" s="576" t="s">
        <v>2597</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2685</v>
      </c>
      <c r="C67" s="658" t="s">
        <v>2671</v>
      </c>
      <c r="D67" s="658" t="s">
        <v>2672</v>
      </c>
      <c r="E67" s="658" t="s">
        <v>2673</v>
      </c>
      <c r="F67" s="658" t="s">
        <v>2674</v>
      </c>
      <c r="G67" s="658" t="s">
        <v>2675</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2605</v>
      </c>
      <c r="C69" s="576" t="s">
        <v>2593</v>
      </c>
      <c r="D69" s="576" t="s">
        <v>2594</v>
      </c>
      <c r="E69" s="576" t="s">
        <v>2595</v>
      </c>
      <c r="F69" s="576" t="s">
        <v>2596</v>
      </c>
      <c r="G69" s="576" t="s">
        <v>2597</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2725</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2559</v>
      </c>
      <c r="B79" s="526" t="s">
        <v>2726</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2727</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2612</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2729</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2731</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2732</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401" customWidth="1"/>
    <col min="2" max="2" width="15.87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875" style="401"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29" s="1625" customFormat="1" ht="28.5" customHeight="1" thickBot="1">
      <c r="A1" s="1614" t="s">
        <v>2703</v>
      </c>
      <c r="B1" s="1615"/>
      <c r="C1" s="1616" t="s">
        <v>2526</v>
      </c>
      <c r="D1" s="1617"/>
      <c r="E1" s="1626"/>
      <c r="F1" s="2582"/>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2326</v>
      </c>
      <c r="B2" s="1415" t="e">
        <f ca="1">IF(C2="——",ROUND(C37*D3/10000,0),ROUND(C37*D3/10000,0)-D2)</f>
        <v>#DIV/0!</v>
      </c>
      <c r="C2" s="2584"/>
      <c r="D2" s="1121" t="e">
        <f ca="1">SUMIF(INDIRECT("'"&amp;F2&amp;"'"&amp;"!A:A"),"承租人权益价值",INDIRECT("'"&amp;F2&amp;"'"&amp;"!c:c"))</f>
        <v>#REF!</v>
      </c>
      <c r="E2" s="2585" t="s">
        <v>2327</v>
      </c>
      <c r="F2" s="258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IF(C2="——",C37,ROUND(B2*10000/D3,0))</f>
        <v>#DIV/0!</v>
      </c>
      <c r="C3" s="398" t="s">
        <v>2640</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2641</v>
      </c>
      <c r="B4" s="400"/>
      <c r="C4" s="3258" t="s">
        <v>2642</v>
      </c>
      <c r="D4" s="3259"/>
      <c r="E4" s="3260" t="s">
        <v>2643</v>
      </c>
      <c r="F4" s="3261"/>
      <c r="G4" s="3258" t="s">
        <v>2644</v>
      </c>
      <c r="H4" s="3259"/>
      <c r="I4" s="3258" t="s">
        <v>2645</v>
      </c>
      <c r="J4" s="3259"/>
      <c r="K4" s="608" t="s">
        <v>2646</v>
      </c>
      <c r="L4" s="1127"/>
      <c r="M4" s="1128"/>
      <c r="N4" s="1128"/>
      <c r="O4" s="1128"/>
      <c r="P4" s="3262" t="s">
        <v>2647</v>
      </c>
      <c r="Q4" s="3263"/>
      <c r="R4" s="3245" t="s">
        <v>2643</v>
      </c>
      <c r="S4" s="3246"/>
      <c r="T4" s="3245" t="s">
        <v>2644</v>
      </c>
      <c r="U4" s="3246"/>
      <c r="V4" s="3270" t="s">
        <v>2645</v>
      </c>
      <c r="W4" s="3270"/>
      <c r="X4" s="1809"/>
      <c r="Y4" s="3245" t="s">
        <v>2647</v>
      </c>
      <c r="Z4" s="3246"/>
      <c r="AA4" s="3240" t="s">
        <v>2643</v>
      </c>
      <c r="AB4" s="3241" t="s">
        <v>2644</v>
      </c>
      <c r="AC4" s="3240" t="s">
        <v>2645</v>
      </c>
    </row>
    <row r="5" spans="1:29" ht="15">
      <c r="A5" s="402"/>
      <c r="B5" s="403"/>
      <c r="C5" s="3251" t="s">
        <v>2538</v>
      </c>
      <c r="D5" s="3252"/>
      <c r="E5" s="3249" t="s">
        <v>2539</v>
      </c>
      <c r="F5" s="3250"/>
      <c r="G5" s="3251" t="s">
        <v>2540</v>
      </c>
      <c r="H5" s="3252"/>
      <c r="I5" s="3251" t="s">
        <v>2541</v>
      </c>
      <c r="J5" s="3252"/>
      <c r="K5" s="608"/>
      <c r="L5" s="1127"/>
      <c r="M5" s="1128"/>
      <c r="N5" s="1128"/>
      <c r="O5" s="1128"/>
      <c r="P5" s="3264"/>
      <c r="Q5" s="3265"/>
      <c r="R5" s="3247"/>
      <c r="S5" s="3248"/>
      <c r="T5" s="3247"/>
      <c r="U5" s="3248"/>
      <c r="V5" s="3270"/>
      <c r="W5" s="3270"/>
      <c r="X5" s="1809"/>
      <c r="Y5" s="3247"/>
      <c r="Z5" s="3248"/>
      <c r="AA5" s="3241"/>
      <c r="AB5" s="3241"/>
      <c r="AC5" s="3241"/>
    </row>
    <row r="6" spans="1:29" ht="15.75" thickBot="1">
      <c r="A6" s="404"/>
      <c r="B6" s="405"/>
      <c r="C6" s="3253" t="s">
        <v>2542</v>
      </c>
      <c r="D6" s="3254"/>
      <c r="E6" s="3255" t="s">
        <v>2542</v>
      </c>
      <c r="F6" s="3256"/>
      <c r="G6" s="3253" t="s">
        <v>2542</v>
      </c>
      <c r="H6" s="3254"/>
      <c r="I6" s="3253" t="s">
        <v>2542</v>
      </c>
      <c r="J6" s="3254"/>
      <c r="K6" s="608" t="s">
        <v>2543</v>
      </c>
      <c r="L6" s="1127"/>
      <c r="M6" s="1128"/>
      <c r="N6" s="1128"/>
      <c r="O6" s="1128"/>
      <c r="P6" s="3266"/>
      <c r="Q6" s="3267"/>
      <c r="R6" s="3247"/>
      <c r="S6" s="3248"/>
      <c r="T6" s="3268"/>
      <c r="U6" s="3269"/>
      <c r="V6" s="3270"/>
      <c r="W6" s="3270"/>
      <c r="X6" s="1809"/>
      <c r="Y6" s="3268"/>
      <c r="Z6" s="3269"/>
      <c r="AA6" s="3242"/>
      <c r="AB6" s="3242"/>
      <c r="AC6" s="3242"/>
    </row>
    <row r="7" spans="1:29" s="117" customFormat="1" ht="15.75" thickBot="1">
      <c r="A7" s="406" t="s">
        <v>2544</v>
      </c>
      <c r="B7" s="407"/>
      <c r="C7" s="408">
        <f>'数据-取费表'!B2</f>
        <v>43905</v>
      </c>
      <c r="D7" s="409">
        <v>100</v>
      </c>
      <c r="E7" s="410"/>
      <c r="F7" s="411">
        <f>SUMIF(46:46,YEAR(E7)&amp;"-"&amp;MONTH(E7),47:47)</f>
        <v>0</v>
      </c>
      <c r="G7" s="2694"/>
      <c r="H7" s="409">
        <f>SUMIF(46:46,YEAR(G7)&amp;"-"&amp;MONTH(G7),47:47)</f>
        <v>0</v>
      </c>
      <c r="I7" s="410"/>
      <c r="J7" s="409">
        <f>SUMIF(46:46,YEAR(I7)&amp;"-"&amp;MONTH(I7),47:47)</f>
        <v>0</v>
      </c>
      <c r="K7" s="609"/>
      <c r="L7" s="1129"/>
      <c r="M7" s="1130"/>
      <c r="N7" s="1130"/>
      <c r="O7" s="1130"/>
      <c r="P7" s="3243" t="s">
        <v>2545</v>
      </c>
      <c r="Q7" s="3271"/>
      <c r="R7" s="767" t="s">
        <v>17</v>
      </c>
      <c r="S7" s="768">
        <f t="shared" ref="S7:S14" si="0">F7</f>
        <v>0</v>
      </c>
      <c r="T7" s="767" t="s">
        <v>17</v>
      </c>
      <c r="U7" s="768">
        <f t="shared" ref="U7:U14" si="1">H7</f>
        <v>0</v>
      </c>
      <c r="V7" s="767" t="s">
        <v>17</v>
      </c>
      <c r="W7" s="768">
        <f t="shared" ref="W7:W14" si="2">J7</f>
        <v>0</v>
      </c>
      <c r="X7" s="769"/>
      <c r="Y7" s="3243" t="s">
        <v>2545</v>
      </c>
      <c r="Z7" s="3244"/>
      <c r="AA7" s="770" t="e">
        <f>D7/F7</f>
        <v>#DIV/0!</v>
      </c>
      <c r="AB7" s="770" t="e">
        <f>D7/H7</f>
        <v>#DIV/0!</v>
      </c>
      <c r="AC7" s="770" t="e">
        <f>D7/J7</f>
        <v>#DIV/0!</v>
      </c>
    </row>
    <row r="8" spans="1:29" s="117"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43" t="s">
        <v>2548</v>
      </c>
      <c r="Q8" s="3244"/>
      <c r="R8" s="767" t="s">
        <v>17</v>
      </c>
      <c r="S8" s="768">
        <f t="shared" si="0"/>
        <v>0</v>
      </c>
      <c r="T8" s="767" t="s">
        <v>17</v>
      </c>
      <c r="U8" s="768">
        <f t="shared" si="1"/>
        <v>0</v>
      </c>
      <c r="V8" s="767" t="s">
        <v>17</v>
      </c>
      <c r="W8" s="768">
        <f t="shared" si="2"/>
        <v>0</v>
      </c>
      <c r="X8" s="769"/>
      <c r="Y8" s="3243" t="s">
        <v>2548</v>
      </c>
      <c r="Z8" s="3244"/>
      <c r="AA8" s="770" t="e">
        <f t="shared" ref="AA8:AA34" si="3">D8/F8</f>
        <v>#DIV/0!</v>
      </c>
      <c r="AB8" s="770" t="e">
        <f t="shared" ref="AB8:AB34" si="4">D8/H8</f>
        <v>#DIV/0!</v>
      </c>
      <c r="AC8" s="770" t="e">
        <f t="shared" ref="AC8:AC34" si="5">D8/J8</f>
        <v>#DIV/0!</v>
      </c>
    </row>
    <row r="9" spans="1:29" s="117" customFormat="1">
      <c r="A9" s="413" t="s">
        <v>2549</v>
      </c>
      <c r="B9" s="71" t="s">
        <v>2550</v>
      </c>
      <c r="C9" s="414"/>
      <c r="D9" s="135">
        <v>100</v>
      </c>
      <c r="E9" s="417"/>
      <c r="F9" s="416">
        <f>SUMIF(51:51,E9,52:52)-SUMIF(51:51,C9,52:52)+100</f>
        <v>100</v>
      </c>
      <c r="G9" s="417"/>
      <c r="H9" s="135">
        <f>SUMIF(51:51,G9,52:52)-SUMIF(51:51,C9,52:52)+100</f>
        <v>100</v>
      </c>
      <c r="I9" s="417"/>
      <c r="J9" s="135">
        <f>SUMIF(51:51,I9,52:52)-SUMIF(51:51,C9,52:52)+100</f>
        <v>100</v>
      </c>
      <c r="K9" s="609"/>
      <c r="L9" s="1129"/>
      <c r="M9" s="1130"/>
      <c r="N9" s="1130"/>
      <c r="O9" s="1131"/>
      <c r="P9" s="3257" t="s">
        <v>2551</v>
      </c>
      <c r="Q9" s="1791" t="str">
        <f t="shared" ref="Q9:Q14" si="6">B9</f>
        <v>用途</v>
      </c>
      <c r="R9" s="767" t="s">
        <v>17</v>
      </c>
      <c r="S9" s="768">
        <f t="shared" si="0"/>
        <v>100</v>
      </c>
      <c r="T9" s="767" t="s">
        <v>17</v>
      </c>
      <c r="U9" s="768">
        <f t="shared" si="1"/>
        <v>100</v>
      </c>
      <c r="V9" s="767" t="s">
        <v>17</v>
      </c>
      <c r="W9" s="768">
        <f t="shared" si="2"/>
        <v>100</v>
      </c>
      <c r="X9" s="769"/>
      <c r="Y9" s="3091" t="s">
        <v>2552</v>
      </c>
      <c r="Z9" s="55" t="str">
        <f t="shared" ref="Z9:Z14" si="7">Q9</f>
        <v>用途</v>
      </c>
      <c r="AA9" s="770">
        <f t="shared" si="3"/>
        <v>1</v>
      </c>
      <c r="AB9" s="770">
        <f t="shared" si="4"/>
        <v>1</v>
      </c>
      <c r="AC9" s="770">
        <f t="shared" si="5"/>
        <v>1</v>
      </c>
    </row>
    <row r="10" spans="1:29" s="425" customFormat="1" ht="27">
      <c r="A10" s="419"/>
      <c r="B10" s="420" t="s">
        <v>2553</v>
      </c>
      <c r="C10" s="421"/>
      <c r="D10" s="136">
        <v>100</v>
      </c>
      <c r="E10" s="421"/>
      <c r="F10" s="423">
        <f>SUMIF(53:53,E10,54:54)-SUMIF(53:53,C10,54:54)+100</f>
        <v>100</v>
      </c>
      <c r="G10" s="421"/>
      <c r="H10" s="136">
        <f>SUMIF(53:53,G10,54:54)-SUMIF(53:53,C10,54:54)+100</f>
        <v>100</v>
      </c>
      <c r="I10" s="421"/>
      <c r="J10" s="136">
        <f>SUMIF(53:53,I10,54:54)-SUMIF(53:53,C10,54:54)+100</f>
        <v>100</v>
      </c>
      <c r="K10" s="610"/>
      <c r="L10" s="1132"/>
      <c r="M10" s="1133"/>
      <c r="N10" s="1133"/>
      <c r="O10" s="1134"/>
      <c r="P10" s="3257"/>
      <c r="Q10" s="1791" t="str">
        <f t="shared" si="6"/>
        <v>土地使用年限（年）</v>
      </c>
      <c r="R10" s="767" t="s">
        <v>17</v>
      </c>
      <c r="S10" s="768">
        <f t="shared" si="0"/>
        <v>100</v>
      </c>
      <c r="T10" s="767" t="s">
        <v>17</v>
      </c>
      <c r="U10" s="768">
        <f t="shared" si="1"/>
        <v>100</v>
      </c>
      <c r="V10" s="767" t="s">
        <v>17</v>
      </c>
      <c r="W10" s="768">
        <f t="shared" si="2"/>
        <v>100</v>
      </c>
      <c r="X10" s="769"/>
      <c r="Y10" s="3091"/>
      <c r="Z10" s="55" t="str">
        <f t="shared" si="7"/>
        <v>土地使用年限（年）</v>
      </c>
      <c r="AA10" s="770">
        <f t="shared" si="3"/>
        <v>1</v>
      </c>
      <c r="AB10" s="770">
        <f t="shared" si="4"/>
        <v>1</v>
      </c>
      <c r="AC10" s="770">
        <f t="shared" si="5"/>
        <v>1</v>
      </c>
    </row>
    <row r="11" spans="1:29" ht="15">
      <c r="A11" s="426"/>
      <c r="B11" s="2598">
        <v>111</v>
      </c>
      <c r="C11" s="430"/>
      <c r="D11" s="136">
        <v>100</v>
      </c>
      <c r="E11" s="467"/>
      <c r="F11" s="423">
        <f>SUMIF(55:55,E11,56:56)-SUMIF(55:55,C11,56:56)+100</f>
        <v>100</v>
      </c>
      <c r="G11" s="467"/>
      <c r="H11" s="136">
        <f>SUMIF(55:55,G11,56:56)-SUMIF(55:55,C11,56:56)+100</f>
        <v>100</v>
      </c>
      <c r="I11" s="467"/>
      <c r="J11" s="136">
        <f>SUMIF(55:55,I11,56:56)-SUMIF(55:55,C11,56:56)+100</f>
        <v>100</v>
      </c>
      <c r="K11" s="611"/>
      <c r="L11" s="1135"/>
      <c r="M11" s="1128"/>
      <c r="N11" s="1128"/>
      <c r="O11" s="1136"/>
      <c r="P11" s="3257"/>
      <c r="Q11" s="1791">
        <f t="shared" si="6"/>
        <v>111</v>
      </c>
      <c r="R11" s="767" t="s">
        <v>17</v>
      </c>
      <c r="S11" s="768">
        <f t="shared" si="0"/>
        <v>100</v>
      </c>
      <c r="T11" s="767" t="s">
        <v>17</v>
      </c>
      <c r="U11" s="768">
        <f t="shared" si="1"/>
        <v>100</v>
      </c>
      <c r="V11" s="767" t="s">
        <v>17</v>
      </c>
      <c r="W11" s="768">
        <f t="shared" si="2"/>
        <v>100</v>
      </c>
      <c r="X11" s="769"/>
      <c r="Y11" s="3091"/>
      <c r="Z11" s="55">
        <f t="shared" si="7"/>
        <v>111</v>
      </c>
      <c r="AA11" s="770">
        <f t="shared" si="3"/>
        <v>1</v>
      </c>
      <c r="AB11" s="770">
        <f t="shared" si="4"/>
        <v>1</v>
      </c>
      <c r="AC11" s="770">
        <f t="shared" si="5"/>
        <v>1</v>
      </c>
    </row>
    <row r="12" spans="1:29" s="117" customFormat="1" ht="15">
      <c r="A12" s="429"/>
      <c r="B12" s="2598">
        <v>111</v>
      </c>
      <c r="C12" s="430"/>
      <c r="D12" s="431">
        <v>100</v>
      </c>
      <c r="E12" s="467"/>
      <c r="F12" s="423">
        <f>SUMIF(57:57,E12,58:58)-SUMIF(57:57,C12,58:58)+100</f>
        <v>100</v>
      </c>
      <c r="G12" s="467"/>
      <c r="H12" s="136">
        <f>SUMIF(57:57,G12,58:58)-SUMIF(57:57,C12,58:58)+100</f>
        <v>100</v>
      </c>
      <c r="I12" s="467"/>
      <c r="J12" s="136">
        <f>SUMIF(57:57,I12,58:58)-SUMIF(57:57,C12,58:58)+100</f>
        <v>100</v>
      </c>
      <c r="K12" s="611"/>
      <c r="L12" s="1129"/>
      <c r="M12" s="1130"/>
      <c r="N12" s="1130"/>
      <c r="O12" s="1131"/>
      <c r="P12" s="3257"/>
      <c r="Q12" s="1791">
        <f t="shared" si="6"/>
        <v>111</v>
      </c>
      <c r="R12" s="767" t="s">
        <v>17</v>
      </c>
      <c r="S12" s="768">
        <f t="shared" si="0"/>
        <v>100</v>
      </c>
      <c r="T12" s="767" t="s">
        <v>17</v>
      </c>
      <c r="U12" s="768">
        <f t="shared" si="1"/>
        <v>100</v>
      </c>
      <c r="V12" s="767" t="s">
        <v>17</v>
      </c>
      <c r="W12" s="768">
        <f t="shared" si="2"/>
        <v>100</v>
      </c>
      <c r="X12" s="769"/>
      <c r="Y12" s="3091"/>
      <c r="Z12" s="55">
        <f t="shared" si="7"/>
        <v>111</v>
      </c>
      <c r="AA12" s="770">
        <f>D12/F12</f>
        <v>1</v>
      </c>
      <c r="AB12" s="770">
        <f>D12/H12</f>
        <v>1</v>
      </c>
      <c r="AC12" s="770">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7"/>
      <c r="M13" s="1128"/>
      <c r="N13" s="1128"/>
      <c r="O13" s="1136"/>
      <c r="P13" s="3257"/>
      <c r="Q13" s="1791">
        <f t="shared" si="6"/>
        <v>111</v>
      </c>
      <c r="R13" s="767" t="s">
        <v>17</v>
      </c>
      <c r="S13" s="768">
        <f t="shared" si="0"/>
        <v>100</v>
      </c>
      <c r="T13" s="767" t="s">
        <v>17</v>
      </c>
      <c r="U13" s="768">
        <f t="shared" si="1"/>
        <v>100</v>
      </c>
      <c r="V13" s="767" t="s">
        <v>17</v>
      </c>
      <c r="W13" s="768">
        <f t="shared" si="2"/>
        <v>100</v>
      </c>
      <c r="X13" s="769"/>
      <c r="Y13" s="3091"/>
      <c r="Z13" s="55">
        <f t="shared" si="7"/>
        <v>111</v>
      </c>
      <c r="AA13" s="770">
        <f t="shared" si="3"/>
        <v>1</v>
      </c>
      <c r="AB13" s="770">
        <f t="shared" si="4"/>
        <v>1</v>
      </c>
      <c r="AC13" s="770">
        <f t="shared" si="5"/>
        <v>1</v>
      </c>
    </row>
    <row r="14" spans="1:29" ht="85.5">
      <c r="A14" s="438" t="s">
        <v>2555</v>
      </c>
      <c r="B14" s="69" t="s">
        <v>2705</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72" t="s">
        <v>2556</v>
      </c>
      <c r="Q14" s="1806" t="str">
        <f t="shared" si="6"/>
        <v>交通便捷度</v>
      </c>
      <c r="R14" s="771" t="s">
        <v>17</v>
      </c>
      <c r="S14" s="772">
        <f t="shared" si="0"/>
        <v>100</v>
      </c>
      <c r="T14" s="771" t="s">
        <v>17</v>
      </c>
      <c r="U14" s="772">
        <f t="shared" si="1"/>
        <v>100</v>
      </c>
      <c r="V14" s="771" t="s">
        <v>17</v>
      </c>
      <c r="W14" s="772">
        <f t="shared" si="2"/>
        <v>100</v>
      </c>
      <c r="X14" s="1809"/>
      <c r="Y14" s="3272" t="s">
        <v>2556</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273"/>
      <c r="Q15" s="1806"/>
      <c r="R15" s="771"/>
      <c r="S15" s="772"/>
      <c r="T15" s="771"/>
      <c r="U15" s="772"/>
      <c r="V15" s="771"/>
      <c r="W15" s="772"/>
      <c r="X15" s="1809"/>
      <c r="Y15" s="3273"/>
      <c r="Z15" s="1810"/>
      <c r="AA15" s="1807">
        <v>1</v>
      </c>
      <c r="AB15" s="1807">
        <v>1</v>
      </c>
      <c r="AC15" s="1807">
        <v>1</v>
      </c>
    </row>
    <row r="16" spans="1:29" ht="42.75">
      <c r="A16" s="426"/>
      <c r="B16" s="449" t="s">
        <v>2684</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73"/>
      <c r="Q16" s="1806" t="str">
        <f>B16</f>
        <v>公共配套设施</v>
      </c>
      <c r="R16" s="771" t="s">
        <v>17</v>
      </c>
      <c r="S16" s="772">
        <f>F16</f>
        <v>100</v>
      </c>
      <c r="T16" s="771" t="s">
        <v>17</v>
      </c>
      <c r="U16" s="772">
        <f>H16</f>
        <v>100</v>
      </c>
      <c r="V16" s="771" t="s">
        <v>17</v>
      </c>
      <c r="W16" s="772">
        <f>J16</f>
        <v>100</v>
      </c>
      <c r="X16" s="1809"/>
      <c r="Y16" s="3273"/>
      <c r="Z16" s="1810" t="str">
        <f>Q16</f>
        <v>公共配套设施</v>
      </c>
      <c r="AA16" s="1807">
        <f t="shared" si="3"/>
        <v>1</v>
      </c>
      <c r="AB16" s="1807">
        <f t="shared" si="4"/>
        <v>1</v>
      </c>
      <c r="AC16" s="1807">
        <f t="shared" si="5"/>
        <v>1</v>
      </c>
    </row>
    <row r="17" spans="1:29" ht="15">
      <c r="A17" s="426"/>
      <c r="B17" s="454"/>
      <c r="C17" s="2606"/>
      <c r="D17" s="446"/>
      <c r="E17" s="445"/>
      <c r="F17" s="447"/>
      <c r="G17" s="445"/>
      <c r="H17" s="446"/>
      <c r="I17" s="445"/>
      <c r="J17" s="446"/>
      <c r="K17" s="613"/>
      <c r="L17" s="1137"/>
      <c r="M17" s="1128"/>
      <c r="N17" s="1128"/>
      <c r="O17" s="1136"/>
      <c r="P17" s="3273"/>
      <c r="Q17" s="1806"/>
      <c r="R17" s="771"/>
      <c r="S17" s="772"/>
      <c r="T17" s="771"/>
      <c r="U17" s="772"/>
      <c r="V17" s="771"/>
      <c r="W17" s="772"/>
      <c r="X17" s="1809"/>
      <c r="Y17" s="3273"/>
      <c r="Z17" s="1810"/>
      <c r="AA17" s="1807">
        <v>1</v>
      </c>
      <c r="AB17" s="1807">
        <v>1</v>
      </c>
      <c r="AC17" s="1807">
        <v>1</v>
      </c>
    </row>
    <row r="18" spans="1:29" ht="28.5">
      <c r="A18" s="426"/>
      <c r="B18" s="1381" t="s">
        <v>2685</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73"/>
      <c r="Q18" s="1806" t="str">
        <f>B18</f>
        <v>基础设施水平</v>
      </c>
      <c r="R18" s="771" t="s">
        <v>17</v>
      </c>
      <c r="S18" s="772">
        <f>F18</f>
        <v>100</v>
      </c>
      <c r="T18" s="771" t="s">
        <v>17</v>
      </c>
      <c r="U18" s="772">
        <f>H18</f>
        <v>100</v>
      </c>
      <c r="V18" s="771" t="s">
        <v>17</v>
      </c>
      <c r="W18" s="772">
        <f>J18</f>
        <v>100</v>
      </c>
      <c r="X18" s="1809"/>
      <c r="Y18" s="3273"/>
      <c r="Z18" s="1810" t="str">
        <f>Q18</f>
        <v>基础设施水平</v>
      </c>
      <c r="AA18" s="1807">
        <f t="shared" ref="AA18" si="8">D18/F18</f>
        <v>1</v>
      </c>
      <c r="AB18" s="1807">
        <f t="shared" ref="AB18" si="9">D18/H18</f>
        <v>1</v>
      </c>
      <c r="AC18" s="1807">
        <f t="shared" ref="AC18" si="10">D18/J18</f>
        <v>1</v>
      </c>
    </row>
    <row r="19" spans="1:29" ht="15">
      <c r="A19" s="426"/>
      <c r="B19" s="1381"/>
      <c r="C19" s="2606"/>
      <c r="D19" s="448"/>
      <c r="E19" s="2606"/>
      <c r="F19" s="451"/>
      <c r="G19" s="2606"/>
      <c r="H19" s="446"/>
      <c r="I19" s="445"/>
      <c r="J19" s="446"/>
      <c r="K19" s="1380"/>
      <c r="L19" s="1137"/>
      <c r="M19" s="1128"/>
      <c r="N19" s="1128"/>
      <c r="O19" s="1136"/>
      <c r="P19" s="3273"/>
      <c r="Q19" s="1806"/>
      <c r="R19" s="771"/>
      <c r="S19" s="772"/>
      <c r="T19" s="771"/>
      <c r="U19" s="772"/>
      <c r="V19" s="771"/>
      <c r="W19" s="772"/>
      <c r="X19" s="1809"/>
      <c r="Y19" s="3273"/>
      <c r="Z19" s="1810"/>
      <c r="AA19" s="1807">
        <v>1</v>
      </c>
      <c r="AB19" s="1807">
        <v>1</v>
      </c>
      <c r="AC19" s="1807">
        <v>1</v>
      </c>
    </row>
    <row r="20" spans="1:29" ht="57">
      <c r="A20" s="426"/>
      <c r="B20" s="449" t="s">
        <v>2706</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73"/>
      <c r="Q20" s="1806" t="str">
        <f>B20</f>
        <v>自然及人文环境</v>
      </c>
      <c r="R20" s="771" t="s">
        <v>17</v>
      </c>
      <c r="S20" s="772">
        <f>F20</f>
        <v>100</v>
      </c>
      <c r="T20" s="771" t="s">
        <v>17</v>
      </c>
      <c r="U20" s="772">
        <f>H20</f>
        <v>100</v>
      </c>
      <c r="V20" s="771" t="s">
        <v>17</v>
      </c>
      <c r="W20" s="772">
        <f>J20</f>
        <v>100</v>
      </c>
      <c r="X20" s="1809"/>
      <c r="Y20" s="3273"/>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273"/>
      <c r="Q21" s="1806"/>
      <c r="R21" s="771"/>
      <c r="S21" s="772"/>
      <c r="T21" s="771"/>
      <c r="U21" s="772"/>
      <c r="V21" s="771"/>
      <c r="W21" s="772"/>
      <c r="X21" s="1809"/>
      <c r="Y21" s="3273"/>
      <c r="Z21" s="1810"/>
      <c r="AA21" s="1807">
        <v>1</v>
      </c>
      <c r="AB21" s="1807">
        <v>1</v>
      </c>
      <c r="AC21" s="1807">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73"/>
      <c r="Q22" s="1806" t="str">
        <f>B22</f>
        <v>楼层</v>
      </c>
      <c r="R22" s="771" t="s">
        <v>17</v>
      </c>
      <c r="S22" s="772">
        <f>F22</f>
        <v>100</v>
      </c>
      <c r="T22" s="771" t="s">
        <v>17</v>
      </c>
      <c r="U22" s="772">
        <f>H22</f>
        <v>100</v>
      </c>
      <c r="V22" s="771" t="s">
        <v>17</v>
      </c>
      <c r="W22" s="772">
        <f>J22</f>
        <v>100</v>
      </c>
      <c r="X22" s="1809"/>
      <c r="Y22" s="3273"/>
      <c r="Z22" s="1810" t="str">
        <f>Q22</f>
        <v>楼层</v>
      </c>
      <c r="AA22" s="1807">
        <f t="shared" si="3"/>
        <v>1</v>
      </c>
      <c r="AB22" s="1807">
        <f t="shared" si="4"/>
        <v>1</v>
      </c>
      <c r="AC22" s="1807">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73"/>
      <c r="Q23" s="1806">
        <f>B23</f>
        <v>111</v>
      </c>
      <c r="R23" s="771" t="s">
        <v>17</v>
      </c>
      <c r="S23" s="772">
        <f>F23</f>
        <v>100</v>
      </c>
      <c r="T23" s="771" t="s">
        <v>17</v>
      </c>
      <c r="U23" s="772">
        <f>H23</f>
        <v>100</v>
      </c>
      <c r="V23" s="771" t="s">
        <v>17</v>
      </c>
      <c r="W23" s="772">
        <f>J23</f>
        <v>100</v>
      </c>
      <c r="X23" s="1809"/>
      <c r="Y23" s="3273"/>
      <c r="Z23" s="1810">
        <f>Q23</f>
        <v>111</v>
      </c>
      <c r="AA23" s="1807">
        <f t="shared" si="3"/>
        <v>1</v>
      </c>
      <c r="AB23" s="1807">
        <f t="shared" si="4"/>
        <v>1</v>
      </c>
      <c r="AC23" s="1807">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73"/>
      <c r="Q24" s="1806">
        <f t="shared" ref="Q24:Q34" si="11">B24</f>
        <v>111</v>
      </c>
      <c r="R24" s="771" t="s">
        <v>17</v>
      </c>
      <c r="S24" s="772">
        <f>F24</f>
        <v>100</v>
      </c>
      <c r="T24" s="771" t="s">
        <v>17</v>
      </c>
      <c r="U24" s="772">
        <f>H24</f>
        <v>100</v>
      </c>
      <c r="V24" s="771" t="s">
        <v>17</v>
      </c>
      <c r="W24" s="772">
        <f>J24</f>
        <v>100</v>
      </c>
      <c r="X24" s="1809"/>
      <c r="Y24" s="3273"/>
      <c r="Z24" s="1810">
        <f>Q24</f>
        <v>111</v>
      </c>
      <c r="AA24" s="1807">
        <f t="shared" si="3"/>
        <v>1</v>
      </c>
      <c r="AB24" s="1807">
        <f t="shared" si="4"/>
        <v>1</v>
      </c>
      <c r="AC24" s="1807">
        <f t="shared" si="5"/>
        <v>1</v>
      </c>
    </row>
    <row r="25" spans="1:29" s="117"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29"/>
      <c r="M25" s="1130"/>
      <c r="N25" s="1130"/>
      <c r="O25" s="1131"/>
      <c r="P25" s="3273"/>
      <c r="Q25" s="1791">
        <f t="shared" si="11"/>
        <v>111</v>
      </c>
      <c r="R25" s="767" t="s">
        <v>17</v>
      </c>
      <c r="S25" s="768">
        <f>F25</f>
        <v>100</v>
      </c>
      <c r="T25" s="767" t="s">
        <v>17</v>
      </c>
      <c r="U25" s="768">
        <f>H25</f>
        <v>100</v>
      </c>
      <c r="V25" s="767" t="s">
        <v>17</v>
      </c>
      <c r="W25" s="768">
        <f>J25</f>
        <v>100</v>
      </c>
      <c r="X25" s="769"/>
      <c r="Y25" s="3273"/>
      <c r="Z25" s="55">
        <f>Q25</f>
        <v>111</v>
      </c>
      <c r="AA25" s="1807">
        <f>D25/F25</f>
        <v>1</v>
      </c>
      <c r="AB25" s="1807">
        <f>D25/H25</f>
        <v>1</v>
      </c>
      <c r="AC25" s="1807">
        <f>D25/J25</f>
        <v>1</v>
      </c>
    </row>
    <row r="26" spans="1:29" ht="28.5">
      <c r="A26" s="464" t="s">
        <v>2559</v>
      </c>
      <c r="B26" s="71" t="s">
        <v>2710</v>
      </c>
      <c r="C26" s="2677"/>
      <c r="D26" s="465">
        <v>100</v>
      </c>
      <c r="E26" s="2677"/>
      <c r="F26" s="665">
        <f>SUMIF(77:77,E26,78:78)-SUMIF(77:77,C26,78:78)+100</f>
        <v>100</v>
      </c>
      <c r="G26" s="2677"/>
      <c r="H26" s="465">
        <f>SUMIF(77:77,G26,78:78)-SUMIF(77:77,C26,78:78)+100</f>
        <v>100</v>
      </c>
      <c r="I26" s="2677"/>
      <c r="J26" s="465">
        <f>SUMIF(77:77,I26,78:78)-SUMIF(77:77,C26,78:78)+100</f>
        <v>100</v>
      </c>
      <c r="K26" s="610"/>
      <c r="L26" s="1137"/>
      <c r="M26" s="1128"/>
      <c r="N26" s="1128"/>
      <c r="O26" s="1136"/>
      <c r="P26" s="3274" t="s">
        <v>2561</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75" t="s">
        <v>2561</v>
      </c>
      <c r="Z26" s="1810" t="str">
        <f t="shared" ref="Z26:Z34" si="15">Q26</f>
        <v>公共部分装修</v>
      </c>
      <c r="AA26" s="1807">
        <f t="shared" si="3"/>
        <v>1</v>
      </c>
      <c r="AB26" s="1807">
        <f t="shared" si="4"/>
        <v>1</v>
      </c>
      <c r="AC26" s="1807">
        <f t="shared" si="5"/>
        <v>1</v>
      </c>
    </row>
    <row r="27" spans="1:29" s="469" customFormat="1" ht="15">
      <c r="A27" s="466"/>
      <c r="B27" s="420" t="s">
        <v>2711</v>
      </c>
      <c r="C27" s="472"/>
      <c r="D27" s="136">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75"/>
      <c r="Q27" s="773" t="str">
        <f t="shared" si="11"/>
        <v>成新率</v>
      </c>
      <c r="R27" s="774" t="s">
        <v>17</v>
      </c>
      <c r="S27" s="775" t="e">
        <f t="shared" si="12"/>
        <v>#N/A</v>
      </c>
      <c r="T27" s="774" t="s">
        <v>17</v>
      </c>
      <c r="U27" s="775" t="e">
        <f t="shared" si="13"/>
        <v>#N/A</v>
      </c>
      <c r="V27" s="774" t="s">
        <v>17</v>
      </c>
      <c r="W27" s="775" t="e">
        <f t="shared" si="14"/>
        <v>#N/A</v>
      </c>
      <c r="X27" s="776"/>
      <c r="Y27" s="3275"/>
      <c r="Z27" s="777" t="str">
        <f t="shared" si="15"/>
        <v>成新率</v>
      </c>
      <c r="AA27" s="1807" t="e">
        <f t="shared" si="3"/>
        <v>#N/A</v>
      </c>
      <c r="AB27" s="1807" t="e">
        <f t="shared" si="4"/>
        <v>#N/A</v>
      </c>
      <c r="AC27" s="1807"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75"/>
      <c r="Q28" s="1806" t="str">
        <f t="shared" si="11"/>
        <v>物业等级</v>
      </c>
      <c r="R28" s="771" t="s">
        <v>17</v>
      </c>
      <c r="S28" s="772">
        <f t="shared" si="12"/>
        <v>100</v>
      </c>
      <c r="T28" s="771" t="s">
        <v>17</v>
      </c>
      <c r="U28" s="772">
        <f t="shared" si="13"/>
        <v>100</v>
      </c>
      <c r="V28" s="771" t="s">
        <v>17</v>
      </c>
      <c r="W28" s="772">
        <f t="shared" si="14"/>
        <v>100</v>
      </c>
      <c r="X28" s="1809"/>
      <c r="Y28" s="3275"/>
      <c r="Z28" s="1810" t="str">
        <f t="shared" si="15"/>
        <v>物业等级</v>
      </c>
      <c r="AA28" s="1807">
        <f t="shared" si="3"/>
        <v>1</v>
      </c>
      <c r="AB28" s="1807">
        <f t="shared" si="4"/>
        <v>1</v>
      </c>
      <c r="AC28" s="1807">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75"/>
      <c r="Q29" s="1806" t="str">
        <f t="shared" si="11"/>
        <v>有无电梯</v>
      </c>
      <c r="R29" s="771" t="s">
        <v>17</v>
      </c>
      <c r="S29" s="772">
        <f t="shared" si="12"/>
        <v>100</v>
      </c>
      <c r="T29" s="771" t="s">
        <v>17</v>
      </c>
      <c r="U29" s="772">
        <f t="shared" si="13"/>
        <v>100</v>
      </c>
      <c r="V29" s="771" t="s">
        <v>17</v>
      </c>
      <c r="W29" s="772">
        <f t="shared" si="14"/>
        <v>100</v>
      </c>
      <c r="X29" s="1809"/>
      <c r="Y29" s="3275"/>
      <c r="Z29" s="1810" t="str">
        <f t="shared" si="15"/>
        <v>有无电梯</v>
      </c>
      <c r="AA29" s="1807">
        <f t="shared" si="3"/>
        <v>1</v>
      </c>
      <c r="AB29" s="1807">
        <f t="shared" si="4"/>
        <v>1</v>
      </c>
      <c r="AC29" s="1807">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75"/>
      <c r="Q30" s="1806" t="str">
        <f t="shared" si="11"/>
        <v>建筑面积</v>
      </c>
      <c r="R30" s="771" t="s">
        <v>17</v>
      </c>
      <c r="S30" s="772" t="e">
        <f t="shared" si="12"/>
        <v>#N/A</v>
      </c>
      <c r="T30" s="771" t="s">
        <v>17</v>
      </c>
      <c r="U30" s="772" t="e">
        <f t="shared" si="13"/>
        <v>#N/A</v>
      </c>
      <c r="V30" s="771" t="s">
        <v>17</v>
      </c>
      <c r="W30" s="772" t="e">
        <f t="shared" si="14"/>
        <v>#N/A</v>
      </c>
      <c r="X30" s="1809"/>
      <c r="Y30" s="3275"/>
      <c r="Z30" s="1810" t="str">
        <f t="shared" si="15"/>
        <v>建筑面积</v>
      </c>
      <c r="AA30" s="1807" t="e">
        <f t="shared" si="3"/>
        <v>#N/A</v>
      </c>
      <c r="AB30" s="1807" t="e">
        <f t="shared" si="4"/>
        <v>#N/A</v>
      </c>
      <c r="AC30" s="1807" t="e">
        <f t="shared" si="5"/>
        <v>#N/A</v>
      </c>
    </row>
    <row r="31" spans="1:29" s="117" customFormat="1" ht="15">
      <c r="A31" s="471"/>
      <c r="B31" s="420" t="s">
        <v>2735</v>
      </c>
      <c r="C31" s="655"/>
      <c r="D31" s="136">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75"/>
      <c r="Q31" s="1791" t="str">
        <f t="shared" si="11"/>
        <v>是否封闭</v>
      </c>
      <c r="R31" s="767" t="s">
        <v>17</v>
      </c>
      <c r="S31" s="768">
        <f t="shared" si="12"/>
        <v>100</v>
      </c>
      <c r="T31" s="767" t="s">
        <v>17</v>
      </c>
      <c r="U31" s="768">
        <f t="shared" si="13"/>
        <v>100</v>
      </c>
      <c r="V31" s="767" t="s">
        <v>17</v>
      </c>
      <c r="W31" s="768">
        <f t="shared" si="14"/>
        <v>100</v>
      </c>
      <c r="X31" s="769"/>
      <c r="Y31" s="3275"/>
      <c r="Z31" s="55" t="str">
        <f t="shared" si="15"/>
        <v>是否封闭</v>
      </c>
      <c r="AA31" s="770">
        <f t="shared" si="3"/>
        <v>1</v>
      </c>
      <c r="AB31" s="770">
        <f t="shared" si="4"/>
        <v>1</v>
      </c>
      <c r="AC31" s="770">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75" t="s">
        <v>2561</v>
      </c>
      <c r="Q32" s="1806">
        <f t="shared" si="11"/>
        <v>111</v>
      </c>
      <c r="R32" s="771" t="s">
        <v>17</v>
      </c>
      <c r="S32" s="772">
        <f t="shared" si="12"/>
        <v>100</v>
      </c>
      <c r="T32" s="771" t="s">
        <v>17</v>
      </c>
      <c r="U32" s="772">
        <f t="shared" si="13"/>
        <v>100</v>
      </c>
      <c r="V32" s="771" t="s">
        <v>17</v>
      </c>
      <c r="W32" s="772">
        <f t="shared" si="14"/>
        <v>100</v>
      </c>
      <c r="X32" s="1809"/>
      <c r="Y32" s="3275" t="s">
        <v>2561</v>
      </c>
      <c r="Z32" s="1810">
        <f t="shared" si="15"/>
        <v>111</v>
      </c>
      <c r="AA32" s="1807">
        <f t="shared" si="3"/>
        <v>1</v>
      </c>
      <c r="AB32" s="1807">
        <f t="shared" si="4"/>
        <v>1</v>
      </c>
      <c r="AC32" s="1807">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75"/>
      <c r="Q33" s="1806">
        <f t="shared" si="11"/>
        <v>111</v>
      </c>
      <c r="R33" s="771" t="s">
        <v>17</v>
      </c>
      <c r="S33" s="772">
        <f t="shared" si="12"/>
        <v>100</v>
      </c>
      <c r="T33" s="771" t="s">
        <v>17</v>
      </c>
      <c r="U33" s="772">
        <f t="shared" si="13"/>
        <v>100</v>
      </c>
      <c r="V33" s="771" t="s">
        <v>17</v>
      </c>
      <c r="W33" s="772">
        <f t="shared" si="14"/>
        <v>100</v>
      </c>
      <c r="X33" s="1809"/>
      <c r="Y33" s="3275"/>
      <c r="Z33" s="1810">
        <f t="shared" si="15"/>
        <v>111</v>
      </c>
      <c r="AA33" s="1807">
        <f t="shared" si="3"/>
        <v>1</v>
      </c>
      <c r="AB33" s="1807">
        <f t="shared" si="4"/>
        <v>1</v>
      </c>
      <c r="AC33" s="1807">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7"/>
      <c r="M34" s="1128"/>
      <c r="N34" s="1128"/>
      <c r="O34" s="1136"/>
      <c r="P34" s="3275"/>
      <c r="Q34" s="1806">
        <f t="shared" si="11"/>
        <v>111</v>
      </c>
      <c r="R34" s="771" t="s">
        <v>17</v>
      </c>
      <c r="S34" s="772">
        <f t="shared" si="12"/>
        <v>100</v>
      </c>
      <c r="T34" s="771" t="s">
        <v>17</v>
      </c>
      <c r="U34" s="772">
        <f t="shared" si="13"/>
        <v>100</v>
      </c>
      <c r="V34" s="771" t="s">
        <v>17</v>
      </c>
      <c r="W34" s="772">
        <f t="shared" si="14"/>
        <v>100</v>
      </c>
      <c r="X34" s="1809"/>
      <c r="Y34" s="3275"/>
      <c r="Z34" s="1810">
        <f t="shared" si="15"/>
        <v>111</v>
      </c>
      <c r="AA34" s="1807">
        <f t="shared" si="3"/>
        <v>1</v>
      </c>
      <c r="AB34" s="1807">
        <f t="shared" si="4"/>
        <v>1</v>
      </c>
      <c r="AC34" s="1807">
        <f t="shared" si="5"/>
        <v>1</v>
      </c>
    </row>
    <row r="35" spans="1:29" ht="15">
      <c r="A35" s="477" t="s">
        <v>2573</v>
      </c>
      <c r="B35" s="478"/>
      <c r="C35" s="1404" t="s">
        <v>1</v>
      </c>
      <c r="D35" s="1405"/>
      <c r="E35" s="1406"/>
      <c r="F35" s="1407"/>
      <c r="G35" s="1408"/>
      <c r="H35" s="1409"/>
      <c r="I35" s="1406"/>
      <c r="J35" s="1409"/>
      <c r="K35" s="780"/>
      <c r="L35" s="1140"/>
      <c r="M35" s="1141"/>
      <c r="N35" s="1128"/>
      <c r="O35" s="1141"/>
      <c r="P35" s="3257" t="str">
        <f>A35</f>
        <v>成交单价（元/平方米）</v>
      </c>
      <c r="Q35" s="3257"/>
      <c r="R35" s="3311">
        <f>E35</f>
        <v>0</v>
      </c>
      <c r="S35" s="3311"/>
      <c r="T35" s="3311">
        <f>G35</f>
        <v>0</v>
      </c>
      <c r="U35" s="3311"/>
      <c r="V35" s="3311">
        <f>I35</f>
        <v>0</v>
      </c>
      <c r="W35" s="3311"/>
      <c r="X35" s="756"/>
      <c r="Y35" s="778"/>
      <c r="Z35" s="756"/>
      <c r="AA35" s="756"/>
      <c r="AB35" s="756"/>
      <c r="AC35" s="756"/>
    </row>
    <row r="36" spans="1:29" ht="15.75" thickBot="1">
      <c r="A36" s="484" t="s">
        <v>2665</v>
      </c>
      <c r="B36" s="485"/>
      <c r="C36" s="1410" t="e">
        <f>R37</f>
        <v>#DIV/0!</v>
      </c>
      <c r="D36" s="1411"/>
      <c r="E36" s="1412" t="e">
        <f>R36</f>
        <v>#DIV/0!</v>
      </c>
      <c r="F36" s="1412"/>
      <c r="G36" s="1410" t="e">
        <f>T36</f>
        <v>#DIV/0!</v>
      </c>
      <c r="H36" s="1411"/>
      <c r="I36" s="1412" t="e">
        <f>V36</f>
        <v>#DIV/0!</v>
      </c>
      <c r="J36" s="1411"/>
      <c r="K36" s="781"/>
      <c r="L36" s="1140"/>
      <c r="M36" s="1141"/>
      <c r="N36" s="1128"/>
      <c r="O36" s="1141"/>
      <c r="P36" s="3257" t="str">
        <f>A36</f>
        <v>比较价值（元/平方米）</v>
      </c>
      <c r="Q36" s="3257"/>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756"/>
      <c r="Y36" s="756"/>
      <c r="Z36" s="756"/>
      <c r="AA36" s="756"/>
      <c r="AB36" s="756"/>
      <c r="AC36" s="756"/>
    </row>
    <row r="37" spans="1:29" ht="15.75" thickBot="1">
      <c r="A37" s="490" t="s">
        <v>2666</v>
      </c>
      <c r="B37" s="491"/>
      <c r="C37" s="1414" t="e">
        <f>R37</f>
        <v>#DIV/0!</v>
      </c>
      <c r="D37" s="1414"/>
      <c r="E37" s="1414"/>
      <c r="F37" s="1414"/>
      <c r="G37" s="1414"/>
      <c r="H37" s="1414"/>
      <c r="I37" s="1414"/>
      <c r="J37" s="1414"/>
      <c r="K37" s="782"/>
      <c r="L37" s="1140"/>
      <c r="M37" s="1141"/>
      <c r="N37" s="1141"/>
      <c r="O37" s="1141"/>
      <c r="P37" s="3277" t="str">
        <f>A37</f>
        <v>估价对象XX用房的比较价值（楼面单价，元/平方米）</v>
      </c>
      <c r="Q37" s="3278"/>
      <c r="R37" s="3310" t="e">
        <f>IF(F1="售价",ROUND(AVERAGE(R36:V36),0),ROUND(AVERAGE(R36:V36),1))</f>
        <v>#DIV/0!</v>
      </c>
      <c r="S37" s="3310"/>
      <c r="T37" s="3310"/>
      <c r="U37" s="3310"/>
      <c r="V37" s="3310"/>
      <c r="W37" s="3310"/>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2670</v>
      </c>
      <c r="B45" s="756"/>
      <c r="C45" s="761"/>
      <c r="D45" s="761"/>
      <c r="E45" s="761"/>
      <c r="F45" s="762"/>
      <c r="G45" s="762"/>
      <c r="H45" s="761"/>
      <c r="I45" s="761"/>
      <c r="J45" s="761"/>
      <c r="K45" s="763"/>
      <c r="L45" s="764"/>
      <c r="M45" s="761"/>
      <c r="N45" s="761"/>
      <c r="O45" s="761"/>
      <c r="P45" s="501"/>
      <c r="Q45" s="502"/>
    </row>
    <row r="46" spans="1:29" s="506" customFormat="1" ht="15">
      <c r="A46" s="503" t="s">
        <v>2544</v>
      </c>
      <c r="B46" s="504"/>
      <c r="C46" s="1570" t="str">
        <f>YEAR(C7)&amp;"-"&amp;MONTH(C7)</f>
        <v>2020-3</v>
      </c>
      <c r="D46" s="1571">
        <f>EDATE(C46,-1)</f>
        <v>43862</v>
      </c>
      <c r="E46" s="1571">
        <f t="shared" ref="E46:O46" si="16">EDATE(D46,-1)</f>
        <v>43831</v>
      </c>
      <c r="F46" s="1571">
        <f t="shared" si="16"/>
        <v>43800</v>
      </c>
      <c r="G46" s="1571">
        <f t="shared" si="16"/>
        <v>43770</v>
      </c>
      <c r="H46" s="1571">
        <f t="shared" si="16"/>
        <v>43739</v>
      </c>
      <c r="I46" s="1571">
        <f t="shared" si="16"/>
        <v>43709</v>
      </c>
      <c r="J46" s="1571">
        <f t="shared" si="16"/>
        <v>43678</v>
      </c>
      <c r="K46" s="1571">
        <f t="shared" si="16"/>
        <v>43647</v>
      </c>
      <c r="L46" s="1571">
        <f t="shared" si="16"/>
        <v>43617</v>
      </c>
      <c r="M46" s="1571">
        <f t="shared" si="16"/>
        <v>43586</v>
      </c>
      <c r="N46" s="1571">
        <f t="shared" si="16"/>
        <v>43556</v>
      </c>
      <c r="O46" s="1571">
        <f t="shared" si="16"/>
        <v>43525</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2581</v>
      </c>
      <c r="B48" s="514"/>
      <c r="C48" s="515"/>
      <c r="D48" s="516"/>
      <c r="E48" s="516"/>
      <c r="F48" s="516"/>
      <c r="G48" s="516"/>
      <c r="H48" s="516"/>
      <c r="I48" s="516"/>
      <c r="J48" s="516"/>
      <c r="K48" s="516"/>
      <c r="L48" s="516"/>
      <c r="M48" s="517"/>
      <c r="N48" s="516"/>
      <c r="O48" s="518"/>
      <c r="P48" s="502"/>
      <c r="Q48" s="502"/>
    </row>
    <row r="49" spans="1:17" s="117" customFormat="1" ht="15">
      <c r="A49" s="519" t="s">
        <v>2546</v>
      </c>
      <c r="B49" s="508"/>
      <c r="C49" s="520" t="s">
        <v>2648</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2584</v>
      </c>
      <c r="B51" s="526" t="s">
        <v>2550</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2685</v>
      </c>
      <c r="C65" s="658" t="s">
        <v>2671</v>
      </c>
      <c r="D65" s="658" t="s">
        <v>2672</v>
      </c>
      <c r="E65" s="658" t="s">
        <v>2673</v>
      </c>
      <c r="F65" s="658" t="s">
        <v>2674</v>
      </c>
      <c r="G65" s="658" t="s">
        <v>2675</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2725</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2559</v>
      </c>
      <c r="B77" s="526" t="s">
        <v>2612</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2729</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2737</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2739</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1" customWidth="1"/>
    <col min="2" max="2" width="15.87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875" style="401" customWidth="1"/>
    <col min="17" max="17" width="19.5" style="401" customWidth="1"/>
    <col min="18" max="22" width="6.125" style="401" customWidth="1"/>
    <col min="23" max="23" width="5.875" style="401" customWidth="1"/>
    <col min="24" max="24" width="4.125" style="401" customWidth="1"/>
    <col min="25" max="25" width="3.5" style="401" customWidth="1"/>
    <col min="26" max="26" width="19.875" style="401" customWidth="1"/>
    <col min="27" max="28" width="9.375" style="401" customWidth="1"/>
    <col min="29" max="16384" width="9" style="401"/>
  </cols>
  <sheetData>
    <row r="1" spans="1:29" s="396" customFormat="1" ht="28.5" customHeight="1">
      <c r="A1" s="392" t="s">
        <v>2740</v>
      </c>
      <c r="B1" s="393"/>
      <c r="C1" s="394" t="s">
        <v>2791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2326</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ROUND(IF(D3="",B2*10000/'数据-汇总表'!E3,B2*10000/D3),0)</f>
        <v>#DIV/0!</v>
      </c>
      <c r="C3" s="245" t="s">
        <v>2742</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2641</v>
      </c>
      <c r="B4" s="400"/>
      <c r="C4" s="3258" t="s">
        <v>2642</v>
      </c>
      <c r="D4" s="3259"/>
      <c r="E4" s="3260" t="s">
        <v>2643</v>
      </c>
      <c r="F4" s="3261"/>
      <c r="G4" s="3258" t="s">
        <v>2644</v>
      </c>
      <c r="H4" s="3259"/>
      <c r="I4" s="3258" t="s">
        <v>2645</v>
      </c>
      <c r="J4" s="3259"/>
      <c r="K4" s="608" t="s">
        <v>2646</v>
      </c>
      <c r="L4" s="1127"/>
      <c r="M4" s="1128"/>
      <c r="N4" s="1128"/>
      <c r="O4" s="1128"/>
      <c r="P4" s="3262" t="s">
        <v>2647</v>
      </c>
      <c r="Q4" s="3263"/>
      <c r="R4" s="3245" t="s">
        <v>2643</v>
      </c>
      <c r="S4" s="3246"/>
      <c r="T4" s="3245" t="s">
        <v>2644</v>
      </c>
      <c r="U4" s="3246"/>
      <c r="V4" s="3270" t="s">
        <v>2645</v>
      </c>
      <c r="W4" s="3270"/>
      <c r="X4" s="1809"/>
      <c r="Y4" s="3245" t="s">
        <v>2647</v>
      </c>
      <c r="Z4" s="3246"/>
      <c r="AA4" s="3240" t="s">
        <v>2643</v>
      </c>
      <c r="AB4" s="3241" t="s">
        <v>2644</v>
      </c>
      <c r="AC4" s="3240" t="s">
        <v>2645</v>
      </c>
    </row>
    <row r="5" spans="1:29" ht="15">
      <c r="A5" s="402"/>
      <c r="B5" s="403"/>
      <c r="C5" s="3251" t="s">
        <v>2538</v>
      </c>
      <c r="D5" s="3252"/>
      <c r="E5" s="3249" t="s">
        <v>2539</v>
      </c>
      <c r="F5" s="3250"/>
      <c r="G5" s="3251" t="s">
        <v>2540</v>
      </c>
      <c r="H5" s="3252"/>
      <c r="I5" s="3251" t="s">
        <v>2541</v>
      </c>
      <c r="J5" s="3252"/>
      <c r="K5" s="608"/>
      <c r="L5" s="1127"/>
      <c r="M5" s="1128"/>
      <c r="N5" s="1128"/>
      <c r="O5" s="1128"/>
      <c r="P5" s="3264"/>
      <c r="Q5" s="3265"/>
      <c r="R5" s="3247"/>
      <c r="S5" s="3248"/>
      <c r="T5" s="3247"/>
      <c r="U5" s="3248"/>
      <c r="V5" s="3270"/>
      <c r="W5" s="3270"/>
      <c r="X5" s="1809"/>
      <c r="Y5" s="3247"/>
      <c r="Z5" s="3248"/>
      <c r="AA5" s="3241"/>
      <c r="AB5" s="3241"/>
      <c r="AC5" s="3241"/>
    </row>
    <row r="6" spans="1:29" ht="15.75" thickBot="1">
      <c r="A6" s="404"/>
      <c r="B6" s="405"/>
      <c r="C6" s="3333" t="s">
        <v>2792</v>
      </c>
      <c r="D6" s="3334"/>
      <c r="E6" s="3335" t="s">
        <v>2792</v>
      </c>
      <c r="F6" s="3336"/>
      <c r="G6" s="3333" t="s">
        <v>2792</v>
      </c>
      <c r="H6" s="3334"/>
      <c r="I6" s="3333" t="s">
        <v>2792</v>
      </c>
      <c r="J6" s="3334"/>
      <c r="K6" s="608" t="s">
        <v>2543</v>
      </c>
      <c r="L6" s="1127"/>
      <c r="M6" s="1128"/>
      <c r="N6" s="1128"/>
      <c r="O6" s="1128"/>
      <c r="P6" s="3266"/>
      <c r="Q6" s="3267"/>
      <c r="R6" s="3247"/>
      <c r="S6" s="3248"/>
      <c r="T6" s="3268"/>
      <c r="U6" s="3269"/>
      <c r="V6" s="3270"/>
      <c r="W6" s="3270"/>
      <c r="X6" s="1809"/>
      <c r="Y6" s="3268"/>
      <c r="Z6" s="3269"/>
      <c r="AA6" s="3242"/>
      <c r="AB6" s="3242"/>
      <c r="AC6" s="3242"/>
    </row>
    <row r="7" spans="1:29" s="117" customFormat="1" ht="15.75" thickBot="1">
      <c r="A7" s="406" t="s">
        <v>2544</v>
      </c>
      <c r="B7" s="407"/>
      <c r="C7" s="408">
        <f>'数据-取费表'!B2</f>
        <v>43905</v>
      </c>
      <c r="D7" s="409">
        <v>100</v>
      </c>
      <c r="E7" s="410"/>
      <c r="F7" s="411">
        <f>SUMIF(65:65,YEAR(E7)&amp;"-"&amp;INT((MONTH(E7)+2)/3),66:66)</f>
        <v>0</v>
      </c>
      <c r="G7" s="2694"/>
      <c r="H7" s="409">
        <f>SUMIF(65:65,YEAR(G7)&amp;"-"&amp;INT((MONTH(G7)+2)/3),66:66)</f>
        <v>0</v>
      </c>
      <c r="I7" s="2694"/>
      <c r="J7" s="409">
        <f>SUMIF(65:65,YEAR(I7)&amp;"-"&amp;INT((MONTH(I7)+2)/3),66:66)</f>
        <v>0</v>
      </c>
      <c r="K7" s="609"/>
      <c r="L7" s="1129"/>
      <c r="M7" s="1130"/>
      <c r="N7" s="1130"/>
      <c r="O7" s="1130"/>
      <c r="P7" s="3243" t="s">
        <v>2545</v>
      </c>
      <c r="Q7" s="3271"/>
      <c r="R7" s="767" t="s">
        <v>17</v>
      </c>
      <c r="S7" s="768">
        <f t="shared" ref="S7:S15" si="0">F7</f>
        <v>0</v>
      </c>
      <c r="T7" s="767" t="s">
        <v>17</v>
      </c>
      <c r="U7" s="768">
        <f t="shared" ref="U7:U15" si="1">H7</f>
        <v>0</v>
      </c>
      <c r="V7" s="767" t="s">
        <v>17</v>
      </c>
      <c r="W7" s="768">
        <f t="shared" ref="W7:W15" si="2">J7</f>
        <v>0</v>
      </c>
      <c r="X7" s="769"/>
      <c r="Y7" s="3243" t="s">
        <v>2545</v>
      </c>
      <c r="Z7" s="3244"/>
      <c r="AA7" s="770" t="e">
        <f>D7/F7</f>
        <v>#DIV/0!</v>
      </c>
      <c r="AB7" s="770" t="e">
        <f>D7/H7</f>
        <v>#DIV/0!</v>
      </c>
      <c r="AC7" s="770" t="e">
        <f>D7/J7</f>
        <v>#DIV/0!</v>
      </c>
    </row>
    <row r="8" spans="1:29" s="117" customFormat="1" ht="15.7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43" t="s">
        <v>2548</v>
      </c>
      <c r="Q8" s="3244"/>
      <c r="R8" s="767" t="s">
        <v>17</v>
      </c>
      <c r="S8" s="768">
        <f t="shared" si="0"/>
        <v>0</v>
      </c>
      <c r="T8" s="767" t="s">
        <v>17</v>
      </c>
      <c r="U8" s="768">
        <f t="shared" si="1"/>
        <v>0</v>
      </c>
      <c r="V8" s="767" t="s">
        <v>17</v>
      </c>
      <c r="W8" s="768">
        <f t="shared" si="2"/>
        <v>0</v>
      </c>
      <c r="X8" s="769"/>
      <c r="Y8" s="3243" t="s">
        <v>2548</v>
      </c>
      <c r="Z8" s="3244"/>
      <c r="AA8" s="770" t="e">
        <f t="shared" ref="AA8:AA40" si="3">D8/F8</f>
        <v>#DIV/0!</v>
      </c>
      <c r="AB8" s="770" t="e">
        <f t="shared" ref="AB8:AB40" si="4">D8/H8</f>
        <v>#DIV/0!</v>
      </c>
      <c r="AC8" s="770" t="e">
        <f t="shared" ref="AC8:AC40" si="5">D8/J8</f>
        <v>#DIV/0!</v>
      </c>
    </row>
    <row r="9" spans="1:29" s="117" customFormat="1">
      <c r="A9" s="413" t="s">
        <v>2549</v>
      </c>
      <c r="B9" s="71" t="s">
        <v>2550</v>
      </c>
      <c r="C9" s="2697"/>
      <c r="D9" s="135">
        <v>100</v>
      </c>
      <c r="E9" s="2697"/>
      <c r="F9" s="135">
        <f>SUMIF(70:70,E9,71:71)-SUMIF(70:70,C9,71:71)+100</f>
        <v>100</v>
      </c>
      <c r="G9" s="2697"/>
      <c r="H9" s="135">
        <f>SUMIF(70:70,G9,71:71)-SUMIF(70:70,C9,71:71)+100</f>
        <v>100</v>
      </c>
      <c r="I9" s="2697"/>
      <c r="J9" s="135">
        <f>SUMIF(70:70,I9,71:71)-SUMIF(70:70,C9,71:71)+100</f>
        <v>100</v>
      </c>
      <c r="K9" s="609"/>
      <c r="L9" s="1129"/>
      <c r="M9" s="1130"/>
      <c r="N9" s="1130"/>
      <c r="O9" s="1131"/>
      <c r="P9" s="3257" t="s">
        <v>2551</v>
      </c>
      <c r="Q9" s="1791" t="str">
        <f t="shared" ref="Q9:Q15" si="6">B9</f>
        <v>用途</v>
      </c>
      <c r="R9" s="767" t="s">
        <v>17</v>
      </c>
      <c r="S9" s="768">
        <f t="shared" si="0"/>
        <v>100</v>
      </c>
      <c r="T9" s="767" t="s">
        <v>17</v>
      </c>
      <c r="U9" s="768">
        <f t="shared" si="1"/>
        <v>100</v>
      </c>
      <c r="V9" s="767" t="s">
        <v>17</v>
      </c>
      <c r="W9" s="768">
        <f t="shared" si="2"/>
        <v>100</v>
      </c>
      <c r="X9" s="769"/>
      <c r="Y9" s="3091" t="s">
        <v>2552</v>
      </c>
      <c r="Z9" s="55" t="str">
        <f t="shared" ref="Z9:Z15" si="7">Q9</f>
        <v>用途</v>
      </c>
      <c r="AA9" s="770">
        <f t="shared" si="3"/>
        <v>1</v>
      </c>
      <c r="AB9" s="770">
        <f t="shared" si="4"/>
        <v>1</v>
      </c>
      <c r="AC9" s="770">
        <f t="shared" si="5"/>
        <v>1</v>
      </c>
    </row>
    <row r="10" spans="1:29" s="425" customFormat="1" ht="27">
      <c r="A10" s="419"/>
      <c r="B10" s="420" t="s">
        <v>2553</v>
      </c>
      <c r="C10" s="430"/>
      <c r="D10" s="136">
        <v>100</v>
      </c>
      <c r="E10" s="430"/>
      <c r="F10" s="136">
        <f>ROUND(100/'数据-取费表'!G16,0)</f>
        <v>101</v>
      </c>
      <c r="G10" s="430"/>
      <c r="H10" s="136">
        <f>ROUND(100/'数据-取费表'!G16,0)</f>
        <v>101</v>
      </c>
      <c r="I10" s="430"/>
      <c r="J10" s="136">
        <f>ROUND(100/'数据-取费表'!G16,0)</f>
        <v>101</v>
      </c>
      <c r="K10" s="670"/>
      <c r="L10" s="1132"/>
      <c r="M10" s="1133"/>
      <c r="N10" s="1133"/>
      <c r="O10" s="1134"/>
      <c r="P10" s="3257"/>
      <c r="Q10" s="1791" t="str">
        <f t="shared" si="6"/>
        <v>土地使用年限（年）</v>
      </c>
      <c r="R10" s="767" t="s">
        <v>17</v>
      </c>
      <c r="S10" s="768">
        <f t="shared" si="0"/>
        <v>101</v>
      </c>
      <c r="T10" s="767" t="s">
        <v>17</v>
      </c>
      <c r="U10" s="768">
        <f t="shared" si="1"/>
        <v>101</v>
      </c>
      <c r="V10" s="767" t="s">
        <v>17</v>
      </c>
      <c r="W10" s="768">
        <f t="shared" si="2"/>
        <v>101</v>
      </c>
      <c r="X10" s="769"/>
      <c r="Y10" s="3091"/>
      <c r="Z10" s="55" t="str">
        <f t="shared" si="7"/>
        <v>土地使用年限（年）</v>
      </c>
      <c r="AA10" s="770">
        <f t="shared" si="3"/>
        <v>0.99009900990099009</v>
      </c>
      <c r="AB10" s="770">
        <f t="shared" si="4"/>
        <v>0.99009900990099009</v>
      </c>
      <c r="AC10" s="770">
        <f t="shared" si="5"/>
        <v>0.99009900990099009</v>
      </c>
    </row>
    <row r="11" spans="1:29" ht="15">
      <c r="A11" s="426"/>
      <c r="B11" s="420" t="s">
        <v>2554</v>
      </c>
      <c r="C11" s="427"/>
      <c r="D11" s="136">
        <v>100</v>
      </c>
      <c r="E11" s="427"/>
      <c r="F11" s="136" t="e">
        <f>LOOKUP(E11,75:75,76:76)-LOOKUP(C11,75:75,76:76)+100</f>
        <v>#N/A</v>
      </c>
      <c r="G11" s="428"/>
      <c r="H11" s="136" t="e">
        <f>LOOKUP(G11,75:75,76:76)-LOOKUP(C11,75:75,76:76)+100</f>
        <v>#N/A</v>
      </c>
      <c r="I11" s="427"/>
      <c r="J11" s="136" t="e">
        <f>LOOKUP(I11,75:75,76:76)-LOOKUP(C11,75:75,76:76)+100</f>
        <v>#N/A</v>
      </c>
      <c r="K11" s="671"/>
      <c r="L11" s="1135"/>
      <c r="M11" s="1128"/>
      <c r="N11" s="1128"/>
      <c r="O11" s="1136"/>
      <c r="P11" s="3257"/>
      <c r="Q11" s="1791" t="str">
        <f t="shared" si="6"/>
        <v>容积率</v>
      </c>
      <c r="R11" s="767" t="s">
        <v>17</v>
      </c>
      <c r="S11" s="768" t="e">
        <f t="shared" si="0"/>
        <v>#N/A</v>
      </c>
      <c r="T11" s="767" t="s">
        <v>17</v>
      </c>
      <c r="U11" s="768" t="e">
        <f t="shared" si="1"/>
        <v>#N/A</v>
      </c>
      <c r="V11" s="767" t="s">
        <v>17</v>
      </c>
      <c r="W11" s="768" t="e">
        <f t="shared" si="2"/>
        <v>#N/A</v>
      </c>
      <c r="X11" s="769"/>
      <c r="Y11" s="3091"/>
      <c r="Z11" s="55" t="str">
        <f t="shared" si="7"/>
        <v>容积率</v>
      </c>
      <c r="AA11" s="770" t="e">
        <f t="shared" si="3"/>
        <v>#N/A</v>
      </c>
      <c r="AB11" s="770" t="e">
        <f t="shared" si="4"/>
        <v>#N/A</v>
      </c>
      <c r="AC11" s="770" t="e">
        <f t="shared" si="5"/>
        <v>#N/A</v>
      </c>
    </row>
    <row r="12" spans="1:29" s="117" customFormat="1" ht="15">
      <c r="A12" s="429"/>
      <c r="B12" s="2598">
        <v>111</v>
      </c>
      <c r="C12" s="430"/>
      <c r="D12" s="431">
        <v>100</v>
      </c>
      <c r="E12" s="547"/>
      <c r="F12" s="136">
        <f>SUMIF(77:77,E12,78:78)-SUMIF(77:77,C12,78:78)+100</f>
        <v>100</v>
      </c>
      <c r="G12" s="672"/>
      <c r="H12" s="136">
        <f>SUMIF(77:77,G12,78:78)-SUMIF(77:77,C12,78:78)+100</f>
        <v>100</v>
      </c>
      <c r="I12" s="547"/>
      <c r="J12" s="136">
        <f>SUMIF(77:77,I12,78:78)-SUMIF(77:77,C12,78:78)+100</f>
        <v>100</v>
      </c>
      <c r="K12" s="670"/>
      <c r="L12" s="1129"/>
      <c r="M12" s="1130"/>
      <c r="N12" s="1130"/>
      <c r="O12" s="1131"/>
      <c r="P12" s="3257"/>
      <c r="Q12" s="1791">
        <f t="shared" si="6"/>
        <v>111</v>
      </c>
      <c r="R12" s="767" t="s">
        <v>17</v>
      </c>
      <c r="S12" s="768">
        <f t="shared" si="0"/>
        <v>100</v>
      </c>
      <c r="T12" s="767" t="s">
        <v>17</v>
      </c>
      <c r="U12" s="768">
        <f t="shared" si="1"/>
        <v>100</v>
      </c>
      <c r="V12" s="767" t="s">
        <v>17</v>
      </c>
      <c r="W12" s="768">
        <f t="shared" si="2"/>
        <v>100</v>
      </c>
      <c r="X12" s="769"/>
      <c r="Y12" s="3091"/>
      <c r="Z12" s="55">
        <f t="shared" si="7"/>
        <v>111</v>
      </c>
      <c r="AA12" s="770">
        <f>D12/F12</f>
        <v>1</v>
      </c>
      <c r="AB12" s="770">
        <f>D12/H12</f>
        <v>1</v>
      </c>
      <c r="AC12" s="770">
        <f>D12/J12</f>
        <v>1</v>
      </c>
    </row>
    <row r="13" spans="1:29" ht="15">
      <c r="A13" s="426"/>
      <c r="B13" s="2598">
        <v>111</v>
      </c>
      <c r="C13" s="432"/>
      <c r="D13" s="433">
        <v>100</v>
      </c>
      <c r="E13" s="547"/>
      <c r="F13" s="136">
        <f>SUMIF(79:79,E13,80:80)-SUMIF(79:79,C13,80:80)+100</f>
        <v>100</v>
      </c>
      <c r="G13" s="672"/>
      <c r="H13" s="433">
        <f>SUMIF(79:79,G13,80:80)-SUMIF(79:79,C13,80:80)+100</f>
        <v>100</v>
      </c>
      <c r="I13" s="547"/>
      <c r="J13" s="433">
        <f>SUMIF(79:79,I13,80:80)-SUMIF(79:79,C13,80:80)+100</f>
        <v>100</v>
      </c>
      <c r="K13" s="670"/>
      <c r="L13" s="1137"/>
      <c r="M13" s="1128"/>
      <c r="N13" s="1128"/>
      <c r="O13" s="1136"/>
      <c r="P13" s="3257"/>
      <c r="Q13" s="1791">
        <f t="shared" si="6"/>
        <v>111</v>
      </c>
      <c r="R13" s="767" t="s">
        <v>17</v>
      </c>
      <c r="S13" s="768">
        <f t="shared" si="0"/>
        <v>100</v>
      </c>
      <c r="T13" s="767" t="s">
        <v>17</v>
      </c>
      <c r="U13" s="768">
        <f t="shared" si="1"/>
        <v>100</v>
      </c>
      <c r="V13" s="767" t="s">
        <v>17</v>
      </c>
      <c r="W13" s="768">
        <f t="shared" si="2"/>
        <v>100</v>
      </c>
      <c r="X13" s="769"/>
      <c r="Y13" s="3091"/>
      <c r="Z13" s="55">
        <f t="shared" si="7"/>
        <v>111</v>
      </c>
      <c r="AA13" s="770">
        <f t="shared" si="3"/>
        <v>1</v>
      </c>
      <c r="AB13" s="770">
        <f t="shared" si="4"/>
        <v>1</v>
      </c>
      <c r="AC13" s="770">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57"/>
      <c r="Q14" s="1791">
        <f t="shared" si="6"/>
        <v>111</v>
      </c>
      <c r="R14" s="767" t="s">
        <v>17</v>
      </c>
      <c r="S14" s="768">
        <f t="shared" si="0"/>
        <v>100</v>
      </c>
      <c r="T14" s="767" t="s">
        <v>17</v>
      </c>
      <c r="U14" s="768">
        <f t="shared" si="1"/>
        <v>100</v>
      </c>
      <c r="V14" s="767" t="s">
        <v>17</v>
      </c>
      <c r="W14" s="768">
        <f t="shared" si="2"/>
        <v>100</v>
      </c>
      <c r="X14" s="769"/>
      <c r="Y14" s="3091"/>
      <c r="Z14" s="55">
        <f t="shared" si="7"/>
        <v>111</v>
      </c>
      <c r="AA14" s="770">
        <f t="shared" si="3"/>
        <v>1</v>
      </c>
      <c r="AB14" s="770">
        <f t="shared" si="4"/>
        <v>1</v>
      </c>
      <c r="AC14" s="770">
        <f t="shared" si="5"/>
        <v>1</v>
      </c>
    </row>
    <row r="15" spans="1:29" ht="57">
      <c r="A15" s="438" t="s">
        <v>2555</v>
      </c>
      <c r="B15" s="627" t="s">
        <v>2793</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72" t="s">
        <v>2556</v>
      </c>
      <c r="Q15" s="1806" t="str">
        <f t="shared" si="6"/>
        <v>产业集聚程度</v>
      </c>
      <c r="R15" s="771" t="s">
        <v>17</v>
      </c>
      <c r="S15" s="772">
        <f t="shared" si="0"/>
        <v>100</v>
      </c>
      <c r="T15" s="771" t="s">
        <v>17</v>
      </c>
      <c r="U15" s="772">
        <f t="shared" si="1"/>
        <v>100</v>
      </c>
      <c r="V15" s="771" t="s">
        <v>17</v>
      </c>
      <c r="W15" s="772">
        <f t="shared" si="2"/>
        <v>100</v>
      </c>
      <c r="X15" s="1809"/>
      <c r="Y15" s="3272" t="s">
        <v>2556</v>
      </c>
      <c r="Z15" s="1810" t="str">
        <f t="shared" si="7"/>
        <v>产业集聚程度</v>
      </c>
      <c r="AA15" s="1807">
        <f t="shared" si="3"/>
        <v>1</v>
      </c>
      <c r="AB15" s="1807">
        <f t="shared" si="4"/>
        <v>1</v>
      </c>
      <c r="AC15" s="1807">
        <f t="shared" si="5"/>
        <v>1</v>
      </c>
    </row>
    <row r="16" spans="1:29" ht="15">
      <c r="A16" s="426"/>
      <c r="B16" s="628"/>
      <c r="C16" s="445"/>
      <c r="D16" s="446"/>
      <c r="E16" s="2609"/>
      <c r="F16" s="446"/>
      <c r="G16" s="2609"/>
      <c r="H16" s="448"/>
      <c r="I16" s="2609"/>
      <c r="J16" s="446"/>
      <c r="K16" s="670"/>
      <c r="L16" s="1137"/>
      <c r="M16" s="1128"/>
      <c r="N16" s="1128"/>
      <c r="O16" s="1136"/>
      <c r="P16" s="3273"/>
      <c r="Q16" s="1806"/>
      <c r="R16" s="771"/>
      <c r="S16" s="772"/>
      <c r="T16" s="771"/>
      <c r="U16" s="772"/>
      <c r="V16" s="771"/>
      <c r="W16" s="772"/>
      <c r="X16" s="1809"/>
      <c r="Y16" s="3273"/>
      <c r="Z16" s="1810"/>
      <c r="AA16" s="1807">
        <v>1</v>
      </c>
      <c r="AB16" s="1807">
        <v>1</v>
      </c>
      <c r="AC16" s="1807">
        <v>1</v>
      </c>
    </row>
    <row r="17" spans="1:29" ht="85.5">
      <c r="A17" s="426"/>
      <c r="B17" s="629" t="s">
        <v>2705</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73"/>
      <c r="Q17" s="1806" t="str">
        <f>B17</f>
        <v>交通便捷度</v>
      </c>
      <c r="R17" s="771" t="s">
        <v>17</v>
      </c>
      <c r="S17" s="772">
        <f>F17</f>
        <v>100</v>
      </c>
      <c r="T17" s="771" t="s">
        <v>17</v>
      </c>
      <c r="U17" s="772">
        <f>H17</f>
        <v>100</v>
      </c>
      <c r="V17" s="771" t="s">
        <v>17</v>
      </c>
      <c r="W17" s="772">
        <f>J17</f>
        <v>100</v>
      </c>
      <c r="X17" s="1809"/>
      <c r="Y17" s="3273"/>
      <c r="Z17" s="1810" t="str">
        <f>Q17</f>
        <v>交通便捷度</v>
      </c>
      <c r="AA17" s="1807">
        <f t="shared" si="3"/>
        <v>1</v>
      </c>
      <c r="AB17" s="1807">
        <f t="shared" si="4"/>
        <v>1</v>
      </c>
      <c r="AC17" s="1807">
        <f t="shared" si="5"/>
        <v>1</v>
      </c>
    </row>
    <row r="18" spans="1:29" ht="15">
      <c r="A18" s="426"/>
      <c r="B18" s="630"/>
      <c r="C18" s="445"/>
      <c r="D18" s="446"/>
      <c r="E18" s="2603"/>
      <c r="F18" s="446"/>
      <c r="G18" s="2603"/>
      <c r="H18" s="446"/>
      <c r="I18" s="2602"/>
      <c r="J18" s="446"/>
      <c r="K18" s="670"/>
      <c r="L18" s="1137"/>
      <c r="M18" s="1128"/>
      <c r="N18" s="1128"/>
      <c r="O18" s="1136"/>
      <c r="P18" s="3273"/>
      <c r="Q18" s="1806"/>
      <c r="R18" s="771"/>
      <c r="S18" s="772"/>
      <c r="T18" s="771"/>
      <c r="U18" s="772"/>
      <c r="V18" s="771"/>
      <c r="W18" s="772"/>
      <c r="X18" s="1809"/>
      <c r="Y18" s="3273"/>
      <c r="Z18" s="1810"/>
      <c r="AA18" s="1807">
        <v>1</v>
      </c>
      <c r="AB18" s="1807">
        <v>1</v>
      </c>
      <c r="AC18" s="1807">
        <v>1</v>
      </c>
    </row>
    <row r="19" spans="1:29" ht="15">
      <c r="A19" s="426"/>
      <c r="B19" s="629" t="s">
        <v>2744</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73"/>
      <c r="Q19" s="1806" t="str">
        <f t="shared" ref="Q19:Q33" si="8">B19</f>
        <v>区域土地利用方向</v>
      </c>
      <c r="R19" s="771" t="s">
        <v>17</v>
      </c>
      <c r="S19" s="772">
        <f>F19</f>
        <v>100</v>
      </c>
      <c r="T19" s="771" t="s">
        <v>17</v>
      </c>
      <c r="U19" s="772">
        <f>H19</f>
        <v>100</v>
      </c>
      <c r="V19" s="771" t="s">
        <v>17</v>
      </c>
      <c r="W19" s="772">
        <f>J19</f>
        <v>100</v>
      </c>
      <c r="X19" s="1809"/>
      <c r="Y19" s="3273"/>
      <c r="Z19" s="1810" t="str">
        <f>Q19</f>
        <v>区域土地利用方向</v>
      </c>
      <c r="AA19" s="1807">
        <f t="shared" si="3"/>
        <v>1</v>
      </c>
      <c r="AB19" s="1807">
        <f t="shared" si="4"/>
        <v>1</v>
      </c>
      <c r="AC19" s="1807">
        <f t="shared" si="5"/>
        <v>1</v>
      </c>
    </row>
    <row r="20" spans="1:29" ht="15">
      <c r="A20" s="402"/>
      <c r="B20" s="630"/>
      <c r="C20" s="445"/>
      <c r="D20" s="446"/>
      <c r="E20" s="2603"/>
      <c r="F20" s="446"/>
      <c r="G20" s="2603"/>
      <c r="H20" s="446"/>
      <c r="I20" s="2603"/>
      <c r="J20" s="446"/>
      <c r="K20" s="809"/>
      <c r="L20" s="1137"/>
      <c r="M20" s="1128"/>
      <c r="N20" s="1128"/>
      <c r="O20" s="1136"/>
      <c r="P20" s="3273"/>
      <c r="Q20" s="1806"/>
      <c r="R20" s="771"/>
      <c r="S20" s="772"/>
      <c r="T20" s="771"/>
      <c r="U20" s="772"/>
      <c r="V20" s="771"/>
      <c r="W20" s="772"/>
      <c r="X20" s="1809"/>
      <c r="Y20" s="3273"/>
      <c r="Z20" s="1810"/>
      <c r="AA20" s="1807"/>
      <c r="AB20" s="1807"/>
      <c r="AC20" s="1807"/>
    </row>
    <row r="21" spans="1:29" ht="71.25">
      <c r="A21" s="402"/>
      <c r="B21" s="629" t="s">
        <v>2794</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73"/>
      <c r="Q21" s="1806" t="str">
        <f t="shared" si="8"/>
        <v>环境状况</v>
      </c>
      <c r="R21" s="771" t="s">
        <v>17</v>
      </c>
      <c r="S21" s="772">
        <f>F21</f>
        <v>100</v>
      </c>
      <c r="T21" s="771" t="s">
        <v>17</v>
      </c>
      <c r="U21" s="772">
        <f>H21</f>
        <v>100</v>
      </c>
      <c r="V21" s="771" t="s">
        <v>17</v>
      </c>
      <c r="W21" s="772">
        <f>J21</f>
        <v>100</v>
      </c>
      <c r="X21" s="1809"/>
      <c r="Y21" s="3273"/>
      <c r="Z21" s="1810" t="str">
        <f>Q21</f>
        <v>环境状况</v>
      </c>
      <c r="AA21" s="1807">
        <f t="shared" si="3"/>
        <v>1</v>
      </c>
      <c r="AB21" s="1807">
        <f t="shared" si="4"/>
        <v>1</v>
      </c>
      <c r="AC21" s="1807">
        <f t="shared" si="5"/>
        <v>1</v>
      </c>
    </row>
    <row r="22" spans="1:29" ht="15">
      <c r="A22" s="402"/>
      <c r="B22" s="630"/>
      <c r="C22" s="445"/>
      <c r="D22" s="446"/>
      <c r="E22" s="2609"/>
      <c r="F22" s="446"/>
      <c r="G22" s="2609"/>
      <c r="H22" s="446"/>
      <c r="I22" s="445"/>
      <c r="J22" s="446"/>
      <c r="K22" s="670"/>
      <c r="L22" s="1137"/>
      <c r="M22" s="1128"/>
      <c r="N22" s="1128"/>
      <c r="O22" s="1136"/>
      <c r="P22" s="3273"/>
      <c r="Q22" s="1806"/>
      <c r="R22" s="771"/>
      <c r="S22" s="772"/>
      <c r="T22" s="771"/>
      <c r="U22" s="772"/>
      <c r="V22" s="771"/>
      <c r="W22" s="772"/>
      <c r="X22" s="1809"/>
      <c r="Y22" s="3273"/>
      <c r="Z22" s="1810"/>
      <c r="AA22" s="1807">
        <v>1</v>
      </c>
      <c r="AB22" s="1807">
        <v>1</v>
      </c>
      <c r="AC22" s="1807">
        <v>1</v>
      </c>
    </row>
    <row r="23" spans="1:29" s="117" customFormat="1" ht="42.75">
      <c r="A23" s="647"/>
      <c r="B23" s="631" t="s">
        <v>2650</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73"/>
      <c r="Q23" s="1791" t="str">
        <f t="shared" si="8"/>
        <v>公共配套设施</v>
      </c>
      <c r="R23" s="767" t="s">
        <v>17</v>
      </c>
      <c r="S23" s="768">
        <f>F23</f>
        <v>100</v>
      </c>
      <c r="T23" s="767" t="s">
        <v>17</v>
      </c>
      <c r="U23" s="768">
        <f>H23</f>
        <v>100</v>
      </c>
      <c r="V23" s="767" t="s">
        <v>17</v>
      </c>
      <c r="W23" s="768">
        <f>J23</f>
        <v>100</v>
      </c>
      <c r="X23" s="769"/>
      <c r="Y23" s="3273"/>
      <c r="Z23" s="55" t="str">
        <f>Q23</f>
        <v>公共配套设施</v>
      </c>
      <c r="AA23" s="1807">
        <f>D23/F23</f>
        <v>1</v>
      </c>
      <c r="AB23" s="1807">
        <f>D23/H23</f>
        <v>1</v>
      </c>
      <c r="AC23" s="1807">
        <f>D23/J23</f>
        <v>1</v>
      </c>
    </row>
    <row r="24" spans="1:29" s="117" customFormat="1" ht="15">
      <c r="A24" s="647"/>
      <c r="B24" s="630"/>
      <c r="C24" s="2698"/>
      <c r="D24" s="446"/>
      <c r="E24" s="2609"/>
      <c r="F24" s="446"/>
      <c r="G24" s="2609"/>
      <c r="H24" s="446"/>
      <c r="I24" s="445"/>
      <c r="J24" s="446"/>
      <c r="K24" s="670"/>
      <c r="L24" s="1129"/>
      <c r="M24" s="1130"/>
      <c r="N24" s="1130"/>
      <c r="O24" s="1131"/>
      <c r="P24" s="3273"/>
      <c r="Q24" s="1791"/>
      <c r="R24" s="767"/>
      <c r="S24" s="768"/>
      <c r="T24" s="767"/>
      <c r="U24" s="768"/>
      <c r="V24" s="767"/>
      <c r="W24" s="768"/>
      <c r="X24" s="769"/>
      <c r="Y24" s="3273"/>
      <c r="Z24" s="55"/>
      <c r="AA24" s="770">
        <v>1</v>
      </c>
      <c r="AB24" s="770">
        <v>1</v>
      </c>
      <c r="AC24" s="770">
        <v>1</v>
      </c>
    </row>
    <row r="25" spans="1:29" s="117" customFormat="1" ht="28.5">
      <c r="A25" s="647"/>
      <c r="B25" s="631" t="s">
        <v>2651</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73"/>
      <c r="Q25" s="1791" t="str">
        <f t="shared" ref="Q25" si="9">B25</f>
        <v>基础设施水平</v>
      </c>
      <c r="R25" s="767" t="s">
        <v>17</v>
      </c>
      <c r="S25" s="768">
        <f>F25</f>
        <v>100</v>
      </c>
      <c r="T25" s="767" t="s">
        <v>17</v>
      </c>
      <c r="U25" s="768">
        <f>H25</f>
        <v>100</v>
      </c>
      <c r="V25" s="767" t="s">
        <v>17</v>
      </c>
      <c r="W25" s="768">
        <f>J25</f>
        <v>100</v>
      </c>
      <c r="X25" s="769"/>
      <c r="Y25" s="3273"/>
      <c r="Z25" s="55" t="str">
        <f>Q25</f>
        <v>基础设施水平</v>
      </c>
      <c r="AA25" s="1807">
        <f>D25/F25</f>
        <v>1</v>
      </c>
      <c r="AB25" s="1807">
        <f>D25/H25</f>
        <v>1</v>
      </c>
      <c r="AC25" s="1807">
        <f>D25/J25</f>
        <v>1</v>
      </c>
    </row>
    <row r="26" spans="1:29" s="117" customFormat="1" ht="15">
      <c r="A26" s="647"/>
      <c r="B26" s="630"/>
      <c r="C26" s="2698"/>
      <c r="D26" s="446"/>
      <c r="E26" s="2699"/>
      <c r="F26" s="446"/>
      <c r="G26" s="2699"/>
      <c r="H26" s="446"/>
      <c r="I26" s="2699"/>
      <c r="J26" s="446"/>
      <c r="K26" s="670"/>
      <c r="L26" s="1129"/>
      <c r="M26" s="1130"/>
      <c r="N26" s="1130"/>
      <c r="O26" s="1131"/>
      <c r="P26" s="3273"/>
      <c r="Q26" s="1791"/>
      <c r="R26" s="767"/>
      <c r="S26" s="768"/>
      <c r="T26" s="767"/>
      <c r="U26" s="768"/>
      <c r="V26" s="767"/>
      <c r="W26" s="768"/>
      <c r="X26" s="769"/>
      <c r="Y26" s="3273"/>
      <c r="Z26" s="55"/>
      <c r="AA26" s="770">
        <v>1</v>
      </c>
      <c r="AB26" s="770">
        <v>1</v>
      </c>
      <c r="AC26" s="770">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7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73"/>
      <c r="Z27" s="1810" t="str">
        <f t="shared" ref="Z27:Z40" si="13">Q27</f>
        <v>临街状况</v>
      </c>
      <c r="AA27" s="1807">
        <f t="shared" si="3"/>
        <v>1</v>
      </c>
      <c r="AB27" s="1807">
        <f t="shared" si="4"/>
        <v>1</v>
      </c>
      <c r="AC27" s="1807">
        <f t="shared" si="5"/>
        <v>1</v>
      </c>
    </row>
    <row r="28" spans="1:29" ht="27">
      <c r="A28" s="426"/>
      <c r="B28" s="631" t="s">
        <v>2687</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73"/>
      <c r="Q28" s="1806" t="str">
        <f t="shared" si="8"/>
        <v>毗邻道路的类型与等级</v>
      </c>
      <c r="R28" s="771" t="s">
        <v>17</v>
      </c>
      <c r="S28" s="772">
        <f t="shared" si="10"/>
        <v>100</v>
      </c>
      <c r="T28" s="771" t="s">
        <v>17</v>
      </c>
      <c r="U28" s="772">
        <f t="shared" si="11"/>
        <v>100</v>
      </c>
      <c r="V28" s="771" t="s">
        <v>17</v>
      </c>
      <c r="W28" s="772">
        <f t="shared" si="12"/>
        <v>100</v>
      </c>
      <c r="X28" s="1809"/>
      <c r="Y28" s="3273"/>
      <c r="Z28" s="1810" t="str">
        <f t="shared" si="13"/>
        <v>毗邻道路的类型与等级</v>
      </c>
      <c r="AA28" s="1807">
        <f t="shared" si="3"/>
        <v>1</v>
      </c>
      <c r="AB28" s="1807">
        <f t="shared" si="4"/>
        <v>1</v>
      </c>
      <c r="AC28" s="1807">
        <f t="shared" si="5"/>
        <v>1</v>
      </c>
    </row>
    <row r="29" spans="1:29" ht="15">
      <c r="A29" s="426"/>
      <c r="B29" s="630"/>
      <c r="C29" s="445"/>
      <c r="D29" s="446"/>
      <c r="E29" s="2609"/>
      <c r="F29" s="446"/>
      <c r="G29" s="2609"/>
      <c r="H29" s="446"/>
      <c r="I29" s="2609"/>
      <c r="J29" s="446"/>
      <c r="K29" s="611"/>
      <c r="L29" s="1137"/>
      <c r="M29" s="1128"/>
      <c r="N29" s="1128"/>
      <c r="O29" s="1136"/>
      <c r="P29" s="3273"/>
      <c r="Q29" s="1806"/>
      <c r="R29" s="771"/>
      <c r="S29" s="772"/>
      <c r="T29" s="771"/>
      <c r="U29" s="772"/>
      <c r="V29" s="771"/>
      <c r="W29" s="772"/>
      <c r="X29" s="1809"/>
      <c r="Y29" s="3273"/>
      <c r="Z29" s="1810"/>
      <c r="AA29" s="1807">
        <v>1</v>
      </c>
      <c r="AB29" s="1807">
        <v>1</v>
      </c>
      <c r="AC29" s="1807">
        <v>1</v>
      </c>
    </row>
    <row r="30" spans="1:29" ht="15">
      <c r="A30" s="426"/>
      <c r="B30" s="652" t="s">
        <v>2746</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73"/>
      <c r="Q30" s="1806" t="str">
        <f t="shared" si="8"/>
        <v>土地级别</v>
      </c>
      <c r="R30" s="771" t="s">
        <v>17</v>
      </c>
      <c r="S30" s="772">
        <f t="shared" si="10"/>
        <v>100</v>
      </c>
      <c r="T30" s="771" t="s">
        <v>17</v>
      </c>
      <c r="U30" s="772">
        <f t="shared" si="11"/>
        <v>100</v>
      </c>
      <c r="V30" s="771" t="s">
        <v>17</v>
      </c>
      <c r="W30" s="772">
        <f t="shared" si="12"/>
        <v>100</v>
      </c>
      <c r="X30" s="1809"/>
      <c r="Y30" s="3273"/>
      <c r="Z30" s="1810" t="str">
        <f t="shared" si="13"/>
        <v>土地级别</v>
      </c>
      <c r="AA30" s="1807">
        <f t="shared" si="3"/>
        <v>1</v>
      </c>
      <c r="AB30" s="1807">
        <f t="shared" si="4"/>
        <v>1</v>
      </c>
      <c r="AC30" s="1807">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73"/>
      <c r="Q31" s="1806">
        <f t="shared" si="8"/>
        <v>111</v>
      </c>
      <c r="R31" s="771" t="s">
        <v>17</v>
      </c>
      <c r="S31" s="772">
        <f t="shared" si="10"/>
        <v>100</v>
      </c>
      <c r="T31" s="771" t="s">
        <v>17</v>
      </c>
      <c r="U31" s="772">
        <f t="shared" si="11"/>
        <v>100</v>
      </c>
      <c r="V31" s="771" t="s">
        <v>17</v>
      </c>
      <c r="W31" s="772">
        <f t="shared" si="12"/>
        <v>100</v>
      </c>
      <c r="X31" s="1809"/>
      <c r="Y31" s="3273"/>
      <c r="Z31" s="1810">
        <f t="shared" si="13"/>
        <v>111</v>
      </c>
      <c r="AA31" s="1807">
        <f t="shared" si="3"/>
        <v>1</v>
      </c>
      <c r="AB31" s="1807">
        <f t="shared" si="4"/>
        <v>1</v>
      </c>
      <c r="AC31" s="1807">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4" t="s">
        <v>2561</v>
      </c>
      <c r="Q32" s="1806">
        <f t="shared" si="8"/>
        <v>111</v>
      </c>
      <c r="R32" s="771" t="s">
        <v>17</v>
      </c>
      <c r="S32" s="772">
        <f t="shared" si="10"/>
        <v>100</v>
      </c>
      <c r="T32" s="771" t="s">
        <v>17</v>
      </c>
      <c r="U32" s="772">
        <f t="shared" si="11"/>
        <v>100</v>
      </c>
      <c r="V32" s="771" t="s">
        <v>17</v>
      </c>
      <c r="W32" s="772">
        <f t="shared" si="12"/>
        <v>100</v>
      </c>
      <c r="X32" s="1809"/>
      <c r="Y32" s="3275" t="s">
        <v>2561</v>
      </c>
      <c r="Z32" s="1810">
        <f t="shared" si="13"/>
        <v>111</v>
      </c>
      <c r="AA32" s="1807">
        <f t="shared" si="3"/>
        <v>1</v>
      </c>
      <c r="AB32" s="1807">
        <f t="shared" si="4"/>
        <v>1</v>
      </c>
      <c r="AC32" s="1807">
        <f t="shared" si="5"/>
        <v>1</v>
      </c>
    </row>
    <row r="33" spans="1:29" s="469" customFormat="1" ht="15.75" thickBot="1">
      <c r="A33" s="674"/>
      <c r="B33" s="2713">
        <v>111</v>
      </c>
      <c r="C33" s="676"/>
      <c r="D33" s="137">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75"/>
      <c r="Q33" s="1806">
        <f t="shared" si="8"/>
        <v>111</v>
      </c>
      <c r="R33" s="774" t="s">
        <v>17</v>
      </c>
      <c r="S33" s="775">
        <f t="shared" si="10"/>
        <v>100</v>
      </c>
      <c r="T33" s="774" t="s">
        <v>17</v>
      </c>
      <c r="U33" s="775">
        <f t="shared" si="11"/>
        <v>100</v>
      </c>
      <c r="V33" s="774" t="s">
        <v>17</v>
      </c>
      <c r="W33" s="775">
        <f t="shared" si="12"/>
        <v>100</v>
      </c>
      <c r="X33" s="776"/>
      <c r="Y33" s="3275"/>
      <c r="Z33" s="777">
        <f t="shared" si="13"/>
        <v>111</v>
      </c>
      <c r="AA33" s="1807">
        <f t="shared" si="3"/>
        <v>1</v>
      </c>
      <c r="AB33" s="1807">
        <f t="shared" si="4"/>
        <v>1</v>
      </c>
      <c r="AC33" s="1807">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75"/>
      <c r="Q34" s="1806" t="str">
        <f>B34</f>
        <v>宗地面积</v>
      </c>
      <c r="R34" s="771" t="s">
        <v>17</v>
      </c>
      <c r="S34" s="772" t="e">
        <f t="shared" si="10"/>
        <v>#N/A</v>
      </c>
      <c r="T34" s="771" t="s">
        <v>17</v>
      </c>
      <c r="U34" s="772" t="e">
        <f t="shared" si="11"/>
        <v>#N/A</v>
      </c>
      <c r="V34" s="771" t="s">
        <v>17</v>
      </c>
      <c r="W34" s="772" t="e">
        <f t="shared" si="12"/>
        <v>#N/A</v>
      </c>
      <c r="X34" s="1809"/>
      <c r="Y34" s="3275"/>
      <c r="Z34" s="1810" t="str">
        <f t="shared" si="13"/>
        <v>宗地面积</v>
      </c>
      <c r="AA34" s="1807" t="e">
        <f t="shared" si="3"/>
        <v>#N/A</v>
      </c>
      <c r="AB34" s="1807" t="e">
        <f t="shared" si="4"/>
        <v>#N/A</v>
      </c>
      <c r="AC34" s="1807" t="e">
        <f t="shared" si="5"/>
        <v>#N/A</v>
      </c>
    </row>
    <row r="35" spans="1:29" ht="15">
      <c r="A35" s="470"/>
      <c r="B35" s="420" t="s">
        <v>2748</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37"/>
      <c r="M35" s="1128"/>
      <c r="N35" s="1128"/>
      <c r="O35" s="1136"/>
      <c r="P35" s="3275"/>
      <c r="Q35" s="1806" t="str">
        <f t="shared" ref="Q35:Q40" si="14">B35</f>
        <v>宗地形状</v>
      </c>
      <c r="R35" s="771" t="s">
        <v>17</v>
      </c>
      <c r="S35" s="772">
        <f t="shared" si="10"/>
        <v>100</v>
      </c>
      <c r="T35" s="771" t="s">
        <v>17</v>
      </c>
      <c r="U35" s="772">
        <f t="shared" si="11"/>
        <v>100</v>
      </c>
      <c r="V35" s="771" t="s">
        <v>17</v>
      </c>
      <c r="W35" s="772">
        <f t="shared" si="12"/>
        <v>100</v>
      </c>
      <c r="X35" s="1809"/>
      <c r="Y35" s="3275"/>
      <c r="Z35" s="1810" t="str">
        <f t="shared" si="13"/>
        <v>宗地形状</v>
      </c>
      <c r="AA35" s="1807">
        <f t="shared" si="3"/>
        <v>1</v>
      </c>
      <c r="AB35" s="1807">
        <f t="shared" si="4"/>
        <v>1</v>
      </c>
      <c r="AC35" s="1807">
        <f t="shared" si="5"/>
        <v>1</v>
      </c>
    </row>
    <row r="36" spans="1:29" s="117" customFormat="1" ht="15">
      <c r="A36" s="471"/>
      <c r="B36" s="420" t="s">
        <v>2750</v>
      </c>
      <c r="C36" s="2700"/>
      <c r="D36" s="136">
        <v>100</v>
      </c>
      <c r="E36" s="2700"/>
      <c r="F36" s="433">
        <f>SUMIF(112:112,E36,113:113)-SUMIF(112:112,C36,113:113)+100</f>
        <v>100</v>
      </c>
      <c r="G36" s="2700"/>
      <c r="H36" s="433">
        <f>SUMIF(112:112,G36,113:113)-SUMIF(112:112,C36,113:113)+100</f>
        <v>100</v>
      </c>
      <c r="I36" s="2700"/>
      <c r="J36" s="433">
        <f>SUMIF(112:112,I36,113:113)-SUMIF(112:112,C36,113:113)+100</f>
        <v>100</v>
      </c>
      <c r="K36" s="610"/>
      <c r="L36" s="1129"/>
      <c r="M36" s="1130"/>
      <c r="N36" s="1130"/>
      <c r="O36" s="1131"/>
      <c r="P36" s="3275"/>
      <c r="Q36" s="1806" t="str">
        <f t="shared" si="14"/>
        <v>宗地开发程度</v>
      </c>
      <c r="R36" s="767" t="s">
        <v>17</v>
      </c>
      <c r="S36" s="768">
        <f t="shared" si="10"/>
        <v>100</v>
      </c>
      <c r="T36" s="767" t="s">
        <v>17</v>
      </c>
      <c r="U36" s="768">
        <f t="shared" si="11"/>
        <v>100</v>
      </c>
      <c r="V36" s="767" t="s">
        <v>17</v>
      </c>
      <c r="W36" s="768">
        <f t="shared" si="12"/>
        <v>100</v>
      </c>
      <c r="X36" s="769"/>
      <c r="Y36" s="3275"/>
      <c r="Z36" s="55" t="str">
        <f t="shared" si="13"/>
        <v>宗地开发程度</v>
      </c>
      <c r="AA36" s="770">
        <f t="shared" si="3"/>
        <v>1</v>
      </c>
      <c r="AB36" s="770">
        <f t="shared" si="4"/>
        <v>1</v>
      </c>
      <c r="AC36" s="770">
        <f t="shared" si="5"/>
        <v>1</v>
      </c>
    </row>
    <row r="37" spans="1:29" ht="15">
      <c r="A37" s="470"/>
      <c r="B37" s="420" t="s">
        <v>2751</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37"/>
      <c r="M37" s="1128"/>
      <c r="N37" s="1128"/>
      <c r="O37" s="1136"/>
      <c r="P37" s="3275" t="s">
        <v>2561</v>
      </c>
      <c r="Q37" s="1806" t="str">
        <f t="shared" si="14"/>
        <v>工程地质条件</v>
      </c>
      <c r="R37" s="771" t="s">
        <v>17</v>
      </c>
      <c r="S37" s="772">
        <f t="shared" si="10"/>
        <v>100</v>
      </c>
      <c r="T37" s="771" t="s">
        <v>17</v>
      </c>
      <c r="U37" s="772">
        <f t="shared" si="11"/>
        <v>100</v>
      </c>
      <c r="V37" s="771" t="s">
        <v>17</v>
      </c>
      <c r="W37" s="772">
        <f t="shared" si="12"/>
        <v>100</v>
      </c>
      <c r="X37" s="1809"/>
      <c r="Y37" s="3275" t="s">
        <v>2561</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75"/>
      <c r="Q38" s="1806">
        <f t="shared" si="14"/>
        <v>111</v>
      </c>
      <c r="R38" s="771" t="s">
        <v>17</v>
      </c>
      <c r="S38" s="772">
        <f t="shared" si="10"/>
        <v>100</v>
      </c>
      <c r="T38" s="771" t="s">
        <v>17</v>
      </c>
      <c r="U38" s="772">
        <f t="shared" si="11"/>
        <v>100</v>
      </c>
      <c r="V38" s="771" t="s">
        <v>17</v>
      </c>
      <c r="W38" s="772">
        <f t="shared" si="12"/>
        <v>100</v>
      </c>
      <c r="X38" s="1809"/>
      <c r="Y38" s="3275"/>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75"/>
      <c r="Q39" s="1806">
        <f t="shared" si="14"/>
        <v>111</v>
      </c>
      <c r="R39" s="771" t="s">
        <v>17</v>
      </c>
      <c r="S39" s="772">
        <f t="shared" si="10"/>
        <v>100</v>
      </c>
      <c r="T39" s="771" t="s">
        <v>17</v>
      </c>
      <c r="U39" s="772">
        <f t="shared" si="11"/>
        <v>100</v>
      </c>
      <c r="V39" s="771" t="s">
        <v>17</v>
      </c>
      <c r="W39" s="772">
        <f t="shared" si="12"/>
        <v>100</v>
      </c>
      <c r="X39" s="1809"/>
      <c r="Y39" s="3275"/>
      <c r="Z39" s="1810">
        <f t="shared" si="13"/>
        <v>111</v>
      </c>
      <c r="AA39" s="1807">
        <f t="shared" si="3"/>
        <v>1</v>
      </c>
      <c r="AB39" s="1807">
        <f t="shared" si="4"/>
        <v>1</v>
      </c>
      <c r="AC39" s="1807">
        <f t="shared" si="5"/>
        <v>1</v>
      </c>
    </row>
    <row r="40" spans="1:29" s="469" customFormat="1" ht="15.75" thickBot="1">
      <c r="A40" s="466"/>
      <c r="B40" s="1384">
        <v>111</v>
      </c>
      <c r="C40" s="2701"/>
      <c r="D40" s="137">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75"/>
      <c r="Q40" s="1806">
        <f t="shared" si="14"/>
        <v>111</v>
      </c>
      <c r="R40" s="774" t="s">
        <v>17</v>
      </c>
      <c r="S40" s="775">
        <f t="shared" si="10"/>
        <v>100</v>
      </c>
      <c r="T40" s="774" t="s">
        <v>17</v>
      </c>
      <c r="U40" s="775">
        <f t="shared" si="11"/>
        <v>100</v>
      </c>
      <c r="V40" s="774" t="s">
        <v>17</v>
      </c>
      <c r="W40" s="775">
        <f t="shared" si="12"/>
        <v>100</v>
      </c>
      <c r="X40" s="776"/>
      <c r="Y40" s="3275"/>
      <c r="Z40" s="777">
        <f t="shared" si="13"/>
        <v>111</v>
      </c>
      <c r="AA40" s="1807">
        <f t="shared" si="3"/>
        <v>1</v>
      </c>
      <c r="AB40" s="1807">
        <f t="shared" si="4"/>
        <v>1</v>
      </c>
      <c r="AC40" s="1807">
        <f t="shared" si="5"/>
        <v>1</v>
      </c>
    </row>
    <row r="41" spans="1:29" ht="15">
      <c r="A41" s="477" t="s">
        <v>2716</v>
      </c>
      <c r="B41" s="2702" t="s">
        <v>2795</v>
      </c>
      <c r="C41" s="680" t="s">
        <v>1</v>
      </c>
      <c r="D41" s="479"/>
      <c r="E41" s="480"/>
      <c r="F41" s="481"/>
      <c r="G41" s="482"/>
      <c r="H41" s="483"/>
      <c r="I41" s="480"/>
      <c r="J41" s="483"/>
      <c r="K41" s="780"/>
      <c r="L41" s="1140"/>
      <c r="M41" s="1128"/>
      <c r="N41" s="1128"/>
      <c r="O41" s="1141"/>
      <c r="P41" s="3257" t="str">
        <f>A41</f>
        <v>成交单价</v>
      </c>
      <c r="Q41" s="3257"/>
      <c r="R41" s="3270">
        <f>E41</f>
        <v>0</v>
      </c>
      <c r="S41" s="3270"/>
      <c r="T41" s="3270">
        <f>G41</f>
        <v>0</v>
      </c>
      <c r="U41" s="3270"/>
      <c r="V41" s="3270">
        <f>I41</f>
        <v>0</v>
      </c>
      <c r="W41" s="3270"/>
      <c r="X41" s="756"/>
      <c r="Y41" s="778"/>
      <c r="Z41" s="756"/>
      <c r="AA41" s="756"/>
      <c r="AB41" s="756"/>
      <c r="AC41" s="756"/>
    </row>
    <row r="42" spans="1:29" ht="15.75" thickBot="1">
      <c r="A42" s="484" t="s">
        <v>2665</v>
      </c>
      <c r="B42" s="681"/>
      <c r="C42" s="488" t="e">
        <f>R43</f>
        <v>#DIV/0!</v>
      </c>
      <c r="D42" s="487"/>
      <c r="E42" s="488" t="e">
        <f>R42</f>
        <v>#DIV/0!</v>
      </c>
      <c r="F42" s="489"/>
      <c r="G42" s="486" t="e">
        <f>T42</f>
        <v>#DIV/0!</v>
      </c>
      <c r="H42" s="487"/>
      <c r="I42" s="488" t="e">
        <f>V42</f>
        <v>#DIV/0!</v>
      </c>
      <c r="J42" s="487"/>
      <c r="K42" s="781"/>
      <c r="L42" s="1140"/>
      <c r="M42" s="1128"/>
      <c r="N42" s="1128"/>
      <c r="O42" s="1141"/>
      <c r="P42" s="3257" t="str">
        <f>A42</f>
        <v>比较价值（元/平方米）</v>
      </c>
      <c r="Q42" s="3257"/>
      <c r="R42" s="3276" t="e">
        <f>ROUND(PRODUCT(R41,AA7:AA40),0)</f>
        <v>#DIV/0!</v>
      </c>
      <c r="S42" s="3276"/>
      <c r="T42" s="3276" t="e">
        <f>ROUND(PRODUCT(T41,AB7:AB40),0)</f>
        <v>#DIV/0!</v>
      </c>
      <c r="U42" s="3276"/>
      <c r="V42" s="3276" t="e">
        <f>ROUND(PRODUCT(V41,AC7:AC40),0)</f>
        <v>#DIV/0!</v>
      </c>
      <c r="W42" s="3276"/>
      <c r="X42" s="756"/>
      <c r="Y42" s="756"/>
      <c r="Z42" s="756"/>
      <c r="AA42" s="756"/>
      <c r="AB42" s="756"/>
      <c r="AC42" s="756"/>
    </row>
    <row r="43" spans="1:29" ht="15.75" thickBot="1">
      <c r="A43" s="490" t="s">
        <v>2666</v>
      </c>
      <c r="B43" s="491"/>
      <c r="C43" s="492" t="e">
        <f>R43</f>
        <v>#DIV/0!</v>
      </c>
      <c r="D43" s="492"/>
      <c r="E43" s="492"/>
      <c r="F43" s="492"/>
      <c r="G43" s="492"/>
      <c r="H43" s="492"/>
      <c r="I43" s="492"/>
      <c r="J43" s="492"/>
      <c r="K43" s="782"/>
      <c r="L43" s="1140"/>
      <c r="M43" s="1128"/>
      <c r="N43" s="1128"/>
      <c r="O43" s="1141"/>
      <c r="P43" s="3277" t="str">
        <f>A43</f>
        <v>估价对象XX用房的比较价值（楼面单价，元/平方米）</v>
      </c>
      <c r="Q43" s="3278"/>
      <c r="R43" s="3279" t="e">
        <f>ROUND(AVERAGE(R42:V42),0)</f>
        <v>#DIV/0!</v>
      </c>
      <c r="S43" s="3279"/>
      <c r="T43" s="3279"/>
      <c r="U43" s="3279"/>
      <c r="V43" s="3279"/>
      <c r="W43" s="3279"/>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2754</v>
      </c>
      <c r="B50" s="683" t="s">
        <v>2755</v>
      </c>
      <c r="C50" s="2703" t="s">
        <v>2756</v>
      </c>
      <c r="D50" s="2704" t="s">
        <v>2757</v>
      </c>
      <c r="E50" s="684" t="s">
        <v>2758</v>
      </c>
      <c r="F50" s="685" t="s">
        <v>2759</v>
      </c>
      <c r="G50" s="3258" t="s">
        <v>2760</v>
      </c>
      <c r="H50" s="3280"/>
      <c r="I50" s="1810" t="s">
        <v>2796</v>
      </c>
      <c r="J50" s="1810">
        <f>项目基本情况!F35</f>
        <v>0</v>
      </c>
      <c r="K50" s="2706" t="s">
        <v>2762</v>
      </c>
      <c r="L50" s="1103"/>
      <c r="M50" s="1141"/>
      <c r="N50" s="1141"/>
      <c r="O50" s="1141"/>
    </row>
    <row r="51" spans="1:17" s="690" customFormat="1">
      <c r="A51" s="686" t="s">
        <v>2763</v>
      </c>
      <c r="B51" s="687" t="e">
        <f>C43</f>
        <v>#DIV/0!</v>
      </c>
      <c r="C51" s="688">
        <v>1</v>
      </c>
      <c r="D51" s="1160">
        <v>1</v>
      </c>
      <c r="E51" s="688">
        <f>'数据-汇总表'!E8+'数据-汇总表'!E9</f>
        <v>166374.91</v>
      </c>
      <c r="F51" s="689" t="e">
        <f t="shared" ref="F51:F60" si="15">ROUND(B51*E51/10000,0)</f>
        <v>#DIV/0!</v>
      </c>
      <c r="G51" s="3281"/>
      <c r="H51" s="3257"/>
      <c r="I51" s="939">
        <v>1</v>
      </c>
      <c r="J51" s="939">
        <v>1</v>
      </c>
      <c r="K51" s="1142"/>
      <c r="L51" s="938"/>
      <c r="M51" s="938"/>
      <c r="N51" s="938"/>
      <c r="O51" s="938"/>
    </row>
    <row r="52" spans="1:17" s="690" customFormat="1">
      <c r="A52" s="691" t="s">
        <v>2764</v>
      </c>
      <c r="B52" s="260" t="e">
        <f>ROUND($C$43*C52*D52,0)</f>
        <v>#DIV/0!</v>
      </c>
      <c r="C52" s="198">
        <f t="shared" ref="C52:C60" si="16">IF($C$50="北京市系数",I52,J52)</f>
        <v>0</v>
      </c>
      <c r="D52" s="1161">
        <v>0.25</v>
      </c>
      <c r="E52" s="692"/>
      <c r="F52" s="689" t="e">
        <f t="shared" si="15"/>
        <v>#DIV/0!</v>
      </c>
      <c r="G52" s="3282" t="s">
        <v>2765</v>
      </c>
      <c r="H52" s="1101">
        <f>项目基本情况!B37</f>
        <v>0</v>
      </c>
      <c r="I52" s="939">
        <f>SUMIF(修正!A45:A56,H52,修正!B45:B56)</f>
        <v>0</v>
      </c>
      <c r="J52" s="940"/>
      <c r="K52" s="1141"/>
      <c r="L52" s="938"/>
      <c r="M52" s="938"/>
      <c r="N52" s="938"/>
      <c r="O52" s="938"/>
    </row>
    <row r="53" spans="1:17" s="690" customFormat="1">
      <c r="A53" s="691" t="s">
        <v>2766</v>
      </c>
      <c r="B53" s="260" t="e">
        <f t="shared" ref="B53:B60" si="17">ROUND($C$43*C53*D53,0)</f>
        <v>#DIV/0!</v>
      </c>
      <c r="C53" s="198">
        <f t="shared" si="16"/>
        <v>0</v>
      </c>
      <c r="D53" s="1161">
        <v>0.25</v>
      </c>
      <c r="E53" s="692"/>
      <c r="F53" s="689" t="e">
        <f t="shared" si="15"/>
        <v>#DIV/0!</v>
      </c>
      <c r="G53" s="3282"/>
      <c r="H53" s="1101">
        <f>项目基本情况!B37</f>
        <v>0</v>
      </c>
      <c r="I53" s="939">
        <f>SUMIF(修正!A45:A56,H53,修正!C45:C56)</f>
        <v>0</v>
      </c>
      <c r="J53" s="940"/>
      <c r="K53" s="1142"/>
      <c r="L53" s="938"/>
      <c r="M53" s="938"/>
      <c r="N53" s="938"/>
      <c r="O53" s="938"/>
    </row>
    <row r="54" spans="1:17" s="690" customFormat="1">
      <c r="A54" s="691" t="s">
        <v>2767</v>
      </c>
      <c r="B54" s="260" t="e">
        <f t="shared" si="17"/>
        <v>#DIV/0!</v>
      </c>
      <c r="C54" s="198">
        <f t="shared" si="16"/>
        <v>0</v>
      </c>
      <c r="D54" s="1161">
        <v>0.25</v>
      </c>
      <c r="E54" s="692"/>
      <c r="F54" s="689" t="e">
        <f t="shared" si="15"/>
        <v>#DIV/0!</v>
      </c>
      <c r="G54" s="3282"/>
      <c r="H54" s="1101">
        <f>项目基本情况!B37</f>
        <v>0</v>
      </c>
      <c r="I54" s="939">
        <f>SUMIF(修正!A45:A56,H54,修正!D45:D56)</f>
        <v>0</v>
      </c>
      <c r="J54" s="940"/>
      <c r="K54" s="1141"/>
      <c r="L54" s="938"/>
      <c r="M54" s="938"/>
      <c r="N54" s="938"/>
      <c r="O54" s="938"/>
    </row>
    <row r="55" spans="1:17" s="690" customFormat="1">
      <c r="A55" s="691" t="s">
        <v>2768</v>
      </c>
      <c r="B55" s="260" t="e">
        <f t="shared" si="17"/>
        <v>#DIV/0!</v>
      </c>
      <c r="C55" s="198">
        <f t="shared" si="16"/>
        <v>0</v>
      </c>
      <c r="D55" s="1161">
        <v>0.25</v>
      </c>
      <c r="E55" s="692"/>
      <c r="F55" s="689" t="e">
        <f t="shared" si="15"/>
        <v>#DIV/0!</v>
      </c>
      <c r="G55" s="3282"/>
      <c r="H55" s="1101">
        <f>项目基本情况!B37</f>
        <v>0</v>
      </c>
      <c r="I55" s="939">
        <f>SUMIF(修正!A45:A56,H55,修正!E45:E56)</f>
        <v>0</v>
      </c>
      <c r="J55" s="940"/>
      <c r="K55" s="1142"/>
      <c r="L55" s="938"/>
      <c r="M55" s="938"/>
      <c r="N55" s="938"/>
      <c r="O55" s="938"/>
    </row>
    <row r="56" spans="1:17" s="690" customFormat="1">
      <c r="A56" s="691" t="s">
        <v>2769</v>
      </c>
      <c r="B56" s="260" t="e">
        <f t="shared" si="17"/>
        <v>#DIV/0!</v>
      </c>
      <c r="C56" s="198">
        <f t="shared" si="16"/>
        <v>0</v>
      </c>
      <c r="D56" s="1161">
        <v>0.25</v>
      </c>
      <c r="E56" s="259">
        <f>'数据-汇总表'!E11</f>
        <v>0</v>
      </c>
      <c r="F56" s="689" t="e">
        <f t="shared" si="15"/>
        <v>#DIV/0!</v>
      </c>
      <c r="G56" s="2707" t="s">
        <v>2770</v>
      </c>
      <c r="H56" s="1101">
        <f>项目基本情况!C37</f>
        <v>0</v>
      </c>
      <c r="I56" s="939">
        <f>SUMIF(修正!A45:A56,H56,修正!F45:F56)</f>
        <v>0</v>
      </c>
      <c r="J56" s="940"/>
      <c r="K56" s="1141"/>
      <c r="L56" s="938"/>
      <c r="M56" s="938"/>
      <c r="N56" s="938"/>
      <c r="O56" s="938"/>
    </row>
    <row r="57" spans="1:17" s="690" customFormat="1">
      <c r="A57" s="691" t="s">
        <v>2771</v>
      </c>
      <c r="B57" s="260" t="e">
        <f t="shared" si="17"/>
        <v>#DIV/0!</v>
      </c>
      <c r="C57" s="198">
        <f t="shared" si="16"/>
        <v>0</v>
      </c>
      <c r="D57" s="1161">
        <v>0.25</v>
      </c>
      <c r="E57" s="259">
        <f>'数据-汇总表'!E12</f>
        <v>0</v>
      </c>
      <c r="F57" s="689"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2773</v>
      </c>
      <c r="B58" s="260" t="e">
        <f t="shared" si="17"/>
        <v>#DIV/0!</v>
      </c>
      <c r="C58" s="198">
        <f t="shared" si="16"/>
        <v>0</v>
      </c>
      <c r="D58" s="1161">
        <v>0.25</v>
      </c>
      <c r="E58" s="259">
        <f>'数据-汇总表'!E13</f>
        <v>0</v>
      </c>
      <c r="F58" s="689"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2775</v>
      </c>
      <c r="B59" s="260" t="e">
        <f t="shared" si="17"/>
        <v>#DIV/0!</v>
      </c>
      <c r="C59" s="198">
        <f t="shared" si="16"/>
        <v>0</v>
      </c>
      <c r="D59" s="1161">
        <v>0.25</v>
      </c>
      <c r="E59" s="259">
        <f>'数据-汇总表'!E14</f>
        <v>0</v>
      </c>
      <c r="F59" s="689" t="e">
        <f t="shared" si="15"/>
        <v>#DIV/0!</v>
      </c>
      <c r="G59" s="2707" t="s">
        <v>2765</v>
      </c>
      <c r="H59" s="1101">
        <f>项目基本情况!B37</f>
        <v>0</v>
      </c>
      <c r="I59" s="939">
        <f>SUMIF(修正!A45:A56,H59,修正!H45:H56)</f>
        <v>0</v>
      </c>
      <c r="J59" s="940"/>
      <c r="K59" s="1142"/>
      <c r="L59" s="938"/>
      <c r="M59" s="938"/>
      <c r="N59" s="938"/>
      <c r="O59" s="938"/>
    </row>
    <row r="60" spans="1:17" s="690" customFormat="1" ht="15" thickBot="1">
      <c r="A60" s="691" t="s">
        <v>2776</v>
      </c>
      <c r="B60" s="260" t="e">
        <f t="shared" si="17"/>
        <v>#DIV/0!</v>
      </c>
      <c r="C60" s="198">
        <f t="shared" si="16"/>
        <v>0</v>
      </c>
      <c r="D60" s="1161">
        <v>0.25</v>
      </c>
      <c r="E60" s="259">
        <f>'数据-汇总表'!E15</f>
        <v>0</v>
      </c>
      <c r="F60" s="689" t="e">
        <f t="shared" si="15"/>
        <v>#DIV/0!</v>
      </c>
      <c r="G60" s="2708" t="s">
        <v>2770</v>
      </c>
      <c r="H60" s="1111">
        <f>项目基本情况!C37</f>
        <v>0</v>
      </c>
      <c r="I60" s="939">
        <f>SUMIF(修正!A45:A56,H60,修正!H45:H56)</f>
        <v>0</v>
      </c>
      <c r="J60" s="940"/>
      <c r="K60" s="1141"/>
      <c r="L60" s="938"/>
      <c r="M60" s="938"/>
      <c r="N60" s="938"/>
      <c r="O60" s="938"/>
    </row>
    <row r="61" spans="1:17" s="690" customFormat="1" ht="15" thickBot="1">
      <c r="A61" s="693" t="s">
        <v>2777</v>
      </c>
      <c r="B61" s="694" t="s">
        <v>28</v>
      </c>
      <c r="C61" s="694" t="s">
        <v>29</v>
      </c>
      <c r="D61" s="694" t="s">
        <v>1025</v>
      </c>
      <c r="E61" s="694">
        <f>IF(B41="楼面地价",SUM(E51:E60),'数据-汇总表'!D3)</f>
        <v>196085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2020-3-1</v>
      </c>
      <c r="D63" s="758">
        <f>EDATE(C63,-3)</f>
        <v>43800</v>
      </c>
      <c r="E63" s="758">
        <f>EDATE(D63,-3)</f>
        <v>43709</v>
      </c>
      <c r="F63" s="758">
        <f t="shared" ref="F63:O63" si="18">EDATE(E63,-3)</f>
        <v>43617</v>
      </c>
      <c r="G63" s="758">
        <f t="shared" si="18"/>
        <v>43525</v>
      </c>
      <c r="H63" s="758">
        <f t="shared" si="18"/>
        <v>43435</v>
      </c>
      <c r="I63" s="758">
        <f t="shared" si="18"/>
        <v>43344</v>
      </c>
      <c r="J63" s="758">
        <f t="shared" si="18"/>
        <v>43252</v>
      </c>
      <c r="K63" s="758">
        <f t="shared" si="18"/>
        <v>43160</v>
      </c>
      <c r="L63" s="758">
        <f t="shared" si="18"/>
        <v>43070</v>
      </c>
      <c r="M63" s="758">
        <f t="shared" si="18"/>
        <v>42979</v>
      </c>
      <c r="N63" s="758">
        <f t="shared" si="18"/>
        <v>42887</v>
      </c>
      <c r="O63" s="758">
        <f t="shared" si="18"/>
        <v>42795</v>
      </c>
    </row>
    <row r="64" spans="1:17" ht="21.75" thickBot="1">
      <c r="A64" s="760" t="s">
        <v>2670</v>
      </c>
      <c r="B64" s="756"/>
      <c r="C64" s="761"/>
      <c r="D64" s="761"/>
      <c r="E64" s="761"/>
      <c r="F64" s="762"/>
      <c r="G64" s="762"/>
      <c r="H64" s="761"/>
      <c r="I64" s="761"/>
      <c r="J64" s="761"/>
      <c r="K64" s="763"/>
      <c r="L64" s="764"/>
      <c r="M64" s="761"/>
      <c r="N64" s="761"/>
      <c r="O64" s="1156"/>
      <c r="P64" s="501"/>
      <c r="Q64" s="502"/>
    </row>
    <row r="65" spans="1:17" s="506" customFormat="1" ht="15">
      <c r="A65" s="2709" t="s">
        <v>2778</v>
      </c>
      <c r="B65" s="1356"/>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5"/>
    </row>
    <row r="66" spans="1:17" s="117" customFormat="1" ht="30.75" customHeight="1">
      <c r="A66" s="2714" t="s">
        <v>2797</v>
      </c>
      <c r="B66" s="330" t="str">
        <f>"北京市平均增长率"&amp;TEXT(基准地价修正!P24,"0.00%")</f>
        <v>北京市平均增长率1.33%</v>
      </c>
      <c r="C66" s="601">
        <v>100</v>
      </c>
      <c r="D66" s="593"/>
      <c r="E66" s="593"/>
      <c r="F66" s="593"/>
      <c r="G66" s="593"/>
      <c r="H66" s="593"/>
      <c r="I66" s="593"/>
      <c r="J66" s="593"/>
      <c r="K66" s="593"/>
      <c r="L66" s="593"/>
      <c r="M66" s="1564"/>
      <c r="N66" s="1564"/>
      <c r="O66" s="1565"/>
      <c r="P66" s="502"/>
    </row>
    <row r="67" spans="1:17" s="117" customFormat="1" ht="15.75" thickBot="1">
      <c r="A67" s="513" t="s">
        <v>2581</v>
      </c>
      <c r="B67" s="514"/>
      <c r="C67" s="515"/>
      <c r="D67" s="516"/>
      <c r="E67" s="516"/>
      <c r="F67" s="516"/>
      <c r="G67" s="516"/>
      <c r="H67" s="516"/>
      <c r="I67" s="516"/>
      <c r="J67" s="516"/>
      <c r="K67" s="516"/>
      <c r="L67" s="516"/>
      <c r="M67" s="517"/>
      <c r="N67" s="517"/>
      <c r="O67" s="518"/>
      <c r="P67" s="502"/>
      <c r="Q67" s="502"/>
    </row>
    <row r="68" spans="1:17" s="117" customFormat="1" ht="15">
      <c r="A68" s="519" t="s">
        <v>2546</v>
      </c>
      <c r="B68" s="508"/>
      <c r="C68" s="520" t="s">
        <v>2648</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2584</v>
      </c>
      <c r="B70" s="526" t="s">
        <v>2550</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2553</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2780</v>
      </c>
      <c r="C87" s="571" t="s">
        <v>2593</v>
      </c>
      <c r="D87" s="571" t="s">
        <v>2594</v>
      </c>
      <c r="E87" s="571" t="s">
        <v>2595</v>
      </c>
      <c r="F87" s="571" t="s">
        <v>2596</v>
      </c>
      <c r="G87" s="571" t="s">
        <v>2597</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2781</v>
      </c>
      <c r="C89" s="571" t="s">
        <v>2593</v>
      </c>
      <c r="D89" s="571" t="s">
        <v>2594</v>
      </c>
      <c r="E89" s="571" t="s">
        <v>2595</v>
      </c>
      <c r="F89" s="571" t="s">
        <v>2596</v>
      </c>
      <c r="G89" s="571" t="s">
        <v>2597</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2798</v>
      </c>
      <c r="C93" s="658" t="s">
        <v>2671</v>
      </c>
      <c r="D93" s="658" t="s">
        <v>2672</v>
      </c>
      <c r="E93" s="658" t="s">
        <v>2673</v>
      </c>
      <c r="F93" s="658" t="s">
        <v>2674</v>
      </c>
      <c r="G93" s="658" t="s">
        <v>2675</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2782</v>
      </c>
      <c r="D95" s="537" t="s">
        <v>2783</v>
      </c>
      <c r="E95" s="537" t="s">
        <v>2784</v>
      </c>
      <c r="F95" s="537" t="s">
        <v>2785</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2687</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2746</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2559</v>
      </c>
      <c r="B107" s="526" t="s">
        <v>2786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2787</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2789</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2790</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875" style="2786" customWidth="1"/>
    <col min="2" max="2" width="19.125" style="2892" customWidth="1"/>
    <col min="3" max="4" width="12" style="2718"/>
    <col min="5" max="5" width="14.625" style="2718" customWidth="1"/>
    <col min="6" max="8" width="12" style="2718"/>
    <col min="9" max="9" width="12.125" style="2718" bestFit="1" customWidth="1"/>
    <col min="10" max="10" width="12" style="2718"/>
    <col min="11" max="11" width="8.125" style="2781" customWidth="1"/>
    <col min="12" max="12" width="12" style="2718"/>
    <col min="13" max="13" width="8.5" style="2718" customWidth="1"/>
    <col min="14" max="14" width="9.875" style="2718" customWidth="1"/>
    <col min="15" max="25" width="12" style="2718"/>
    <col min="26" max="26" width="9.375" style="2786" customWidth="1"/>
    <col min="27" max="32" width="9.375" style="1369" customWidth="1"/>
    <col min="33" max="36" width="9.375" style="2786" customWidth="1"/>
    <col min="37" max="38" width="9.375" style="2718" customWidth="1"/>
    <col min="39" max="16384" width="12" style="2718"/>
  </cols>
  <sheetData>
    <row r="1" spans="1:36" ht="28.5">
      <c r="A1" s="238" t="s">
        <v>2799</v>
      </c>
      <c r="B1" s="239"/>
      <c r="C1" s="243" t="s">
        <v>2800</v>
      </c>
      <c r="D1" s="386">
        <f>SUM(D29:D30,D33:D39)</f>
        <v>0</v>
      </c>
      <c r="E1" s="2715"/>
      <c r="F1" s="2715"/>
      <c r="G1" s="2715"/>
      <c r="H1" s="2715"/>
      <c r="I1" s="2715"/>
      <c r="J1" s="2715"/>
      <c r="K1" s="1367"/>
      <c r="L1" s="2716" t="s">
        <v>2801</v>
      </c>
      <c r="M1" s="1077">
        <f>SUMPRODUCT((区片价!B5:B9=I2)*(区片价!C3:F3=E2)*(区片价!C5:F9))</f>
        <v>0</v>
      </c>
      <c r="N1" s="1080">
        <f>SUMPRODUCT((因素修正幅度!B5:B9=I2)*(因素修正幅度!C3:F3=E2)*(因素修正幅度!C5:F9))</f>
        <v>0</v>
      </c>
      <c r="O1" s="2717"/>
      <c r="P1" s="2717"/>
      <c r="Q1" s="1367"/>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3" t="s">
        <v>2807</v>
      </c>
      <c r="B2" s="246"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67"/>
      <c r="L2" s="2724" t="s">
        <v>2812</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2813</v>
      </c>
      <c r="B3" s="246" t="e">
        <f>ROUND(B2*10000/D1,0)</f>
        <v>#DIV/0!</v>
      </c>
      <c r="C3" s="2719" t="s">
        <v>2814</v>
      </c>
      <c r="D3" s="2720" t="s">
        <v>2815</v>
      </c>
      <c r="E3" s="2725"/>
      <c r="F3" s="2726" t="s">
        <v>2816</v>
      </c>
      <c r="G3" s="913">
        <f>IF(F3="宗地容积率",'数据-汇总表'!I4,IF(F3="估价对象容积率",'数据-汇总表'!I6,'数据-汇总表'!I7))</f>
        <v>0.85</v>
      </c>
      <c r="H3" s="196" t="s">
        <v>2817</v>
      </c>
      <c r="I3" s="941"/>
      <c r="J3" s="2723" t="s">
        <v>2818</v>
      </c>
      <c r="K3" s="1367"/>
      <c r="L3" s="2724" t="s">
        <v>2819</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53"/>
      <c r="B4" s="3354"/>
      <c r="C4" s="3354"/>
      <c r="D4" s="3355"/>
      <c r="E4" s="3355"/>
      <c r="F4" s="3355"/>
      <c r="G4" s="3355"/>
      <c r="H4" s="3355"/>
      <c r="I4" s="3355"/>
      <c r="J4" s="3356"/>
      <c r="K4" s="1367"/>
      <c r="L4" s="2724" t="s">
        <v>2820</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6" customFormat="1" ht="15.75" thickBot="1">
      <c r="A5" s="2727" t="s">
        <v>807</v>
      </c>
      <c r="B5" s="2728" t="s">
        <v>2821</v>
      </c>
      <c r="C5" s="914" t="e">
        <f>ROUND(IF(E2="商业",C6*C7+C16,(IF(E2="住宅",C6*C12+C16,C6+C16))),0)</f>
        <v>#DIV/0!</v>
      </c>
      <c r="D5" s="1783" t="e">
        <f>ROUND(C6+C16,0)</f>
        <v>#DIV/0!</v>
      </c>
      <c r="E5" s="1783"/>
      <c r="F5" s="2729"/>
      <c r="G5" s="2730"/>
      <c r="H5" s="2730"/>
      <c r="I5" s="2730"/>
      <c r="J5" s="2731"/>
      <c r="K5" s="2732"/>
      <c r="L5" s="2724" t="s">
        <v>2822</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3"/>
      <c r="AD5" s="2734"/>
      <c r="AE5" s="2734"/>
      <c r="AF5" s="2734"/>
      <c r="AG5" s="2734"/>
      <c r="AH5" s="2734"/>
      <c r="AI5" s="2734"/>
      <c r="AJ5" s="2735"/>
    </row>
    <row r="6" spans="1:36" ht="15.75" thickBot="1">
      <c r="A6" s="2737" t="s">
        <v>2823</v>
      </c>
      <c r="B6" s="2738" t="s">
        <v>2824</v>
      </c>
      <c r="C6" s="915">
        <f>SUMIF(L1:L12,G2,M1:M12)</f>
        <v>0</v>
      </c>
      <c r="D6" s="2739" t="s">
        <v>2825</v>
      </c>
      <c r="E6" s="2740"/>
      <c r="F6" s="2740"/>
      <c r="G6" s="2741"/>
      <c r="H6" s="2741"/>
      <c r="I6" s="2741"/>
      <c r="J6" s="2742"/>
      <c r="K6" s="1838"/>
      <c r="L6" s="2724" t="s">
        <v>2826</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3"/>
      <c r="AD6" s="2734"/>
      <c r="AE6" s="2734"/>
      <c r="AF6" s="2734"/>
      <c r="AG6" s="2734"/>
      <c r="AH6" s="2734"/>
      <c r="AI6" s="2734"/>
      <c r="AJ6" s="2735"/>
    </row>
    <row r="7" spans="1:36" ht="24">
      <c r="A7" s="3337" t="str">
        <f>IF(E2="商业",IF(C8="不临58条商业街","",2),"")</f>
        <v/>
      </c>
      <c r="B7" s="2743" t="s">
        <v>2827</v>
      </c>
      <c r="C7" s="916" t="e">
        <f>IF(C8="不临58条商业街",1,ROUND(1+(1.6*E8+1.2*E9+0.8*E10+0.4*E11)*C9,4))</f>
        <v>#DIV/0!</v>
      </c>
      <c r="D7" s="2744" t="s">
        <v>2828</v>
      </c>
      <c r="E7" s="942"/>
      <c r="F7" s="2745"/>
      <c r="G7" s="2746"/>
      <c r="H7" s="2746"/>
      <c r="I7" s="2746"/>
      <c r="J7" s="2747"/>
      <c r="K7" s="1838"/>
      <c r="L7" s="2724" t="s">
        <v>2829</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2830</v>
      </c>
      <c r="X7" s="1600">
        <f>G2</f>
        <v>0</v>
      </c>
      <c r="Y7" s="1600" t="s">
        <v>2831</v>
      </c>
      <c r="Z7" s="1601">
        <f>G3</f>
        <v>0.85</v>
      </c>
      <c r="AA7" s="1602"/>
      <c r="AB7" s="1602"/>
      <c r="AC7" s="1603"/>
      <c r="AD7" s="1604"/>
      <c r="AE7" s="1604"/>
      <c r="AF7" s="1604"/>
      <c r="AG7" s="1604"/>
      <c r="AH7" s="1604"/>
      <c r="AI7" s="1604"/>
      <c r="AJ7" s="1605"/>
    </row>
    <row r="8" spans="1:36" ht="15">
      <c r="A8" s="3357"/>
      <c r="B8" s="196" t="s">
        <v>2832</v>
      </c>
      <c r="C8" s="2748"/>
      <c r="D8" s="917" t="s">
        <v>139</v>
      </c>
      <c r="E8" s="918" t="e">
        <f>ROUND(C11/E7,4)</f>
        <v>#DIV/0!</v>
      </c>
      <c r="F8" s="2749" t="s">
        <v>2833</v>
      </c>
      <c r="G8" s="2750"/>
      <c r="H8" s="2750"/>
      <c r="I8" s="2750"/>
      <c r="J8" s="2751"/>
      <c r="K8" s="1367"/>
      <c r="L8" s="2724" t="s">
        <v>2834</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350" t="s">
        <v>2835</v>
      </c>
      <c r="X8" s="3351"/>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57"/>
      <c r="B9" s="196" t="s">
        <v>2848</v>
      </c>
      <c r="C9" s="919">
        <f>SUMIF(修正!C59:C119,C8,修正!E59:E119)</f>
        <v>0</v>
      </c>
      <c r="D9" s="198" t="s">
        <v>140</v>
      </c>
      <c r="E9" s="198" t="e">
        <f>ROUND(C11/E7,4)</f>
        <v>#DIV/0!</v>
      </c>
      <c r="F9" s="2749" t="s">
        <v>2849</v>
      </c>
      <c r="G9" s="2750"/>
      <c r="H9" s="2750"/>
      <c r="I9" s="2750"/>
      <c r="J9" s="2751"/>
      <c r="K9" s="1367"/>
      <c r="L9" s="2724" t="s">
        <v>2850</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352"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7"/>
      <c r="B10" s="196" t="s">
        <v>2853</v>
      </c>
      <c r="C10" s="198">
        <f>SUMIF(修正!C59:C119,C8,修正!F59:F119)</f>
        <v>0</v>
      </c>
      <c r="D10" s="198" t="s">
        <v>141</v>
      </c>
      <c r="E10" s="198" t="e">
        <f>ROUND(C11/E7,4)</f>
        <v>#DIV/0!</v>
      </c>
      <c r="F10" s="2749" t="s">
        <v>2854</v>
      </c>
      <c r="G10" s="2750"/>
      <c r="H10" s="2750"/>
      <c r="I10" s="2750"/>
      <c r="J10" s="2751"/>
      <c r="K10" s="1367"/>
      <c r="L10" s="2724" t="s">
        <v>2855</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35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7"/>
      <c r="B11" s="2752" t="s">
        <v>2856</v>
      </c>
      <c r="C11" s="920">
        <f>C10/4</f>
        <v>0</v>
      </c>
      <c r="D11" s="920" t="s">
        <v>142</v>
      </c>
      <c r="E11" s="920" t="e">
        <f>ROUND(C11/E7,4)</f>
        <v>#DIV/0!</v>
      </c>
      <c r="F11" s="2753" t="s">
        <v>2857</v>
      </c>
      <c r="G11" s="2754"/>
      <c r="H11" s="2754"/>
      <c r="I11" s="2754"/>
      <c r="J11" s="2755"/>
      <c r="K11" s="1367"/>
      <c r="L11" s="2724" t="s">
        <v>2858</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352" t="s">
        <v>2859</v>
      </c>
      <c r="X11" s="1610" t="s">
        <v>2860</v>
      </c>
      <c r="Y11" s="1611">
        <f>$G$3</f>
        <v>0.85</v>
      </c>
      <c r="Z11" s="1611">
        <f t="shared" ref="Z11:AJ11" si="3">$G$3</f>
        <v>0.85</v>
      </c>
      <c r="AA11" s="1611">
        <f t="shared" si="3"/>
        <v>0.85</v>
      </c>
      <c r="AB11" s="1611">
        <f t="shared" si="3"/>
        <v>0.85</v>
      </c>
      <c r="AC11" s="1611">
        <f t="shared" si="3"/>
        <v>0.85</v>
      </c>
      <c r="AD11" s="1611">
        <f t="shared" si="3"/>
        <v>0.85</v>
      </c>
      <c r="AE11" s="1611">
        <f t="shared" si="3"/>
        <v>0.85</v>
      </c>
      <c r="AF11" s="1611">
        <f t="shared" si="3"/>
        <v>0.85</v>
      </c>
      <c r="AG11" s="1611">
        <f t="shared" si="3"/>
        <v>0.85</v>
      </c>
      <c r="AH11" s="1611">
        <f t="shared" si="3"/>
        <v>0.85</v>
      </c>
      <c r="AI11" s="1611">
        <f t="shared" si="3"/>
        <v>0.85</v>
      </c>
      <c r="AJ11" s="1611">
        <f t="shared" si="3"/>
        <v>0.85</v>
      </c>
    </row>
    <row r="12" spans="1:36" ht="25.5" thickBot="1">
      <c r="A12" s="3337" t="s">
        <v>2861</v>
      </c>
      <c r="B12" s="2756" t="s">
        <v>2862</v>
      </c>
      <c r="C12" s="916">
        <f>ROUND(C15*D15*E15*F15*G15*H15*I15*J15,4)</f>
        <v>1</v>
      </c>
      <c r="D12" s="2757" t="s">
        <v>2863</v>
      </c>
      <c r="E12" s="2758"/>
      <c r="F12" s="2758"/>
      <c r="G12" s="2759"/>
      <c r="H12" s="2759"/>
      <c r="I12" s="2759"/>
      <c r="J12" s="2760"/>
      <c r="K12" s="1367"/>
      <c r="L12" s="2761" t="s">
        <v>2864</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352"/>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58"/>
      <c r="B13" s="2762" t="s">
        <v>2866</v>
      </c>
      <c r="C13" s="2763" t="s">
        <v>2867</v>
      </c>
      <c r="D13" s="1804" t="s">
        <v>2868</v>
      </c>
      <c r="E13" s="1804" t="s">
        <v>2869</v>
      </c>
      <c r="F13" s="30" t="s">
        <v>2870</v>
      </c>
      <c r="G13" s="2764" t="s">
        <v>2871</v>
      </c>
      <c r="H13" s="2764" t="s">
        <v>2871</v>
      </c>
      <c r="I13" s="2764" t="s">
        <v>2871</v>
      </c>
      <c r="J13" s="2765" t="s">
        <v>2871</v>
      </c>
      <c r="K13" s="1367"/>
      <c r="L13" s="1367"/>
      <c r="M13" s="1367"/>
      <c r="N13" s="1367"/>
      <c r="O13" s="1367"/>
      <c r="P13" s="1367"/>
      <c r="Q13" s="1367"/>
      <c r="R13" s="1598">
        <v>12</v>
      </c>
      <c r="S13" s="1599"/>
      <c r="T13" s="1598" t="e">
        <f t="shared" si="0"/>
        <v>#DIV/0!</v>
      </c>
      <c r="U13" s="1599"/>
      <c r="V13" s="1598" t="e">
        <f t="shared" si="1"/>
        <v>#DIV/0!</v>
      </c>
      <c r="W13" s="3352"/>
      <c r="X13" s="1612"/>
      <c r="Y13" s="1609">
        <f>(-0.163*(Y12^2)-0.59*Y12+7617)*(10^(-4))/Y11</f>
        <v>0.89611764705882357</v>
      </c>
      <c r="Z13" s="1609">
        <f t="shared" ref="Z13:AJ13" si="5">(-0.163*(Z12^2)-0.59*Z12+7617)*(10^(-4))/Z11</f>
        <v>0.89611764705882357</v>
      </c>
      <c r="AA13" s="1609">
        <f t="shared" si="5"/>
        <v>0.89611764705882357</v>
      </c>
      <c r="AB13" s="1609">
        <f t="shared" si="5"/>
        <v>0.89611764705882357</v>
      </c>
      <c r="AC13" s="1609">
        <f t="shared" si="5"/>
        <v>0.89611764705882357</v>
      </c>
      <c r="AD13" s="1609">
        <f t="shared" si="5"/>
        <v>0.89611764705882357</v>
      </c>
      <c r="AE13" s="1609">
        <f t="shared" si="5"/>
        <v>0.89611764705882357</v>
      </c>
      <c r="AF13" s="1609">
        <f t="shared" si="5"/>
        <v>0.89611764705882357</v>
      </c>
      <c r="AG13" s="1609">
        <f t="shared" si="5"/>
        <v>0.89611764705882357</v>
      </c>
      <c r="AH13" s="1609">
        <f t="shared" si="5"/>
        <v>0.89611764705882357</v>
      </c>
      <c r="AI13" s="1609">
        <f t="shared" si="5"/>
        <v>0.89611764705882357</v>
      </c>
      <c r="AJ13" s="1609">
        <f t="shared" si="5"/>
        <v>0.89611764705882357</v>
      </c>
    </row>
    <row r="14" spans="1:36" ht="15">
      <c r="A14" s="3358"/>
      <c r="B14" s="2766"/>
      <c r="C14" s="2767"/>
      <c r="D14" s="2768"/>
      <c r="E14" s="2768"/>
      <c r="F14" s="2769"/>
      <c r="G14" s="2770" t="s">
        <v>2872</v>
      </c>
      <c r="H14" s="2771"/>
      <c r="I14" s="2772"/>
      <c r="J14" s="2773"/>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59"/>
      <c r="B15" s="2774" t="s">
        <v>2873</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37" t="s">
        <v>2878</v>
      </c>
      <c r="B16" s="2743" t="s">
        <v>2879</v>
      </c>
      <c r="C16" s="2930" t="e">
        <f>ROUND(IF(F17="与级别开发程度一致",0,(G17-E17)/C17),0)</f>
        <v>#DIV/0!</v>
      </c>
      <c r="D16" s="3348" t="s">
        <v>2883</v>
      </c>
      <c r="E16" s="3349"/>
      <c r="F16" s="3348" t="s">
        <v>2880</v>
      </c>
      <c r="G16" s="3349"/>
      <c r="H16" s="2777"/>
      <c r="I16" s="2777"/>
      <c r="J16" s="2934"/>
      <c r="K16" s="2777"/>
      <c r="L16" s="2777"/>
      <c r="M16" s="2777"/>
      <c r="N16" s="2777"/>
      <c r="O16" s="2778"/>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38"/>
      <c r="B17" s="2941" t="s">
        <v>2882</v>
      </c>
      <c r="C17" s="2942">
        <f>SUMPRODUCT((修正!A2:A5=E2)*(修正!B1:M1=G2)*(修正!B2:M5))</f>
        <v>0</v>
      </c>
      <c r="D17" s="227"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7"/>
      <c r="R17" s="1367"/>
      <c r="S17" s="1367"/>
      <c r="T17" s="1367"/>
      <c r="U17" s="1367"/>
      <c r="V17" s="1367"/>
      <c r="W17" s="1367"/>
      <c r="X17" s="1367"/>
      <c r="Y17" s="1367"/>
      <c r="Z17" s="1368"/>
      <c r="AE17" s="2781"/>
      <c r="AF17" s="2781"/>
      <c r="AG17" s="2718"/>
      <c r="AH17" s="2718"/>
      <c r="AI17" s="2718"/>
      <c r="AJ17" s="2718"/>
    </row>
    <row r="18" spans="1:37" s="2736" customFormat="1" ht="15.75" thickBot="1">
      <c r="A18" s="2935" t="s">
        <v>808</v>
      </c>
      <c r="B18" s="2936" t="s">
        <v>2885</v>
      </c>
      <c r="C18" s="2937">
        <f>SUMIF(修正!C18:C39,E3,修正!E18:E39)</f>
        <v>0</v>
      </c>
      <c r="D18" s="2938"/>
      <c r="E18" s="2939"/>
      <c r="F18" s="2939"/>
      <c r="G18" s="2939"/>
      <c r="H18" s="2939"/>
      <c r="I18" s="2939"/>
      <c r="J18" s="2940"/>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6" customFormat="1" ht="27.75" thickBot="1">
      <c r="A19" s="2782" t="s">
        <v>809</v>
      </c>
      <c r="B19" s="2783" t="s">
        <v>2886</v>
      </c>
      <c r="C19" s="921" t="e">
        <f>ROUND(IF(H19="按公示增长率计算",SUMPRODUCT((地价!A3:A29=YEAR(G19)&amp;"-"&amp;ROUNDUP(MONTH(G19)/3,0))*(地价!X2:AB2=E2)*(地价!X3:AB29)),IF(H19="地价指数",M20/M19,(1+I19)^O19)),4)</f>
        <v>#VALUE!</v>
      </c>
      <c r="D19" s="2787" t="s">
        <v>2887</v>
      </c>
      <c r="E19" s="922">
        <v>41640</v>
      </c>
      <c r="F19" s="2787" t="s">
        <v>2888</v>
      </c>
      <c r="G19" s="923">
        <f>'数据-取费表'!B2</f>
        <v>43905</v>
      </c>
      <c r="H19" s="2788"/>
      <c r="I19" s="924" t="str">
        <f>IF(H19="季度增幅（自定义）",SUMIF(N21:N24,E2,O21:O24),"")</f>
        <v/>
      </c>
      <c r="J19" s="2785"/>
      <c r="K19" s="1374"/>
      <c r="L19" s="2789" t="s">
        <v>2889</v>
      </c>
      <c r="M19" s="1730">
        <f>ROUND(SUMIF(地价!B2:F2,E2,地价!B29:F29),0)</f>
        <v>0</v>
      </c>
      <c r="N19" s="2790" t="s">
        <v>2890</v>
      </c>
      <c r="O19" s="925">
        <f>ROUNDDOWN(DATEDIF(E19,G19,"M")/3,0)</f>
        <v>24</v>
      </c>
      <c r="P19" s="1371"/>
      <c r="Q19" s="1373"/>
      <c r="R19" s="1373"/>
      <c r="S19" s="1373"/>
      <c r="T19" s="1368"/>
      <c r="U19" s="1368"/>
      <c r="V19" s="1368"/>
      <c r="W19" s="1367"/>
      <c r="X19" s="1367"/>
      <c r="Y19" s="1367"/>
      <c r="Z19" s="1374"/>
      <c r="AA19" s="1375"/>
      <c r="AB19" s="1375"/>
      <c r="AC19" s="1375"/>
      <c r="AD19" s="1375"/>
      <c r="AE19" s="1375"/>
      <c r="AF19" s="2791"/>
      <c r="AG19" s="2792"/>
      <c r="AH19" s="2786"/>
      <c r="AI19" s="2793"/>
      <c r="AJ19" s="2793"/>
      <c r="AK19" s="2793"/>
    </row>
    <row r="20" spans="1:37" s="2736" customFormat="1" ht="27.75" thickBot="1">
      <c r="A20" s="2794" t="s">
        <v>810</v>
      </c>
      <c r="B20" s="2795" t="s">
        <v>2891</v>
      </c>
      <c r="C20" s="926" t="e">
        <f>ROUND(POWER(1+G20,J20-I20)*(POWER(1+G20,I20)-1)/(POWER(1+G20,J20)-1),4)</f>
        <v>#DIV/0!</v>
      </c>
      <c r="D20" s="2796" t="s">
        <v>2892</v>
      </c>
      <c r="E20" s="1764">
        <f ca="1">存贷款利率!D4/100</f>
        <v>4.3499999999999997E-2</v>
      </c>
      <c r="F20" s="2796" t="s">
        <v>2884</v>
      </c>
      <c r="G20" s="931">
        <f>SUMIF(M26:P26,E2,M28:P28)</f>
        <v>0</v>
      </c>
      <c r="H20" s="2796" t="s">
        <v>2893</v>
      </c>
      <c r="I20" s="932" t="e">
        <f>SUMIF('数据-取费表'!C6:C15,E2,'数据-取费表'!F6:F15)/COUNTIF('数据-取费表'!C6:C15,E2)</f>
        <v>#DIV/0!</v>
      </c>
      <c r="J20" s="933">
        <f>IF(E2="住宅",70,IF(E2="商业",40,50))</f>
        <v>50</v>
      </c>
      <c r="K20" s="1374"/>
      <c r="L20" s="2797" t="s">
        <v>2894</v>
      </c>
      <c r="M20" s="1731">
        <f>ROUND(SUMPRODUCT((地价!A4:A29=YEAR(G19)&amp;"-"&amp;ROUNDUP(MONTH(G19)/3,0))*(地价!B2:F2=E2)*(地价!B4:F29)),0)</f>
        <v>0</v>
      </c>
      <c r="N20" s="2798" t="s">
        <v>2895</v>
      </c>
      <c r="O20" s="2799" t="s">
        <v>2896</v>
      </c>
      <c r="P20" s="2800" t="s">
        <v>2897</v>
      </c>
      <c r="R20" s="1373"/>
      <c r="S20" s="1373"/>
      <c r="T20" s="1368"/>
      <c r="U20" s="1368"/>
      <c r="V20" s="1368"/>
      <c r="W20" s="1367"/>
      <c r="X20" s="1367"/>
      <c r="Y20" s="1367"/>
      <c r="Z20" s="1374"/>
      <c r="AA20" s="1375"/>
      <c r="AB20" s="1375"/>
      <c r="AC20" s="1375"/>
      <c r="AD20" s="1375"/>
      <c r="AE20" s="1375"/>
      <c r="AF20" s="1375"/>
    </row>
    <row r="21" spans="1:37" s="2736" customFormat="1" ht="15">
      <c r="A21" s="2801" t="s">
        <v>811</v>
      </c>
      <c r="B21" s="2802" t="s">
        <v>2898</v>
      </c>
      <c r="C21" s="934">
        <f>IF(B21="容积率修正",IF(G3&lt;=10,D22,J22),C23)</f>
        <v>0</v>
      </c>
      <c r="D21" s="2803"/>
      <c r="E21" s="2803"/>
      <c r="F21" s="2803"/>
      <c r="G21" s="2803"/>
      <c r="H21" s="2803"/>
      <c r="I21" s="2803"/>
      <c r="J21" s="2804"/>
      <c r="K21" s="1374"/>
      <c r="N21" s="2805" t="s">
        <v>2899</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36" customFormat="1" ht="14.25">
      <c r="A22" s="2662" t="s">
        <v>2900</v>
      </c>
      <c r="B22" s="2806" t="s">
        <v>2901</v>
      </c>
      <c r="C22" s="1806" t="s">
        <v>2902</v>
      </c>
      <c r="D22" s="1806">
        <f>IF(E22=G22,F22,IF(G3&lt;=10,ROUND(F22+(H22-F22)*(G3-E22)/(G22-E22),4),"——"))</f>
        <v>0</v>
      </c>
      <c r="E22" s="913">
        <f>ROUNDDOWN(G3,1)</f>
        <v>0.8</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5" t="s">
        <v>2903</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7.75" thickBot="1">
      <c r="A23" s="2662" t="s">
        <v>2904</v>
      </c>
      <c r="B23" s="2807" t="s">
        <v>2905</v>
      </c>
      <c r="C23" s="1010">
        <f>ROUND(IF(G3&gt;1,IF(I3&lt;7,SUMPRODUCT((B93:B98=I3)*(C92:N92=G2)*(C93:N98)),SUMIF(C92:N92,G2,C100:N100)),IF(I3&lt;7,SUMPRODUCT((B102:B107=I3)*(C92:N92=G2)*(C102:N107)),SUMIF(C92:N92,G2,C109:N109))),4)</f>
        <v>0</v>
      </c>
      <c r="D23" s="2771"/>
      <c r="E23" s="2771"/>
      <c r="F23" s="2808"/>
      <c r="G23" s="2809"/>
      <c r="H23" s="2810"/>
      <c r="I23" s="2811"/>
      <c r="J23" s="2812"/>
      <c r="K23" s="1367"/>
      <c r="N23" s="2805" t="s">
        <v>2906</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86"/>
    </row>
    <row r="24" spans="1:37" s="2736" customFormat="1" ht="15.75" thickBot="1">
      <c r="A24" s="2794" t="s">
        <v>812</v>
      </c>
      <c r="B24" s="2783" t="s">
        <v>2907</v>
      </c>
      <c r="C24" s="921">
        <f>SUMIF(A45:A88,E2,B45:B88)</f>
        <v>0</v>
      </c>
      <c r="D24" s="2784"/>
      <c r="E24" s="2813"/>
      <c r="F24" s="2813"/>
      <c r="G24" s="2813"/>
      <c r="H24" s="2813"/>
      <c r="I24" s="2813"/>
      <c r="J24" s="2814"/>
      <c r="K24" s="1374"/>
      <c r="N24" s="2815" t="s">
        <v>2908</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75" thickBot="1">
      <c r="A25" s="2794" t="s">
        <v>813</v>
      </c>
      <c r="B25" s="2816" t="s">
        <v>2909</v>
      </c>
      <c r="C25" s="927"/>
      <c r="D25" s="2746"/>
      <c r="E25" s="2746"/>
      <c r="F25" s="2817"/>
      <c r="G25" s="2746"/>
      <c r="H25" s="2746"/>
      <c r="I25" s="2746"/>
      <c r="J25" s="2747"/>
      <c r="K25" s="1367"/>
      <c r="N25" s="2818" t="s">
        <v>2910</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5">
      <c r="A26" s="2819"/>
      <c r="B26" s="2806" t="s">
        <v>2911</v>
      </c>
      <c r="C26" s="204" t="e">
        <f>E29+SUM(E33:E39)</f>
        <v>#DIV/0!</v>
      </c>
      <c r="D26" s="2820"/>
      <c r="E26" s="2771"/>
      <c r="F26" s="2821"/>
      <c r="G26" s="2771"/>
      <c r="H26" s="2771"/>
      <c r="I26" s="2771"/>
      <c r="J26" s="2822"/>
      <c r="K26" s="1367"/>
      <c r="L26" s="2775" t="s">
        <v>2809</v>
      </c>
      <c r="M26" s="917" t="s">
        <v>2874</v>
      </c>
      <c r="N26" s="917" t="s">
        <v>2875</v>
      </c>
      <c r="O26" s="917" t="s">
        <v>2876</v>
      </c>
      <c r="P26" s="2776" t="s">
        <v>2877</v>
      </c>
      <c r="R26" s="1373"/>
      <c r="S26" s="1373"/>
      <c r="T26" s="1368"/>
      <c r="U26" s="1368"/>
      <c r="V26" s="1368"/>
      <c r="W26" s="1367"/>
      <c r="X26" s="1367"/>
      <c r="Y26" s="1367"/>
      <c r="Z26" s="1374"/>
      <c r="AA26" s="1375"/>
      <c r="AB26" s="1375"/>
      <c r="AC26" s="1375"/>
      <c r="AD26" s="1375"/>
    </row>
    <row r="27" spans="1:37" ht="15.75" thickBot="1">
      <c r="A27" s="2819"/>
      <c r="B27" s="2823" t="s">
        <v>2912</v>
      </c>
      <c r="C27" s="928" t="e">
        <f>E30+SUM(I33:I39)</f>
        <v>#DIV/0!</v>
      </c>
      <c r="D27" s="2824"/>
      <c r="E27" s="2825"/>
      <c r="F27" s="2826"/>
      <c r="G27" s="2825"/>
      <c r="H27" s="2825"/>
      <c r="I27" s="2825"/>
      <c r="J27" s="2827"/>
      <c r="K27" s="1367"/>
      <c r="L27" s="2779"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8"/>
      <c r="B28" s="2829" t="s">
        <v>2913</v>
      </c>
      <c r="C28" s="2830" t="s">
        <v>2914</v>
      </c>
      <c r="D28" s="2830" t="s">
        <v>2915</v>
      </c>
      <c r="E28" s="2831" t="s">
        <v>2916</v>
      </c>
      <c r="F28" s="2832"/>
      <c r="G28" s="2759"/>
      <c r="H28" s="2759"/>
      <c r="I28" s="2759"/>
      <c r="J28" s="2760"/>
      <c r="K28" s="1367"/>
      <c r="L28" s="2780" t="s">
        <v>2884</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3"/>
      <c r="B29" s="2834" t="s">
        <v>2917</v>
      </c>
      <c r="C29" s="204" t="e">
        <f>ROUND(C5*C18*C19*C20*C21*C24,0)</f>
        <v>#DIV/0!</v>
      </c>
      <c r="D29" s="2835"/>
      <c r="E29" s="939" t="e">
        <f>ROUND(C29*D29/10000,0)</f>
        <v>#DIV/0!</v>
      </c>
      <c r="F29" s="2836" t="s">
        <v>2918</v>
      </c>
      <c r="G29" s="2837"/>
      <c r="H29" s="2837"/>
      <c r="I29" s="2837"/>
      <c r="J29" s="2838"/>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8"/>
      <c r="AH29" s="2718"/>
      <c r="AI29" s="2718"/>
      <c r="AJ29" s="2718"/>
    </row>
    <row r="30" spans="1:37" ht="25.5" thickBot="1">
      <c r="A30" s="2839"/>
      <c r="B30" s="2840" t="s">
        <v>2919</v>
      </c>
      <c r="C30" s="227" t="e">
        <f>ROUND(IF(E2="工业",C29*M39,C29*M38),0)</f>
        <v>#DIV/0!</v>
      </c>
      <c r="D30" s="2841"/>
      <c r="E30" s="939" t="e">
        <f>ROUND(C30*D30/10000,0)</f>
        <v>#DIV/0!</v>
      </c>
      <c r="F30" s="2842" t="s">
        <v>2920</v>
      </c>
      <c r="G30" s="2843"/>
      <c r="H30" s="2843"/>
      <c r="I30" s="2843"/>
      <c r="J30" s="2844"/>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8"/>
      <c r="AH30" s="2718"/>
      <c r="AI30" s="2718"/>
      <c r="AJ30" s="2718"/>
    </row>
    <row r="31" spans="1:37" ht="14.25">
      <c r="A31" s="2845"/>
      <c r="B31" s="2846" t="s">
        <v>2921</v>
      </c>
      <c r="C31" s="2847" t="s">
        <v>2922</v>
      </c>
      <c r="D31" s="2759"/>
      <c r="E31" s="2847"/>
      <c r="F31" s="2847"/>
      <c r="G31" s="2757" t="s">
        <v>2923</v>
      </c>
      <c r="H31" s="2759"/>
      <c r="I31" s="2848"/>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8"/>
      <c r="AH31" s="2718"/>
      <c r="AI31" s="2718"/>
      <c r="AJ31" s="2718"/>
    </row>
    <row r="32" spans="1:37" ht="24">
      <c r="A32" s="2833"/>
      <c r="B32" s="2849"/>
      <c r="C32" s="499" t="s">
        <v>2914</v>
      </c>
      <c r="D32" s="496" t="s">
        <v>2915</v>
      </c>
      <c r="E32" s="496" t="s">
        <v>2916</v>
      </c>
      <c r="F32" s="386" t="s">
        <v>2924</v>
      </c>
      <c r="G32" s="2850" t="s">
        <v>2914</v>
      </c>
      <c r="H32" s="2850" t="s">
        <v>2915</v>
      </c>
      <c r="I32" s="2850" t="s">
        <v>2916</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8"/>
      <c r="AH32" s="2718"/>
      <c r="AI32" s="2718"/>
      <c r="AJ32" s="2718"/>
    </row>
    <row r="33" spans="1:37" ht="36" customHeight="1">
      <c r="A33" s="3345" t="s">
        <v>2925</v>
      </c>
      <c r="B33" s="2851" t="s">
        <v>2926</v>
      </c>
      <c r="C33" s="204" t="e">
        <f>ROUND(D5*C19*C20*C24*F33,0)</f>
        <v>#DIV/0!</v>
      </c>
      <c r="D33" s="2835"/>
      <c r="E33" s="198" t="e">
        <f>ROUND(C33*D33/10000,0)</f>
        <v>#DIV/0!</v>
      </c>
      <c r="F33" s="198">
        <f>SUMIF(修正!A45:A56,G2,修正!B45:B56)</f>
        <v>0</v>
      </c>
      <c r="G33" s="198" t="e">
        <f t="shared" ref="G33" si="6">ROUND(IF(E2="工业",C33*$M$39,C33*$M$38),0)</f>
        <v>#DIV/0!</v>
      </c>
      <c r="H33" s="198">
        <f>D33</f>
        <v>0</v>
      </c>
      <c r="I33" s="198" t="e">
        <f>ROUND(G33*H33/10000,0)</f>
        <v>#DIV/0!</v>
      </c>
      <c r="J33" s="285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46"/>
      <c r="B34" s="2763" t="s">
        <v>2927</v>
      </c>
      <c r="C34" s="204" t="e">
        <f>ROUND(D5*C19*C20*C24*F34,0)</f>
        <v>#DIV/0!</v>
      </c>
      <c r="D34" s="2835"/>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46"/>
      <c r="B35" s="2763" t="s">
        <v>2928</v>
      </c>
      <c r="C35" s="204" t="e">
        <f>ROUND(D5*C19*C20*C24*F35,0)</f>
        <v>#DIV/0!</v>
      </c>
      <c r="D35" s="2835"/>
      <c r="E35" s="198" t="e">
        <f t="shared" si="7"/>
        <v>#DIV/0!</v>
      </c>
      <c r="F35" s="198">
        <f>SUMIF(修正!A45:A56,G2,修正!D45:D56)</f>
        <v>0</v>
      </c>
      <c r="G35" s="198" t="e">
        <f>ROUND(IF(E2="工业",C35*$M$39,C35*$M$38),0)</f>
        <v>#DIV/0!</v>
      </c>
      <c r="H35" s="198">
        <f t="shared" si="8"/>
        <v>0</v>
      </c>
      <c r="I35" s="198" t="e">
        <f t="shared" si="9"/>
        <v>#DIV/0!</v>
      </c>
      <c r="J35" s="2852"/>
      <c r="K35" s="1367"/>
      <c r="L35" s="1367"/>
      <c r="M35" s="1367"/>
      <c r="N35" s="1367"/>
      <c r="O35" s="1367"/>
      <c r="P35" s="1367"/>
      <c r="Q35" s="1367"/>
      <c r="R35" s="1367"/>
      <c r="S35" s="1367"/>
      <c r="T35" s="1367"/>
      <c r="U35" s="1367"/>
      <c r="V35" s="1367"/>
      <c r="W35" s="1367"/>
      <c r="X35" s="1367"/>
      <c r="Y35" s="1367"/>
      <c r="Z35" s="1368"/>
    </row>
    <row r="36" spans="1:37" ht="13.5" thickBot="1">
      <c r="A36" s="3347"/>
      <c r="B36" s="2763" t="s">
        <v>2929</v>
      </c>
      <c r="C36" s="204" t="e">
        <f>ROUND(D5*C19*C20*C24*F36,0)</f>
        <v>#DIV/0!</v>
      </c>
      <c r="D36" s="2835"/>
      <c r="E36" s="198" t="e">
        <f t="shared" si="7"/>
        <v>#DIV/0!</v>
      </c>
      <c r="F36" s="198">
        <f>SUMIF(修正!A45:A56,G2,修正!E45:E56)</f>
        <v>0</v>
      </c>
      <c r="G36" s="198" t="e">
        <f>ROUND(IF(E2="工业",C36*$M$39,C36*$M$38),0)</f>
        <v>#DIV/0!</v>
      </c>
      <c r="H36" s="198">
        <f t="shared" si="8"/>
        <v>0</v>
      </c>
      <c r="I36" s="198" t="e">
        <f t="shared" si="9"/>
        <v>#DIV/0!</v>
      </c>
      <c r="J36" s="2852"/>
      <c r="K36" s="1367"/>
      <c r="L36" s="2717"/>
      <c r="M36" s="2717"/>
      <c r="N36" s="1367"/>
      <c r="O36" s="1367"/>
      <c r="P36" s="1367"/>
      <c r="Q36" s="1367"/>
      <c r="R36" s="1367"/>
      <c r="S36" s="1367"/>
      <c r="T36" s="1367"/>
      <c r="U36" s="1367"/>
      <c r="V36" s="1367"/>
      <c r="W36" s="1367"/>
      <c r="X36" s="1367"/>
      <c r="Y36" s="1367"/>
      <c r="Z36" s="1368"/>
    </row>
    <row r="37" spans="1:37">
      <c r="A37" s="2853"/>
      <c r="B37" s="2763" t="s">
        <v>2930</v>
      </c>
      <c r="C37" s="198" t="e">
        <f>ROUND(D5*C19*C20*C24*F37,0)</f>
        <v>#DIV/0!</v>
      </c>
      <c r="D37" s="2835"/>
      <c r="E37" s="198" t="e">
        <f t="shared" si="7"/>
        <v>#DIV/0!</v>
      </c>
      <c r="F37" s="204">
        <f>SUMIF(修正!A45:A56,G2,修正!F45:F56)</f>
        <v>0</v>
      </c>
      <c r="G37" s="198" t="e">
        <f>ROUND(IF(E2="工业",C37*$M$39,C37*$M$38),0)</f>
        <v>#DIV/0!</v>
      </c>
      <c r="H37" s="198">
        <f t="shared" si="8"/>
        <v>0</v>
      </c>
      <c r="I37" s="198" t="e">
        <f t="shared" si="9"/>
        <v>#DIV/0!</v>
      </c>
      <c r="J37" s="2852"/>
      <c r="K37" s="1367"/>
      <c r="L37" s="2854" t="s">
        <v>2931</v>
      </c>
      <c r="M37" s="2855"/>
      <c r="N37" s="1367"/>
      <c r="O37" s="1367"/>
      <c r="P37" s="1367"/>
      <c r="Q37" s="1367"/>
      <c r="R37" s="1367"/>
      <c r="S37" s="1367"/>
      <c r="T37" s="1367"/>
      <c r="U37" s="1367"/>
      <c r="V37" s="1367"/>
      <c r="W37" s="1367"/>
      <c r="X37" s="1367"/>
      <c r="Y37" s="1367"/>
      <c r="Z37" s="1368"/>
    </row>
    <row r="38" spans="1:37">
      <c r="A38" s="2853"/>
      <c r="B38" s="2763" t="s">
        <v>2932</v>
      </c>
      <c r="C38" s="198" t="e">
        <f>ROUND(D5*C19*C41*C24*F38,0)</f>
        <v>#DIV/0!</v>
      </c>
      <c r="D38" s="2835"/>
      <c r="E38" s="198" t="e">
        <f t="shared" si="7"/>
        <v>#DIV/0!</v>
      </c>
      <c r="F38" s="204">
        <f>SUMIF(修正!A45:A56,G2,修正!G45:G56)</f>
        <v>0</v>
      </c>
      <c r="G38" s="198" t="e">
        <f>ROUND(IF(E2="工业",C38*$M$39,C38*$M$38),0)</f>
        <v>#DIV/0!</v>
      </c>
      <c r="H38" s="198">
        <f t="shared" si="8"/>
        <v>0</v>
      </c>
      <c r="I38" s="198" t="e">
        <f t="shared" si="9"/>
        <v>#DIV/0!</v>
      </c>
      <c r="J38" s="2852"/>
      <c r="K38" s="1367"/>
      <c r="L38" s="1883" t="s">
        <v>2933</v>
      </c>
      <c r="M38" s="2856">
        <v>0.25</v>
      </c>
      <c r="N38" s="1367"/>
      <c r="O38" s="1367"/>
      <c r="P38" s="1367"/>
      <c r="Q38" s="1367"/>
      <c r="R38" s="1367"/>
      <c r="S38" s="1367"/>
      <c r="T38" s="1367"/>
      <c r="U38" s="1367"/>
      <c r="V38" s="1367"/>
      <c r="W38" s="1367"/>
      <c r="X38" s="1367"/>
      <c r="Y38" s="1367"/>
      <c r="Z38" s="1368"/>
    </row>
    <row r="39" spans="1:37" ht="13.5" thickBot="1">
      <c r="A39" s="2839"/>
      <c r="B39" s="2857" t="s">
        <v>2934</v>
      </c>
      <c r="C39" s="227" t="e">
        <f>ROUND(D5*C19*C41*C24*F39,0)</f>
        <v>#DIV/0!</v>
      </c>
      <c r="D39" s="2841"/>
      <c r="E39" s="227" t="e">
        <f t="shared" si="7"/>
        <v>#DIV/0!</v>
      </c>
      <c r="F39" s="929">
        <f>SUMIF(修正!A45:A56,G2,修正!H45:H56)</f>
        <v>0</v>
      </c>
      <c r="G39" s="227" t="e">
        <f>ROUND(IF(E2="工业",C39*$M$39,C39*$M$38),0)</f>
        <v>#DIV/0!</v>
      </c>
      <c r="H39" s="227">
        <f t="shared" si="8"/>
        <v>0</v>
      </c>
      <c r="I39" s="227" t="e">
        <f t="shared" si="9"/>
        <v>#DIV/0!</v>
      </c>
      <c r="J39" s="2858"/>
      <c r="K39" s="1367"/>
      <c r="L39" s="2859" t="s">
        <v>2877</v>
      </c>
      <c r="M39" s="286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8" t="s">
        <v>3042</v>
      </c>
      <c r="C41" s="386" t="e">
        <f>ROUND(POWER(1+E41,H41-G41)*(POWER(1+E41,G41)-1)/(POWER(1+E41,H41)-1),4)</f>
        <v>#DIV/0!</v>
      </c>
      <c r="D41" s="198" t="s">
        <v>2884</v>
      </c>
      <c r="E41" s="2927">
        <f>G20</f>
        <v>0</v>
      </c>
      <c r="F41" s="198" t="s">
        <v>2893</v>
      </c>
      <c r="G41" s="216"/>
      <c r="H41" s="198">
        <v>50</v>
      </c>
      <c r="Z41" s="1368"/>
      <c r="AA41" s="1368"/>
      <c r="AB41" s="1368"/>
      <c r="AC41" s="1368"/>
      <c r="AD41" s="1368"/>
      <c r="AE41" s="1368"/>
      <c r="AF41" s="1368"/>
      <c r="AG41" s="1368"/>
      <c r="AH41" s="1368"/>
      <c r="AI41" s="1368"/>
      <c r="AJ41" s="1368"/>
    </row>
    <row r="42" spans="1:37" s="1367" customFormat="1">
      <c r="A42" s="1368"/>
      <c r="B42" s="2861"/>
      <c r="Z42" s="1368"/>
      <c r="AA42" s="1368"/>
      <c r="AB42" s="1368"/>
      <c r="AC42" s="1368"/>
      <c r="AD42" s="1368"/>
      <c r="AE42" s="1368"/>
      <c r="AF42" s="1368"/>
      <c r="AG42" s="1368"/>
      <c r="AH42" s="1368"/>
      <c r="AI42" s="1368"/>
      <c r="AJ42" s="1368"/>
    </row>
    <row r="43" spans="1:37" s="1367" customFormat="1">
      <c r="A43" s="1368"/>
      <c r="B43" s="2861"/>
      <c r="Z43" s="1368"/>
      <c r="AA43" s="1368"/>
      <c r="AB43" s="1368"/>
      <c r="AC43" s="1368"/>
      <c r="AD43" s="1368"/>
      <c r="AE43" s="1368"/>
      <c r="AF43" s="1368"/>
      <c r="AG43" s="1368"/>
      <c r="AH43" s="1368"/>
      <c r="AI43" s="1368"/>
      <c r="AJ43" s="1368"/>
    </row>
    <row r="44" spans="1:37" s="1367" customFormat="1">
      <c r="A44" s="1368"/>
      <c r="B44" s="2861"/>
      <c r="Z44" s="1368"/>
      <c r="AA44" s="1368"/>
      <c r="AB44" s="1368"/>
      <c r="AC44" s="1368"/>
      <c r="AD44" s="1368"/>
      <c r="AE44" s="1368"/>
      <c r="AF44" s="1368"/>
      <c r="AG44" s="1368"/>
      <c r="AH44" s="1368"/>
      <c r="AI44" s="1368"/>
      <c r="AJ44" s="1368"/>
    </row>
    <row r="45" spans="1:37" s="1367" customFormat="1" ht="15.75" thickBot="1">
      <c r="A45" s="2862" t="s">
        <v>2935</v>
      </c>
      <c r="B45" s="2863"/>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5">
      <c r="A46" s="2864" t="s">
        <v>2936</v>
      </c>
      <c r="B46" s="2865">
        <f>1+E48</f>
        <v>1</v>
      </c>
      <c r="C46" s="2866"/>
      <c r="D46" s="811"/>
      <c r="E46" s="812"/>
      <c r="F46" s="2867"/>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4.75">
      <c r="A47" s="2868" t="s">
        <v>2937</v>
      </c>
      <c r="B47" s="1805" t="s">
        <v>2938</v>
      </c>
      <c r="C47" s="1805" t="s">
        <v>2939</v>
      </c>
      <c r="D47" s="1805" t="s">
        <v>2940</v>
      </c>
      <c r="E47" s="816" t="s">
        <v>2941</v>
      </c>
      <c r="F47" s="2869" t="s">
        <v>2942</v>
      </c>
      <c r="G47" s="1805" t="s">
        <v>754</v>
      </c>
      <c r="H47" s="2870" t="s">
        <v>2943</v>
      </c>
      <c r="I47" s="1805" t="s">
        <v>2944</v>
      </c>
      <c r="J47" s="601" t="s">
        <v>2593</v>
      </c>
      <c r="K47" s="601" t="s">
        <v>2594</v>
      </c>
      <c r="L47" s="601" t="s">
        <v>2595</v>
      </c>
      <c r="M47" s="601" t="s">
        <v>2596</v>
      </c>
      <c r="N47" s="601" t="s">
        <v>2597</v>
      </c>
      <c r="AA47" s="1368"/>
      <c r="AB47" s="1368"/>
      <c r="AC47" s="1368"/>
      <c r="AD47" s="1368"/>
      <c r="AE47" s="1368"/>
      <c r="AF47" s="1368"/>
      <c r="AG47" s="1368"/>
      <c r="AH47" s="1368"/>
      <c r="AI47" s="1368"/>
      <c r="AJ47" s="1368"/>
      <c r="AK47" s="1368"/>
    </row>
    <row r="48" spans="1:37" s="1367" customFormat="1" ht="38.25">
      <c r="A48" s="2868" t="s">
        <v>2945</v>
      </c>
      <c r="B48" s="2871" t="str">
        <f>估价对象房地状况!C4</f>
        <v>估价对象位于XX商圈，周边商业氛围成熟，人流量大，商业繁华度好</v>
      </c>
      <c r="C48" s="2768"/>
      <c r="D48" s="1283">
        <f t="shared" ref="D48:D56" si="10">SUMIF($J$47:$N$47,C48,J48:N48)</f>
        <v>0</v>
      </c>
      <c r="E48" s="818">
        <f>ROUND(SUM(D48:D56),4)</f>
        <v>0</v>
      </c>
      <c r="F48" s="249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8" t="s">
        <v>2946</v>
      </c>
      <c r="B49" s="2872" t="str">
        <f>估价对象房地状况!C18</f>
        <v>估价对象周边道路状况、公共交通通达情况、停车便捷程度，综合评价交通便捷度较好</v>
      </c>
      <c r="C49" s="2768"/>
      <c r="D49" s="1283">
        <f t="shared" si="10"/>
        <v>0</v>
      </c>
      <c r="E49" s="819"/>
      <c r="F49" s="249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8" t="s">
        <v>2947</v>
      </c>
      <c r="B50" s="2872">
        <f>估价对象房地状况!C19</f>
        <v>0</v>
      </c>
      <c r="C50" s="2768"/>
      <c r="D50" s="1283">
        <f t="shared" si="10"/>
        <v>0</v>
      </c>
      <c r="E50" s="819"/>
      <c r="F50" s="249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8" t="s">
        <v>2948</v>
      </c>
      <c r="B51" s="2873" t="s">
        <v>2949</v>
      </c>
      <c r="C51" s="2768"/>
      <c r="D51" s="1283">
        <f t="shared" si="10"/>
        <v>0</v>
      </c>
      <c r="E51" s="819"/>
      <c r="F51" s="249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8" t="s">
        <v>2950</v>
      </c>
      <c r="B52" s="2872">
        <f>估价对象房地状况!C24</f>
        <v>0</v>
      </c>
      <c r="C52" s="2768"/>
      <c r="D52" s="1283">
        <f t="shared" si="10"/>
        <v>0</v>
      </c>
      <c r="E52" s="819"/>
      <c r="F52" s="249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8" t="s">
        <v>2951</v>
      </c>
      <c r="B53" s="2874" t="s">
        <v>2952</v>
      </c>
      <c r="C53" s="2768"/>
      <c r="D53" s="1283">
        <f t="shared" si="10"/>
        <v>0</v>
      </c>
      <c r="E53" s="819"/>
      <c r="F53" s="249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5" t="s">
        <v>2953</v>
      </c>
      <c r="B54" s="1721" t="str">
        <f>估价对象房地状况!C21</f>
        <v>估价对象所在区域公共配套设施齐备情况</v>
      </c>
      <c r="C54" s="2768"/>
      <c r="D54" s="1283">
        <f t="shared" si="10"/>
        <v>0</v>
      </c>
      <c r="E54" s="819"/>
      <c r="F54" s="249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5" t="s">
        <v>2954</v>
      </c>
      <c r="B55" s="2872" t="str">
        <f>估价对象房地状况!C22</f>
        <v>估价对象所在区域基础设施水平</v>
      </c>
      <c r="C55" s="2768"/>
      <c r="D55" s="1283">
        <f t="shared" si="10"/>
        <v>0</v>
      </c>
      <c r="E55" s="819"/>
      <c r="F55" s="249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6" t="s">
        <v>2955</v>
      </c>
      <c r="B56" s="2877" t="str">
        <f>估价对象房地状况!C20</f>
        <v>区域自然环境：；人文环境；综合评价环境状况一般</v>
      </c>
      <c r="C56" s="2768"/>
      <c r="D56" s="1283">
        <f t="shared" si="10"/>
        <v>0</v>
      </c>
      <c r="E56" s="822"/>
      <c r="F56" s="249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4" t="s">
        <v>2956</v>
      </c>
      <c r="B57" s="2865">
        <f>1+E59</f>
        <v>1</v>
      </c>
      <c r="C57" s="811"/>
      <c r="D57" s="811"/>
      <c r="E57" s="812"/>
      <c r="F57" s="286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8" t="s">
        <v>2937</v>
      </c>
      <c r="B58" s="1805"/>
      <c r="C58" s="1805" t="s">
        <v>2939</v>
      </c>
      <c r="D58" s="1805" t="s">
        <v>2940</v>
      </c>
      <c r="E58" s="816" t="s">
        <v>2941</v>
      </c>
      <c r="F58" s="2869" t="s">
        <v>2957</v>
      </c>
      <c r="G58" s="1805" t="s">
        <v>754</v>
      </c>
      <c r="H58" s="2870" t="s">
        <v>2943</v>
      </c>
      <c r="I58" s="1805" t="s">
        <v>2944</v>
      </c>
      <c r="J58" s="601" t="s">
        <v>2593</v>
      </c>
      <c r="K58" s="601" t="s">
        <v>2594</v>
      </c>
      <c r="L58" s="601" t="s">
        <v>2595</v>
      </c>
      <c r="M58" s="601" t="s">
        <v>2596</v>
      </c>
      <c r="N58" s="601" t="s">
        <v>2597</v>
      </c>
      <c r="AA58" s="1368"/>
      <c r="AB58" s="1368"/>
      <c r="AC58" s="1368"/>
      <c r="AD58" s="1368"/>
      <c r="AE58" s="1368"/>
      <c r="AF58" s="1368"/>
      <c r="AG58" s="1368"/>
      <c r="AH58" s="1368"/>
      <c r="AI58" s="1368"/>
      <c r="AJ58" s="1368"/>
      <c r="AK58" s="1368"/>
    </row>
    <row r="59" spans="1:37" s="1367" customFormat="1" ht="38.25">
      <c r="A59" s="2868" t="s">
        <v>2958</v>
      </c>
      <c r="B59" s="2871" t="str">
        <f>估价对象房地状况!C17</f>
        <v>估价对象位于XX商圈，周边办公楼项目较多，入驻率高，办公集聚程度较好</v>
      </c>
      <c r="C59" s="2768"/>
      <c r="D59" s="1283">
        <f t="shared" ref="D59:D67" si="15">SUMIF($J$58:$N$58,C59,J59:N59)</f>
        <v>0</v>
      </c>
      <c r="E59" s="818">
        <f>ROUND(SUM(D59:D67),4)</f>
        <v>0</v>
      </c>
      <c r="F59" s="249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8" t="s">
        <v>2946</v>
      </c>
      <c r="B60" s="2872" t="str">
        <f>估价对象房地状况!C18</f>
        <v>估价对象周边道路状况、公共交通通达情况、停车便捷程度，综合评价交通便捷度较好</v>
      </c>
      <c r="C60" s="2768"/>
      <c r="D60" s="1283">
        <f t="shared" si="15"/>
        <v>0</v>
      </c>
      <c r="E60" s="819"/>
      <c r="F60" s="249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8" t="s">
        <v>2947</v>
      </c>
      <c r="B61" s="2872">
        <f>估价对象房地状况!C19</f>
        <v>0</v>
      </c>
      <c r="C61" s="2768"/>
      <c r="D61" s="1283">
        <f t="shared" si="15"/>
        <v>0</v>
      </c>
      <c r="E61" s="819"/>
      <c r="F61" s="249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8" t="s">
        <v>2948</v>
      </c>
      <c r="B62" s="2873" t="s">
        <v>2949</v>
      </c>
      <c r="C62" s="2768"/>
      <c r="D62" s="1283">
        <f t="shared" si="15"/>
        <v>0</v>
      </c>
      <c r="E62" s="819"/>
      <c r="F62" s="249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8" t="s">
        <v>2950</v>
      </c>
      <c r="B63" s="2872">
        <f>估价对象房地状况!C24</f>
        <v>0</v>
      </c>
      <c r="C63" s="2768"/>
      <c r="D63" s="1283">
        <f t="shared" si="15"/>
        <v>0</v>
      </c>
      <c r="E63" s="819"/>
      <c r="F63" s="249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8" t="s">
        <v>2951</v>
      </c>
      <c r="B64" s="2874" t="s">
        <v>2952</v>
      </c>
      <c r="C64" s="2768"/>
      <c r="D64" s="1283">
        <f t="shared" si="15"/>
        <v>0</v>
      </c>
      <c r="E64" s="819"/>
      <c r="F64" s="249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8" t="s">
        <v>2953</v>
      </c>
      <c r="B65" s="1721" t="str">
        <f>估价对象房地状况!C21</f>
        <v>估价对象所在区域公共配套设施齐备情况</v>
      </c>
      <c r="C65" s="2768"/>
      <c r="D65" s="1283">
        <f t="shared" si="15"/>
        <v>0</v>
      </c>
      <c r="E65" s="819"/>
      <c r="F65" s="249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8" t="s">
        <v>2954</v>
      </c>
      <c r="B66" s="1721" t="str">
        <f>估价对象房地状况!C22</f>
        <v>估价对象所在区域基础设施水平</v>
      </c>
      <c r="C66" s="2768"/>
      <c r="D66" s="1283">
        <f t="shared" si="15"/>
        <v>0</v>
      </c>
      <c r="E66" s="819"/>
      <c r="F66" s="249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6" t="s">
        <v>2955</v>
      </c>
      <c r="B67" s="2878" t="str">
        <f>估价对象房地状况!C20</f>
        <v>区域自然环境：；人文环境；综合评价环境状况一般</v>
      </c>
      <c r="C67" s="2768"/>
      <c r="D67" s="1283">
        <f t="shared" si="15"/>
        <v>0</v>
      </c>
      <c r="E67" s="822"/>
      <c r="F67" s="249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4" t="s">
        <v>2959</v>
      </c>
      <c r="B68" s="2865">
        <f>1+E70</f>
        <v>1</v>
      </c>
      <c r="C68" s="811"/>
      <c r="D68" s="811"/>
      <c r="E68" s="812"/>
      <c r="F68" s="286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8" t="s">
        <v>2937</v>
      </c>
      <c r="B69" s="1805"/>
      <c r="C69" s="1805" t="s">
        <v>2939</v>
      </c>
      <c r="D69" s="1805" t="s">
        <v>2940</v>
      </c>
      <c r="E69" s="816" t="s">
        <v>2941</v>
      </c>
      <c r="F69" s="2869" t="s">
        <v>2957</v>
      </c>
      <c r="G69" s="1805" t="s">
        <v>754</v>
      </c>
      <c r="H69" s="2870" t="s">
        <v>2943</v>
      </c>
      <c r="I69" s="1805" t="s">
        <v>2944</v>
      </c>
      <c r="J69" s="601" t="s">
        <v>2593</v>
      </c>
      <c r="K69" s="601" t="s">
        <v>2594</v>
      </c>
      <c r="L69" s="601" t="s">
        <v>2595</v>
      </c>
      <c r="M69" s="601" t="s">
        <v>2596</v>
      </c>
      <c r="N69" s="601" t="s">
        <v>2597</v>
      </c>
      <c r="AA69" s="1368"/>
      <c r="AB69" s="1368"/>
      <c r="AC69" s="1368"/>
      <c r="AD69" s="1368"/>
      <c r="AE69" s="1368"/>
      <c r="AF69" s="1368"/>
      <c r="AG69" s="1368"/>
      <c r="AH69" s="1368"/>
      <c r="AI69" s="1368"/>
      <c r="AJ69" s="1368"/>
      <c r="AK69" s="1368"/>
    </row>
    <row r="70" spans="1:37" s="1367" customFormat="1" ht="51">
      <c r="A70" s="2868" t="s">
        <v>2960</v>
      </c>
      <c r="B70" s="2871" t="str">
        <f>估价对象房地状况!C15</f>
        <v>估价对象周边居住用地比例、居住小区规模和社区发展完善程度，综合评价居住社区成熟度一般</v>
      </c>
      <c r="C70" s="2768"/>
      <c r="D70" s="1283">
        <f t="shared" ref="D70:D78" si="20">SUMIF($J$69:$N$69,C70,J70:N70)</f>
        <v>0</v>
      </c>
      <c r="E70" s="818">
        <f>ROUND(SUM(D70:D78),4)</f>
        <v>0</v>
      </c>
      <c r="F70" s="249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8" t="s">
        <v>2946</v>
      </c>
      <c r="B71" s="2872" t="str">
        <f>估价对象房地状况!C18</f>
        <v>估价对象周边道路状况、公共交通通达情况、停车便捷程度，综合评价交通便捷度较好</v>
      </c>
      <c r="C71" s="2768"/>
      <c r="D71" s="1283">
        <f t="shared" si="20"/>
        <v>0</v>
      </c>
      <c r="E71" s="823"/>
      <c r="F71" s="249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8" t="s">
        <v>2947</v>
      </c>
      <c r="B72" s="2872">
        <f>估价对象房地状况!C19</f>
        <v>0</v>
      </c>
      <c r="C72" s="2768"/>
      <c r="D72" s="1283">
        <f t="shared" si="20"/>
        <v>0</v>
      </c>
      <c r="E72" s="823"/>
      <c r="F72" s="249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8" t="s">
        <v>2961</v>
      </c>
      <c r="B73" s="2872">
        <f>估价对象房地状况!C24</f>
        <v>0</v>
      </c>
      <c r="C73" s="2768"/>
      <c r="D73" s="1283">
        <f t="shared" si="20"/>
        <v>0</v>
      </c>
      <c r="E73" s="823"/>
      <c r="F73" s="249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8" t="s">
        <v>2953</v>
      </c>
      <c r="B74" s="1721" t="str">
        <f>估价对象房地状况!C21</f>
        <v>估价对象所在区域公共配套设施齐备情况</v>
      </c>
      <c r="C74" s="2768"/>
      <c r="D74" s="1283">
        <f t="shared" si="20"/>
        <v>0</v>
      </c>
      <c r="E74" s="823"/>
      <c r="F74" s="249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8" t="s">
        <v>2954</v>
      </c>
      <c r="B75" s="1721" t="str">
        <f>估价对象房地状况!C22</f>
        <v>估价对象所在区域基础设施水平</v>
      </c>
      <c r="C75" s="2768"/>
      <c r="D75" s="1283">
        <f t="shared" si="20"/>
        <v>0</v>
      </c>
      <c r="E75" s="823"/>
      <c r="F75" s="249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24">
      <c r="A76" s="2868" t="s">
        <v>2951</v>
      </c>
      <c r="B76" s="2874" t="s">
        <v>2952</v>
      </c>
      <c r="C76" s="2768"/>
      <c r="D76" s="1283">
        <f t="shared" si="20"/>
        <v>0</v>
      </c>
      <c r="E76" s="823"/>
      <c r="F76" s="2499"/>
      <c r="G76" s="1281"/>
      <c r="H76" s="1285" t="str">
        <f t="shared" si="21"/>
        <v>——</v>
      </c>
      <c r="I76" s="817">
        <v>0.05</v>
      </c>
      <c r="J76" s="1282">
        <f t="shared" si="22"/>
        <v>0</v>
      </c>
      <c r="K76" s="1282">
        <f t="shared" si="23"/>
        <v>0</v>
      </c>
      <c r="L76" s="1282">
        <v>0</v>
      </c>
      <c r="M76" s="1282">
        <f t="shared" si="24"/>
        <v>0</v>
      </c>
      <c r="N76" s="1282">
        <f t="shared" si="24"/>
        <v>0</v>
      </c>
      <c r="AA76" s="2879"/>
      <c r="AB76" s="1368"/>
      <c r="AC76" s="1368"/>
      <c r="AD76" s="1368"/>
      <c r="AE76" s="1368"/>
      <c r="AF76" s="1368"/>
      <c r="AG76" s="1368"/>
      <c r="AH76" s="2879"/>
      <c r="AI76" s="2879"/>
      <c r="AJ76" s="2879"/>
      <c r="AK76" s="2879"/>
    </row>
    <row r="77" spans="1:37" ht="38.25">
      <c r="A77" s="2868" t="s">
        <v>2955</v>
      </c>
      <c r="B77" s="2871" t="str">
        <f>估价对象房地状况!C20</f>
        <v>区域自然环境：；人文环境；综合评价环境状况一般</v>
      </c>
      <c r="C77" s="2768"/>
      <c r="D77" s="1283">
        <f t="shared" si="20"/>
        <v>0</v>
      </c>
      <c r="E77" s="823"/>
      <c r="F77" s="2499"/>
      <c r="G77" s="1281"/>
      <c r="H77" s="1285" t="str">
        <f t="shared" si="21"/>
        <v>——</v>
      </c>
      <c r="I77" s="817">
        <v>0.15</v>
      </c>
      <c r="J77" s="1282">
        <f t="shared" si="22"/>
        <v>0</v>
      </c>
      <c r="K77" s="1282">
        <f t="shared" si="23"/>
        <v>0</v>
      </c>
      <c r="L77" s="1282">
        <v>0</v>
      </c>
      <c r="M77" s="1282">
        <f t="shared" si="24"/>
        <v>0</v>
      </c>
      <c r="N77" s="1282">
        <f t="shared" si="24"/>
        <v>0</v>
      </c>
      <c r="Z77" s="2718"/>
      <c r="AA77" s="2786"/>
      <c r="AG77" s="1369"/>
      <c r="AK77" s="2786"/>
    </row>
    <row r="78" spans="1:37" ht="24.75" thickBot="1">
      <c r="A78" s="2876" t="s">
        <v>2962</v>
      </c>
      <c r="B78" s="2880"/>
      <c r="C78" s="2768"/>
      <c r="D78" s="1283">
        <f t="shared" si="20"/>
        <v>0</v>
      </c>
      <c r="E78" s="824"/>
      <c r="F78" s="2499"/>
      <c r="G78" s="1281"/>
      <c r="H78" s="1285" t="str">
        <f t="shared" si="21"/>
        <v>——</v>
      </c>
      <c r="I78" s="821">
        <v>0.04</v>
      </c>
      <c r="J78" s="1282">
        <f t="shared" si="22"/>
        <v>0</v>
      </c>
      <c r="K78" s="1282">
        <f t="shared" si="23"/>
        <v>0</v>
      </c>
      <c r="L78" s="1282">
        <v>0</v>
      </c>
      <c r="M78" s="1282">
        <f t="shared" si="24"/>
        <v>0</v>
      </c>
      <c r="N78" s="1282">
        <f t="shared" si="24"/>
        <v>0</v>
      </c>
      <c r="Z78" s="2718"/>
      <c r="AA78" s="2786"/>
      <c r="AG78" s="1369"/>
      <c r="AK78" s="2786"/>
    </row>
    <row r="79" spans="1:37" ht="15">
      <c r="A79" s="2864" t="s">
        <v>2963</v>
      </c>
      <c r="B79" s="2865">
        <f>1+E81</f>
        <v>1</v>
      </c>
      <c r="C79" s="811"/>
      <c r="D79" s="811"/>
      <c r="E79" s="812"/>
      <c r="F79" s="2867"/>
      <c r="G79" s="6"/>
      <c r="H79" s="6"/>
      <c r="I79" s="6"/>
      <c r="J79" s="7"/>
      <c r="K79" s="7"/>
      <c r="L79" s="7"/>
      <c r="M79" s="7"/>
      <c r="N79" s="7"/>
      <c r="Z79" s="2718"/>
      <c r="AA79" s="2786"/>
      <c r="AG79" s="1369"/>
      <c r="AK79" s="2786"/>
    </row>
    <row r="80" spans="1:37" ht="24.75">
      <c r="A80" s="2868" t="s">
        <v>2937</v>
      </c>
      <c r="B80" s="1805"/>
      <c r="C80" s="1805" t="s">
        <v>2939</v>
      </c>
      <c r="D80" s="1805" t="s">
        <v>2940</v>
      </c>
      <c r="E80" s="816" t="s">
        <v>2941</v>
      </c>
      <c r="F80" s="2869" t="s">
        <v>2957</v>
      </c>
      <c r="G80" s="1805" t="s">
        <v>754</v>
      </c>
      <c r="H80" s="2870" t="s">
        <v>2943</v>
      </c>
      <c r="I80" s="1805" t="s">
        <v>2944</v>
      </c>
      <c r="J80" s="601" t="s">
        <v>2593</v>
      </c>
      <c r="K80" s="601" t="s">
        <v>2594</v>
      </c>
      <c r="L80" s="601" t="s">
        <v>2595</v>
      </c>
      <c r="M80" s="601" t="s">
        <v>2596</v>
      </c>
      <c r="N80" s="601" t="s">
        <v>2597</v>
      </c>
      <c r="Z80" s="2718"/>
      <c r="AA80" s="2786"/>
      <c r="AG80" s="1369"/>
      <c r="AK80" s="2786"/>
    </row>
    <row r="81" spans="1:37" ht="38.25">
      <c r="A81" s="2868" t="s">
        <v>2964</v>
      </c>
      <c r="B81" s="2872" t="str">
        <f>估价对象房地状况!G15</f>
        <v>估价对象位于XX开发区，园区建设成熟度XX，产业集聚程度XX</v>
      </c>
      <c r="C81" s="2768"/>
      <c r="D81" s="1283">
        <f t="shared" ref="D81:D88" si="25">SUMIF($J$80:$N$80,C81,J81:N81)</f>
        <v>0</v>
      </c>
      <c r="E81" s="818">
        <f>ROUND(SUM(D81:D88),4)</f>
        <v>0</v>
      </c>
      <c r="F81" s="249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8"/>
      <c r="AA81" s="2786"/>
      <c r="AG81" s="1369"/>
      <c r="AK81" s="2786"/>
    </row>
    <row r="82" spans="1:37" ht="51">
      <c r="A82" s="2868" t="s">
        <v>2946</v>
      </c>
      <c r="B82" s="2872" t="str">
        <f>估价对象房地状况!G16</f>
        <v>估价对象周边道路状况、公共交通通达情况、停车便捷程度，综合评价交通便捷度较好</v>
      </c>
      <c r="C82" s="2768"/>
      <c r="D82" s="1283">
        <f t="shared" si="25"/>
        <v>0</v>
      </c>
      <c r="E82" s="823"/>
      <c r="F82" s="2499"/>
      <c r="G82" s="1281"/>
      <c r="H82" s="1285" t="str">
        <f t="shared" si="26"/>
        <v>——</v>
      </c>
      <c r="I82" s="817">
        <v>0.33</v>
      </c>
      <c r="J82" s="1282">
        <f t="shared" si="27"/>
        <v>0</v>
      </c>
      <c r="K82" s="1282">
        <f t="shared" si="28"/>
        <v>0</v>
      </c>
      <c r="L82" s="1282">
        <v>0</v>
      </c>
      <c r="M82" s="1282">
        <f t="shared" si="29"/>
        <v>0</v>
      </c>
      <c r="N82" s="1282">
        <f t="shared" si="29"/>
        <v>0</v>
      </c>
      <c r="Z82" s="2718"/>
      <c r="AA82" s="2786"/>
      <c r="AG82" s="1369"/>
      <c r="AK82" s="2786"/>
    </row>
    <row r="83" spans="1:37" ht="24">
      <c r="A83" s="2868" t="s">
        <v>2947</v>
      </c>
      <c r="B83" s="2872">
        <f>估价对象房地状况!G17</f>
        <v>0</v>
      </c>
      <c r="C83" s="2768"/>
      <c r="D83" s="1283">
        <f t="shared" si="25"/>
        <v>0</v>
      </c>
      <c r="E83" s="823"/>
      <c r="F83" s="2499"/>
      <c r="G83" s="1281"/>
      <c r="H83" s="1285" t="str">
        <f t="shared" si="26"/>
        <v>——</v>
      </c>
      <c r="I83" s="817">
        <v>0.05</v>
      </c>
      <c r="J83" s="1282">
        <f t="shared" si="27"/>
        <v>0</v>
      </c>
      <c r="K83" s="1282">
        <f t="shared" si="28"/>
        <v>0</v>
      </c>
      <c r="L83" s="1282">
        <v>0</v>
      </c>
      <c r="M83" s="1282">
        <f t="shared" si="29"/>
        <v>0</v>
      </c>
      <c r="N83" s="1282">
        <f t="shared" si="29"/>
        <v>0</v>
      </c>
      <c r="Z83" s="2718"/>
      <c r="AA83" s="2786"/>
      <c r="AG83" s="1369"/>
      <c r="AK83" s="2786"/>
    </row>
    <row r="84" spans="1:37" ht="14.25">
      <c r="A84" s="2868" t="s">
        <v>2961</v>
      </c>
      <c r="B84" s="2872">
        <f>估价对象房地状况!G22</f>
        <v>0</v>
      </c>
      <c r="C84" s="2768"/>
      <c r="D84" s="1283">
        <f t="shared" si="25"/>
        <v>0</v>
      </c>
      <c r="E84" s="823"/>
      <c r="F84" s="2499"/>
      <c r="G84" s="1281"/>
      <c r="H84" s="1285" t="str">
        <f t="shared" si="26"/>
        <v>——</v>
      </c>
      <c r="I84" s="817">
        <v>0.04</v>
      </c>
      <c r="J84" s="1282">
        <f t="shared" si="27"/>
        <v>0</v>
      </c>
      <c r="K84" s="1282">
        <f t="shared" si="28"/>
        <v>0</v>
      </c>
      <c r="L84" s="1282">
        <v>0</v>
      </c>
      <c r="M84" s="1282">
        <f t="shared" si="29"/>
        <v>0</v>
      </c>
      <c r="N84" s="1282">
        <f t="shared" si="29"/>
        <v>0</v>
      </c>
      <c r="Z84" s="2718"/>
      <c r="AA84" s="2786"/>
      <c r="AG84" s="1369"/>
      <c r="AK84" s="2786"/>
    </row>
    <row r="85" spans="1:37" ht="25.5">
      <c r="A85" s="2868" t="s">
        <v>2953</v>
      </c>
      <c r="B85" s="1721" t="str">
        <f>估价对象房地状况!G19</f>
        <v>估价对象所在区域公共配套设施齐备情况</v>
      </c>
      <c r="C85" s="2768"/>
      <c r="D85" s="1283">
        <f t="shared" si="25"/>
        <v>0</v>
      </c>
      <c r="E85" s="823"/>
      <c r="F85" s="2499"/>
      <c r="G85" s="1281"/>
      <c r="H85" s="1285" t="str">
        <f t="shared" si="26"/>
        <v>——</v>
      </c>
      <c r="I85" s="817">
        <v>0.06</v>
      </c>
      <c r="J85" s="1282">
        <f t="shared" si="27"/>
        <v>0</v>
      </c>
      <c r="K85" s="1282">
        <f t="shared" si="28"/>
        <v>0</v>
      </c>
      <c r="L85" s="1282">
        <v>0</v>
      </c>
      <c r="M85" s="1282">
        <f t="shared" si="29"/>
        <v>0</v>
      </c>
      <c r="N85" s="1282">
        <f t="shared" si="29"/>
        <v>0</v>
      </c>
      <c r="Z85" s="2718"/>
      <c r="AA85" s="2786"/>
      <c r="AG85" s="1369"/>
      <c r="AK85" s="2786"/>
    </row>
    <row r="86" spans="1:37" ht="25.5">
      <c r="A86" s="2868" t="s">
        <v>2954</v>
      </c>
      <c r="B86" s="1721" t="str">
        <f>估价对象房地状况!G20</f>
        <v>估价对象所在区域基础设施水平</v>
      </c>
      <c r="C86" s="2768"/>
      <c r="D86" s="1283">
        <f t="shared" si="25"/>
        <v>0</v>
      </c>
      <c r="E86" s="823"/>
      <c r="F86" s="2499"/>
      <c r="G86" s="1281"/>
      <c r="H86" s="1285" t="str">
        <f t="shared" si="26"/>
        <v>——</v>
      </c>
      <c r="I86" s="817">
        <v>0.15</v>
      </c>
      <c r="J86" s="1282">
        <f t="shared" si="27"/>
        <v>0</v>
      </c>
      <c r="K86" s="1282">
        <f t="shared" si="28"/>
        <v>0</v>
      </c>
      <c r="L86" s="1282">
        <v>0</v>
      </c>
      <c r="M86" s="1282">
        <f t="shared" si="29"/>
        <v>0</v>
      </c>
      <c r="N86" s="1282">
        <f t="shared" si="29"/>
        <v>0</v>
      </c>
      <c r="Z86" s="2718"/>
      <c r="AA86" s="2786"/>
      <c r="AG86" s="1369"/>
      <c r="AK86" s="2786"/>
    </row>
    <row r="87" spans="1:37" ht="24">
      <c r="A87" s="2868" t="s">
        <v>2951</v>
      </c>
      <c r="B87" s="2874" t="s">
        <v>2965</v>
      </c>
      <c r="C87" s="2768"/>
      <c r="D87" s="1283">
        <f t="shared" si="25"/>
        <v>0</v>
      </c>
      <c r="E87" s="823"/>
      <c r="F87" s="2499"/>
      <c r="G87" s="1281"/>
      <c r="H87" s="1285" t="str">
        <f t="shared" si="26"/>
        <v>——</v>
      </c>
      <c r="I87" s="817">
        <v>0.05</v>
      </c>
      <c r="J87" s="1282">
        <f t="shared" si="27"/>
        <v>0</v>
      </c>
      <c r="K87" s="1282">
        <f t="shared" si="28"/>
        <v>0</v>
      </c>
      <c r="L87" s="1282">
        <v>0</v>
      </c>
      <c r="M87" s="1282">
        <f t="shared" si="29"/>
        <v>0</v>
      </c>
      <c r="N87" s="1282">
        <f t="shared" si="29"/>
        <v>0</v>
      </c>
      <c r="Z87" s="2718"/>
      <c r="AA87" s="2786"/>
      <c r="AG87" s="1369"/>
      <c r="AK87" s="2786"/>
    </row>
    <row r="88" spans="1:37" ht="39" thickBot="1">
      <c r="A88" s="2876" t="s">
        <v>2966</v>
      </c>
      <c r="B88" s="2881" t="str">
        <f>估价对象房地状况!G18</f>
        <v>该园区内是否有污染型企业，绿化情况，卫生条件，整体环境状况判断</v>
      </c>
      <c r="C88" s="2768"/>
      <c r="D88" s="1283">
        <f t="shared" si="25"/>
        <v>0</v>
      </c>
      <c r="E88" s="824"/>
      <c r="F88" s="2499"/>
      <c r="G88" s="1281"/>
      <c r="H88" s="1285" t="str">
        <f t="shared" si="26"/>
        <v>——</v>
      </c>
      <c r="I88" s="821">
        <v>0.06</v>
      </c>
      <c r="J88" s="1282">
        <f t="shared" si="27"/>
        <v>0</v>
      </c>
      <c r="K88" s="1282">
        <f t="shared" si="28"/>
        <v>0</v>
      </c>
      <c r="L88" s="1282">
        <v>0</v>
      </c>
      <c r="M88" s="1282">
        <f t="shared" si="29"/>
        <v>0</v>
      </c>
      <c r="N88" s="1282">
        <f t="shared" si="29"/>
        <v>0</v>
      </c>
      <c r="Z88" s="2718"/>
      <c r="AA88" s="2786"/>
      <c r="AG88" s="1369"/>
      <c r="AK88" s="2786"/>
    </row>
    <row r="90" spans="1:37">
      <c r="A90" s="3339" t="s">
        <v>2967</v>
      </c>
      <c r="B90" s="3339"/>
      <c r="C90" s="3339"/>
      <c r="D90" s="3339"/>
      <c r="E90" s="3339"/>
      <c r="F90" s="3339"/>
      <c r="G90" s="3339"/>
      <c r="H90" s="3339"/>
      <c r="I90" s="3339"/>
      <c r="J90" s="3339"/>
      <c r="K90" s="2882"/>
      <c r="L90" s="2882"/>
      <c r="M90" s="2882"/>
      <c r="N90" s="2882"/>
    </row>
    <row r="91" spans="1:37">
      <c r="A91" s="3341" t="s">
        <v>2968</v>
      </c>
      <c r="B91" s="3341" t="s">
        <v>2969</v>
      </c>
      <c r="C91" s="2836" t="s">
        <v>2970</v>
      </c>
      <c r="D91" s="2837"/>
      <c r="E91" s="2837"/>
      <c r="F91" s="2837"/>
      <c r="G91" s="2837"/>
      <c r="H91" s="2837"/>
      <c r="I91" s="2837"/>
      <c r="J91" s="2883"/>
      <c r="K91" s="2884"/>
      <c r="L91" s="2884"/>
      <c r="M91" s="2884"/>
      <c r="N91" s="2884"/>
    </row>
    <row r="92" spans="1:37">
      <c r="A92" s="3341"/>
      <c r="B92" s="3341"/>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42"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4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4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4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4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4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43"/>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4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42" t="s">
        <v>2972</v>
      </c>
      <c r="B101" s="2889" t="s">
        <v>2973</v>
      </c>
      <c r="C101" s="2890">
        <f>$G$3</f>
        <v>0.85</v>
      </c>
      <c r="D101" s="2890">
        <f t="shared" ref="D101:N101" si="31">$G$3</f>
        <v>0.85</v>
      </c>
      <c r="E101" s="2890">
        <f t="shared" si="31"/>
        <v>0.85</v>
      </c>
      <c r="F101" s="2890">
        <f t="shared" si="31"/>
        <v>0.85</v>
      </c>
      <c r="G101" s="2890">
        <f t="shared" si="31"/>
        <v>0.85</v>
      </c>
      <c r="H101" s="2890">
        <f t="shared" si="31"/>
        <v>0.85</v>
      </c>
      <c r="I101" s="2890">
        <f t="shared" si="31"/>
        <v>0.85</v>
      </c>
      <c r="J101" s="2890">
        <f t="shared" si="31"/>
        <v>0.85</v>
      </c>
      <c r="K101" s="2890">
        <f t="shared" si="31"/>
        <v>0.85</v>
      </c>
      <c r="L101" s="2890">
        <f t="shared" si="31"/>
        <v>0.85</v>
      </c>
      <c r="M101" s="2890">
        <f t="shared" si="31"/>
        <v>0.85</v>
      </c>
      <c r="N101" s="2890">
        <f t="shared" si="31"/>
        <v>0.85</v>
      </c>
    </row>
    <row r="102" spans="1:14">
      <c r="A102" s="3343"/>
      <c r="B102" s="2885">
        <v>1</v>
      </c>
      <c r="C102" s="2886">
        <f>1.9362/C101</f>
        <v>2.2778823529411762</v>
      </c>
      <c r="D102" s="2886">
        <f>1.9362/D101</f>
        <v>2.2778823529411762</v>
      </c>
      <c r="E102" s="2886">
        <f>1.8629/E101</f>
        <v>2.1916470588235293</v>
      </c>
      <c r="F102" s="2886">
        <f>1.8629/F101</f>
        <v>2.1916470588235293</v>
      </c>
      <c r="G102" s="2886">
        <f>1.8629/G101</f>
        <v>2.1916470588235293</v>
      </c>
      <c r="H102" s="2886">
        <f>1.8629/H101</f>
        <v>2.1916470588235293</v>
      </c>
      <c r="I102" s="2886">
        <f>1.8629/I101</f>
        <v>2.1916470588235293</v>
      </c>
      <c r="J102" s="2886">
        <f>1.942/J101</f>
        <v>2.2847058823529411</v>
      </c>
      <c r="K102" s="2886">
        <f>1.942/K101</f>
        <v>2.2847058823529411</v>
      </c>
      <c r="L102" s="2886">
        <f>1.942/L101</f>
        <v>2.2847058823529411</v>
      </c>
      <c r="M102" s="2886">
        <f>1.942/M101</f>
        <v>2.2847058823529411</v>
      </c>
      <c r="N102" s="2886">
        <f>1.942/N101</f>
        <v>2.2847058823529411</v>
      </c>
    </row>
    <row r="103" spans="1:14">
      <c r="A103" s="3343"/>
      <c r="B103" s="2885">
        <v>2</v>
      </c>
      <c r="C103" s="2886">
        <f>1.4198/C101</f>
        <v>1.6703529411764706</v>
      </c>
      <c r="D103" s="2886">
        <f>1.4198/D101</f>
        <v>1.6703529411764706</v>
      </c>
      <c r="E103" s="2886">
        <f>1.3372/E101</f>
        <v>1.5731764705882352</v>
      </c>
      <c r="F103" s="2886">
        <f>1.3372/F101</f>
        <v>1.5731764705882352</v>
      </c>
      <c r="G103" s="2886">
        <f>1.3372/G101</f>
        <v>1.5731764705882352</v>
      </c>
      <c r="H103" s="2886">
        <f>1.3372/H101</f>
        <v>1.5731764705882352</v>
      </c>
      <c r="I103" s="2886">
        <f>1.3372/I101</f>
        <v>1.5731764705882352</v>
      </c>
      <c r="J103" s="2886">
        <f>1.2799/J101</f>
        <v>1.5057647058823531</v>
      </c>
      <c r="K103" s="2886">
        <f>1.2799/K101</f>
        <v>1.5057647058823531</v>
      </c>
      <c r="L103" s="2886">
        <f>1.2799/L101</f>
        <v>1.5057647058823531</v>
      </c>
      <c r="M103" s="2886">
        <f>1.2799/M101</f>
        <v>1.5057647058823531</v>
      </c>
      <c r="N103" s="2886">
        <f>1.2799/N101</f>
        <v>1.5057647058823531</v>
      </c>
    </row>
    <row r="104" spans="1:14">
      <c r="A104" s="3343"/>
      <c r="B104" s="2885">
        <v>3</v>
      </c>
      <c r="C104" s="2886">
        <f>1.1594/C101</f>
        <v>1.3640000000000001</v>
      </c>
      <c r="D104" s="2886">
        <f>1.1594/D101</f>
        <v>1.3640000000000001</v>
      </c>
      <c r="E104" s="2886">
        <f>1.0788/E101</f>
        <v>1.2691764705882354</v>
      </c>
      <c r="F104" s="2886">
        <f>1.0788/F101</f>
        <v>1.2691764705882354</v>
      </c>
      <c r="G104" s="2886">
        <f>1.0788/G101</f>
        <v>1.2691764705882354</v>
      </c>
      <c r="H104" s="2886">
        <f>1.0788/H101</f>
        <v>1.2691764705882354</v>
      </c>
      <c r="I104" s="2886">
        <f>1.0788/I101</f>
        <v>1.2691764705882354</v>
      </c>
      <c r="J104" s="2886">
        <f>1.0072/J101</f>
        <v>1.1849411764705884</v>
      </c>
      <c r="K104" s="2886">
        <f>1.0072/K101</f>
        <v>1.1849411764705884</v>
      </c>
      <c r="L104" s="2886">
        <f>1.0072/L101</f>
        <v>1.1849411764705884</v>
      </c>
      <c r="M104" s="2886">
        <f>1.0072/M101</f>
        <v>1.1849411764705884</v>
      </c>
      <c r="N104" s="2886">
        <f>1.0072/N101</f>
        <v>1.1849411764705884</v>
      </c>
    </row>
    <row r="105" spans="1:14">
      <c r="A105" s="3343"/>
      <c r="B105" s="2885">
        <v>4</v>
      </c>
      <c r="C105" s="2886">
        <f>0.9622/C101</f>
        <v>1.1320000000000001</v>
      </c>
      <c r="D105" s="2886">
        <f>0.9622/D101</f>
        <v>1.1320000000000001</v>
      </c>
      <c r="E105" s="2886">
        <f>0.8656/E101</f>
        <v>1.0183529411764707</v>
      </c>
      <c r="F105" s="2886">
        <f>0.8656/F101</f>
        <v>1.0183529411764707</v>
      </c>
      <c r="G105" s="2886">
        <f>0.8656/G101</f>
        <v>1.0183529411764707</v>
      </c>
      <c r="H105" s="2886">
        <f>0.8656/H101</f>
        <v>1.0183529411764707</v>
      </c>
      <c r="I105" s="2886">
        <f>0.8656/I101</f>
        <v>1.0183529411764707</v>
      </c>
      <c r="J105" s="2886">
        <f>0.7525/J101</f>
        <v>0.88529411764705879</v>
      </c>
      <c r="K105" s="2886">
        <f>0.7525/K101</f>
        <v>0.88529411764705879</v>
      </c>
      <c r="L105" s="2886">
        <f>0.7525/L101</f>
        <v>0.88529411764705879</v>
      </c>
      <c r="M105" s="2886">
        <f>0.7525/M101</f>
        <v>0.88529411764705879</v>
      </c>
      <c r="N105" s="2886">
        <f>0.7525/N101</f>
        <v>0.88529411764705879</v>
      </c>
    </row>
    <row r="106" spans="1:14">
      <c r="A106" s="3343"/>
      <c r="B106" s="2885">
        <v>5</v>
      </c>
      <c r="C106" s="2886">
        <f>0.8417/C101</f>
        <v>0.9902352941176471</v>
      </c>
      <c r="D106" s="2886">
        <f>0.8417/D101</f>
        <v>0.9902352941176471</v>
      </c>
      <c r="E106" s="2886">
        <f>0.7371/E101</f>
        <v>0.86717647058823533</v>
      </c>
      <c r="F106" s="2886">
        <f>0.7371/F101</f>
        <v>0.86717647058823533</v>
      </c>
      <c r="G106" s="2886">
        <f>0.7371/G101</f>
        <v>0.86717647058823533</v>
      </c>
      <c r="H106" s="2886">
        <f>0.7371/H101</f>
        <v>0.86717647058823533</v>
      </c>
      <c r="I106" s="2886">
        <f>0.7371/I101</f>
        <v>0.86717647058823533</v>
      </c>
      <c r="J106" s="2886">
        <f>0.5659/J101</f>
        <v>0.66576470588235293</v>
      </c>
      <c r="K106" s="2886">
        <f>0.5659/K101</f>
        <v>0.66576470588235293</v>
      </c>
      <c r="L106" s="2886">
        <f>0.5659/L101</f>
        <v>0.66576470588235293</v>
      </c>
      <c r="M106" s="2886">
        <f>0.5659/M101</f>
        <v>0.66576470588235293</v>
      </c>
      <c r="N106" s="2886">
        <f>0.5659/N101</f>
        <v>0.66576470588235293</v>
      </c>
    </row>
    <row r="107" spans="1:14">
      <c r="A107" s="3343"/>
      <c r="B107" s="2885">
        <v>6</v>
      </c>
      <c r="C107" s="2886">
        <f>0.7608/C101</f>
        <v>0.8950588235294118</v>
      </c>
      <c r="D107" s="2886">
        <f>0.7608/D101</f>
        <v>0.8950588235294118</v>
      </c>
      <c r="E107" s="2886">
        <f>0.6482/E101</f>
        <v>0.76258823529411768</v>
      </c>
      <c r="F107" s="2886">
        <f>0.6482/F101</f>
        <v>0.76258823529411768</v>
      </c>
      <c r="G107" s="2886">
        <f>0.6482/G101</f>
        <v>0.76258823529411768</v>
      </c>
      <c r="H107" s="2886">
        <f>0.6482/H101</f>
        <v>0.76258823529411768</v>
      </c>
      <c r="I107" s="2886">
        <f>0.6482/I101</f>
        <v>0.76258823529411768</v>
      </c>
      <c r="J107" s="2886">
        <f>0.4525/J101</f>
        <v>0.53235294117647058</v>
      </c>
      <c r="K107" s="2886">
        <f>0.4525/K101</f>
        <v>0.53235294117647058</v>
      </c>
      <c r="L107" s="2886">
        <f>0.4525/L101</f>
        <v>0.53235294117647058</v>
      </c>
      <c r="M107" s="2886">
        <f>0.4525/M101</f>
        <v>0.53235294117647058</v>
      </c>
      <c r="N107" s="2886">
        <f>0.4525/N101</f>
        <v>0.53235294117647058</v>
      </c>
    </row>
    <row r="108" spans="1:14">
      <c r="A108" s="3343"/>
      <c r="B108" s="3171"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44"/>
      <c r="B109" s="3172"/>
      <c r="C109" s="2888">
        <f>(-0.163*(C108^2)-0.59*C108+7617)*(10^(-4))/C101</f>
        <v>0.89611764705882357</v>
      </c>
      <c r="D109" s="2888">
        <f>(-0.163*(D108^2)-0.59*D108+7617)*(10^(-4))/D101</f>
        <v>0.89611764705882357</v>
      </c>
      <c r="E109" s="2888">
        <f>(-0.161*(E108^2)-7.509*E108+6533)*(10^(-4))/E101</f>
        <v>0.76858823529411768</v>
      </c>
      <c r="F109" s="2888">
        <f>(-0.161*(F108^2)-7.509*F108+6533)*(10^(-4))/F101</f>
        <v>0.76858823529411768</v>
      </c>
      <c r="G109" s="2888">
        <f>(-0.161*(G108^2)-7.509*G108+6533)*(10^(-4))/G101</f>
        <v>0.76858823529411768</v>
      </c>
      <c r="H109" s="2888">
        <f>(-0.161*(H108^2)-7.509*H108+6533)*(10^(-4))/H101</f>
        <v>0.76858823529411768</v>
      </c>
      <c r="I109" s="2888">
        <f>(-0.161*(I108^2)-7.509*I108+6533)*(10^(-4))/I101</f>
        <v>0.76858823529411768</v>
      </c>
      <c r="J109" s="2888">
        <f>(-0.214*(J108^2)-21.991*J108+4665)*(10^(-4))/J101</f>
        <v>0.54882352941176471</v>
      </c>
      <c r="K109" s="2888">
        <f>(-0.214*(K108^2)-21.991*K108+4665)*(10^(-4))/K101</f>
        <v>0.54882352941176471</v>
      </c>
      <c r="L109" s="2888">
        <f>(-0.214*(L108^2)-21.991*L108+4665)*(10^(-4))/L101</f>
        <v>0.54882352941176471</v>
      </c>
      <c r="M109" s="2888">
        <f>(-0.214*(M108^2)-21.991*M108+4665)*(10^(-4))/M101</f>
        <v>0.54882352941176471</v>
      </c>
      <c r="N109" s="2888">
        <f>(-0.214*(N108^2)-21.991*N108+4665)*(10^(-4))/N101</f>
        <v>0.54882352941176471</v>
      </c>
    </row>
    <row r="110" spans="1:14">
      <c r="A110" s="3340" t="s">
        <v>2975</v>
      </c>
      <c r="B110" s="3340"/>
      <c r="C110" s="3340"/>
      <c r="D110" s="3340"/>
      <c r="E110" s="3340"/>
      <c r="F110" s="3340"/>
      <c r="G110" s="3340"/>
      <c r="H110" s="3340"/>
      <c r="I110" s="3340"/>
      <c r="J110" s="3340"/>
      <c r="K110" s="2891"/>
      <c r="L110" s="2891"/>
      <c r="M110" s="2891"/>
      <c r="N110" s="2891"/>
    </row>
    <row r="112" spans="1:14" ht="13.5" thickBot="1"/>
    <row r="113" spans="1:13" ht="15.75" thickBot="1">
      <c r="A113" s="900" t="s">
        <v>2976</v>
      </c>
      <c r="B113" s="1284">
        <f>G3</f>
        <v>0.85</v>
      </c>
      <c r="C113" s="901" t="s">
        <v>2977</v>
      </c>
      <c r="D113" s="902">
        <f>SUMPRODUCT((A115:A118=F113)*(B114:M114=H113)*B115:M118)</f>
        <v>0</v>
      </c>
      <c r="E113" s="2722" t="s">
        <v>2809</v>
      </c>
      <c r="F113" s="2893">
        <f>E2</f>
        <v>0</v>
      </c>
      <c r="G113" s="2722" t="s">
        <v>2810</v>
      </c>
      <c r="H113" s="2893">
        <f>G2</f>
        <v>0</v>
      </c>
      <c r="I113" s="2722"/>
      <c r="J113" s="2894"/>
      <c r="K113" s="2894"/>
      <c r="L113" s="2894"/>
      <c r="M113" s="2894"/>
    </row>
    <row r="114" spans="1:13">
      <c r="A114" s="905"/>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6" t="s">
        <v>2874</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2875</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2876</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2" t="s">
        <v>2877</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125" style="1955" customWidth="1"/>
    <col min="3" max="3" width="11.375" style="1955" customWidth="1"/>
    <col min="4" max="4" width="31.875" style="1955" customWidth="1"/>
    <col min="5" max="5" width="0.5" style="1955" customWidth="1"/>
    <col min="6" max="7" width="13" style="1955" customWidth="1"/>
    <col min="8" max="16384" width="9" style="1955"/>
  </cols>
  <sheetData>
    <row r="1" spans="1:5" ht="18.75">
      <c r="A1" s="1953" t="s">
        <v>1615</v>
      </c>
      <c r="B1" s="1954"/>
      <c r="C1" s="1954"/>
      <c r="D1" s="1954"/>
      <c r="E1" s="1954"/>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56"/>
      <c r="B4" s="3029" t="s">
        <v>1624</v>
      </c>
      <c r="C4" s="3029"/>
      <c r="D4" s="3029"/>
      <c r="E4" s="1956"/>
    </row>
    <row r="5" spans="1:5" ht="16.5" thickTop="1">
      <c r="A5" s="1954"/>
      <c r="B5" s="3027" t="s">
        <v>1616</v>
      </c>
      <c r="C5" s="1957" t="s">
        <v>1617</v>
      </c>
      <c r="D5" s="1037">
        <f ca="1">结果表!H101</f>
        <v>258405</v>
      </c>
      <c r="E5" s="1954"/>
    </row>
    <row r="6" spans="1:5" ht="15.75">
      <c r="A6" s="1954"/>
      <c r="B6" s="3027"/>
      <c r="C6" s="1957" t="s">
        <v>1618</v>
      </c>
      <c r="D6" s="1037" t="str">
        <f ca="1">NUMBERSTRING(INT(D5*10000),2)&amp;"元整"</f>
        <v>贰拾伍亿捌仟肆佰零伍万元整</v>
      </c>
      <c r="E6" s="1954"/>
    </row>
    <row r="7" spans="1:5" ht="15.75">
      <c r="A7" s="1954"/>
      <c r="B7" s="3032"/>
      <c r="C7" s="1958" t="s">
        <v>1619</v>
      </c>
      <c r="D7" s="1038">
        <f ca="1">结果表!H102</f>
        <v>11807</v>
      </c>
      <c r="E7" s="1954"/>
    </row>
    <row r="8" spans="1:5" ht="15.75">
      <c r="A8" s="1954"/>
      <c r="B8" s="3033" t="str">
        <f>结果表!E103</f>
        <v>2.估价师知悉的法定优先受偿款</v>
      </c>
      <c r="C8" s="1959" t="s">
        <v>1620</v>
      </c>
      <c r="D8" s="1038">
        <f>结果表!H103</f>
        <v>64576</v>
      </c>
      <c r="E8" s="1954"/>
    </row>
    <row r="9" spans="1:5" ht="15.75">
      <c r="A9" s="1954"/>
      <c r="B9" s="3035"/>
      <c r="C9" s="1957" t="s">
        <v>1618</v>
      </c>
      <c r="D9" s="1037" t="str">
        <f>NUMBERSTRING(INT(D8*10000),2)&amp;"元整"</f>
        <v>陆亿肆仟伍佰柒拾陆万元整</v>
      </c>
      <c r="E9" s="1954"/>
    </row>
    <row r="10" spans="1:5" ht="15">
      <c r="A10" s="1954"/>
      <c r="B10" s="1960" t="s">
        <v>1623</v>
      </c>
      <c r="C10" s="1961" t="s">
        <v>1621</v>
      </c>
      <c r="D10" s="1039">
        <f>结果表!H104</f>
        <v>0</v>
      </c>
      <c r="E10" s="1954"/>
    </row>
    <row r="11" spans="1:5" ht="15">
      <c r="A11" s="1954"/>
      <c r="B11" s="1960" t="s">
        <v>1625</v>
      </c>
      <c r="C11" s="1961" t="s">
        <v>1626</v>
      </c>
      <c r="D11" s="1039">
        <f>结果表!H105</f>
        <v>24981</v>
      </c>
      <c r="E11" s="1954"/>
    </row>
    <row r="12" spans="1:5" ht="15">
      <c r="A12" s="1954"/>
      <c r="B12" s="1960" t="s">
        <v>1627</v>
      </c>
      <c r="C12" s="1961" t="s">
        <v>1626</v>
      </c>
      <c r="D12" s="1039">
        <f>结果表!H106</f>
        <v>39595</v>
      </c>
      <c r="E12" s="1954"/>
    </row>
    <row r="13" spans="1:5" ht="15.75">
      <c r="A13" s="1954"/>
      <c r="B13" s="3026" t="str">
        <f>结果表!E107</f>
        <v>3.房地产抵押价值</v>
      </c>
      <c r="C13" s="1962" t="s">
        <v>1617</v>
      </c>
      <c r="D13" s="1040">
        <f ca="1">结果表!H107</f>
        <v>193829</v>
      </c>
      <c r="E13" s="1954"/>
    </row>
    <row r="14" spans="1:5" ht="15.75">
      <c r="A14" s="1954"/>
      <c r="B14" s="3027"/>
      <c r="C14" s="1957" t="s">
        <v>1618</v>
      </c>
      <c r="D14" s="1037" t="str">
        <f ca="1">NUMBERSTRING(INT(D13*10000),2)&amp;"元整"</f>
        <v>壹拾玖亿叁仟捌佰贰拾玖万元整</v>
      </c>
      <c r="E14" s="1954"/>
    </row>
    <row r="15" spans="1:5" ht="15">
      <c r="A15" s="1954"/>
      <c r="B15" s="3032"/>
      <c r="C15" s="1958" t="s">
        <v>1628</v>
      </c>
      <c r="D15" s="1049">
        <f ca="1">结果表!H108</f>
        <v>8856</v>
      </c>
      <c r="E15" s="1954"/>
    </row>
    <row r="16" spans="1:5" ht="15">
      <c r="A16" s="1954"/>
      <c r="B16" s="3033" t="str">
        <f>结果表!E109</f>
        <v>——</v>
      </c>
      <c r="C16" s="1962" t="s">
        <v>1629</v>
      </c>
      <c r="D16" s="1963" t="str">
        <f>结果表!H109</f>
        <v>——</v>
      </c>
      <c r="E16" s="1954"/>
    </row>
    <row r="17" spans="1:5" ht="15.75">
      <c r="A17" s="1954"/>
      <c r="B17" s="3034"/>
      <c r="C17" s="1957" t="s">
        <v>1630</v>
      </c>
      <c r="D17" s="1037" t="e">
        <f>NUMBERSTRING(INT(D16*10000),2)&amp;"元整"</f>
        <v>#VALUE!</v>
      </c>
      <c r="E17" s="1954"/>
    </row>
    <row r="18" spans="1:5" ht="15">
      <c r="A18" s="1954"/>
      <c r="B18" s="3035"/>
      <c r="C18" s="1958" t="s">
        <v>1619</v>
      </c>
      <c r="D18" s="1049" t="str">
        <f>结果表!H110</f>
        <v>——</v>
      </c>
      <c r="E18" s="1954"/>
    </row>
    <row r="19" spans="1:5" ht="15.75">
      <c r="A19" s="1954"/>
      <c r="B19" s="3026" t="str">
        <f>结果表!E111</f>
        <v>——</v>
      </c>
      <c r="C19" s="1962" t="s">
        <v>1617</v>
      </c>
      <c r="D19" s="1038" t="str">
        <f>结果表!H111</f>
        <v>——</v>
      </c>
      <c r="E19" s="1954"/>
    </row>
    <row r="20" spans="1:5" ht="15.75">
      <c r="A20" s="1954"/>
      <c r="B20" s="3027"/>
      <c r="C20" s="1957" t="s">
        <v>1630</v>
      </c>
      <c r="D20" s="1037" t="e">
        <f>NUMBERSTRING(INT(D19*10000),2)&amp;"元整"</f>
        <v>#VALUE!</v>
      </c>
      <c r="E20" s="1954"/>
    </row>
    <row r="21" spans="1:5" ht="15.75" thickBot="1">
      <c r="A21" s="1954"/>
      <c r="B21" s="3028"/>
      <c r="C21" s="1964" t="s">
        <v>1628</v>
      </c>
      <c r="D21" s="1050" t="str">
        <f>结果表!H112</f>
        <v>——</v>
      </c>
      <c r="E21" s="1954"/>
    </row>
    <row r="22" spans="1:5" ht="15" thickTop="1">
      <c r="A22" s="1954"/>
      <c r="B22" s="1965" t="s">
        <v>1631</v>
      </c>
      <c r="C22" s="1954"/>
      <c r="D22" s="1954"/>
      <c r="E22" s="1954"/>
    </row>
    <row r="23" spans="1:5">
      <c r="A23" s="1954"/>
      <c r="B23" s="1954"/>
      <c r="C23" s="1954"/>
      <c r="D23" s="1954"/>
      <c r="E23" s="1954"/>
    </row>
    <row r="24" spans="1:5" ht="18.75">
      <c r="A24" s="1966"/>
      <c r="B24" s="1967" t="s">
        <v>1622</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3" customWidth="1"/>
    <col min="2" max="9" width="8.125" style="875" customWidth="1"/>
    <col min="10" max="13" width="8.125" style="813"/>
    <col min="14" max="14" width="10" style="813" customWidth="1"/>
    <col min="15" max="16" width="8.125" style="813"/>
    <col min="17" max="17" width="34.125" style="813" customWidth="1"/>
    <col min="18" max="18" width="8.125" style="813" customWidth="1"/>
    <col min="19" max="19" width="8.125" style="813"/>
    <col min="20" max="20" width="11.625" style="813" customWidth="1"/>
    <col min="21" max="16384" width="8.1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60" t="s">
        <v>183</v>
      </c>
      <c r="B18" s="879" t="s">
        <v>560</v>
      </c>
      <c r="C18" s="880" t="s">
        <v>561</v>
      </c>
      <c r="D18" s="881"/>
      <c r="E18" s="879">
        <v>1</v>
      </c>
      <c r="F18" s="882" t="s">
        <v>562</v>
      </c>
      <c r="G18" s="883"/>
      <c r="H18" s="875"/>
      <c r="I18" s="875"/>
    </row>
    <row r="19" spans="1:9" s="884" customFormat="1" ht="19.5" customHeight="1">
      <c r="A19" s="3360"/>
      <c r="B19" s="3360" t="s">
        <v>563</v>
      </c>
      <c r="C19" s="880" t="s">
        <v>564</v>
      </c>
      <c r="D19" s="881"/>
      <c r="E19" s="879">
        <v>0.9</v>
      </c>
      <c r="F19" s="882" t="s">
        <v>565</v>
      </c>
      <c r="G19" s="883"/>
      <c r="H19" s="875"/>
      <c r="I19" s="875"/>
    </row>
    <row r="20" spans="1:9" s="884" customFormat="1" ht="19.5" customHeight="1">
      <c r="A20" s="3360"/>
      <c r="B20" s="3360"/>
      <c r="C20" s="880" t="s">
        <v>566</v>
      </c>
      <c r="D20" s="881"/>
      <c r="E20" s="879">
        <v>1.1000000000000001</v>
      </c>
      <c r="F20" s="882" t="s">
        <v>567</v>
      </c>
      <c r="G20" s="883"/>
      <c r="H20" s="875"/>
      <c r="I20" s="875"/>
    </row>
    <row r="21" spans="1:9" s="884" customFormat="1" ht="19.5" customHeight="1">
      <c r="A21" s="3360"/>
      <c r="B21" s="3360"/>
      <c r="C21" s="880" t="s">
        <v>568</v>
      </c>
      <c r="D21" s="881"/>
      <c r="E21" s="879">
        <v>0.8</v>
      </c>
      <c r="F21" s="882" t="s">
        <v>569</v>
      </c>
      <c r="G21" s="883"/>
      <c r="H21" s="875"/>
      <c r="I21" s="875"/>
    </row>
    <row r="22" spans="1:9" s="884" customFormat="1" ht="19.5" customHeight="1">
      <c r="A22" s="3360"/>
      <c r="B22" s="3360"/>
      <c r="C22" s="880" t="s">
        <v>570</v>
      </c>
      <c r="D22" s="881"/>
      <c r="E22" s="879">
        <v>0.5</v>
      </c>
      <c r="F22" s="882"/>
      <c r="G22" s="883"/>
      <c r="H22" s="875"/>
      <c r="I22" s="875"/>
    </row>
    <row r="23" spans="1:9" s="884" customFormat="1" ht="19.5" customHeight="1">
      <c r="A23" s="3360" t="s">
        <v>184</v>
      </c>
      <c r="B23" s="879" t="s">
        <v>560</v>
      </c>
      <c r="C23" s="880" t="s">
        <v>571</v>
      </c>
      <c r="D23" s="881"/>
      <c r="E23" s="879">
        <v>1</v>
      </c>
      <c r="F23" s="882" t="s">
        <v>572</v>
      </c>
      <c r="G23" s="883"/>
      <c r="H23" s="875"/>
      <c r="I23" s="875"/>
    </row>
    <row r="24" spans="1:9" s="884" customFormat="1" ht="19.5" customHeight="1">
      <c r="A24" s="3360"/>
      <c r="B24" s="3360" t="s">
        <v>563</v>
      </c>
      <c r="C24" s="880" t="s">
        <v>573</v>
      </c>
      <c r="D24" s="881"/>
      <c r="E24" s="879">
        <v>0.5</v>
      </c>
      <c r="F24" s="882"/>
      <c r="G24" s="883"/>
      <c r="H24" s="875"/>
      <c r="I24" s="875"/>
    </row>
    <row r="25" spans="1:9" s="884" customFormat="1" ht="19.5" customHeight="1">
      <c r="A25" s="3360"/>
      <c r="B25" s="3360"/>
      <c r="C25" s="880" t="s">
        <v>574</v>
      </c>
      <c r="D25" s="881"/>
      <c r="E25" s="879">
        <v>1.1000000000000001</v>
      </c>
      <c r="F25" s="882"/>
      <c r="G25" s="883"/>
      <c r="H25" s="875"/>
      <c r="I25" s="875"/>
    </row>
    <row r="26" spans="1:9" s="884" customFormat="1" ht="19.5" customHeight="1">
      <c r="A26" s="3360"/>
      <c r="B26" s="3360"/>
      <c r="C26" s="880" t="s">
        <v>575</v>
      </c>
      <c r="D26" s="881"/>
      <c r="E26" s="879">
        <v>1.1000000000000001</v>
      </c>
      <c r="F26" s="882"/>
      <c r="G26" s="883"/>
      <c r="H26" s="875"/>
      <c r="I26" s="875"/>
    </row>
    <row r="27" spans="1:9" s="884" customFormat="1" ht="19.5" customHeight="1">
      <c r="A27" s="3360"/>
      <c r="B27" s="3360"/>
      <c r="C27" s="880" t="s">
        <v>576</v>
      </c>
      <c r="D27" s="881"/>
      <c r="E27" s="879">
        <v>0.9</v>
      </c>
      <c r="F27" s="882" t="s">
        <v>577</v>
      </c>
      <c r="G27" s="883"/>
      <c r="H27" s="875"/>
      <c r="I27" s="875"/>
    </row>
    <row r="28" spans="1:9" s="884" customFormat="1" ht="19.5" customHeight="1">
      <c r="A28" s="3360"/>
      <c r="B28" s="3360"/>
      <c r="C28" s="880" t="s">
        <v>578</v>
      </c>
      <c r="D28" s="881"/>
      <c r="E28" s="879">
        <v>0.9</v>
      </c>
      <c r="F28" s="882" t="s">
        <v>579</v>
      </c>
      <c r="G28" s="883"/>
      <c r="H28" s="875"/>
      <c r="I28" s="875"/>
    </row>
    <row r="29" spans="1:9" s="884" customFormat="1" ht="19.5" customHeight="1">
      <c r="A29" s="3360"/>
      <c r="B29" s="3360"/>
      <c r="C29" s="880" t="s">
        <v>580</v>
      </c>
      <c r="D29" s="881"/>
      <c r="E29" s="879">
        <v>0.9</v>
      </c>
      <c r="F29" s="882" t="s">
        <v>581</v>
      </c>
      <c r="G29" s="883"/>
      <c r="H29" s="875"/>
      <c r="I29" s="875"/>
    </row>
    <row r="30" spans="1:9" s="884" customFormat="1" ht="19.5" customHeight="1">
      <c r="A30" s="3360"/>
      <c r="B30" s="3360"/>
      <c r="C30" s="880" t="s">
        <v>582</v>
      </c>
      <c r="D30" s="881"/>
      <c r="E30" s="879">
        <v>0.9</v>
      </c>
      <c r="F30" s="882" t="s">
        <v>583</v>
      </c>
      <c r="G30" s="883"/>
      <c r="H30" s="875"/>
      <c r="I30" s="875"/>
    </row>
    <row r="31" spans="1:9" s="884" customFormat="1" ht="19.5" customHeight="1">
      <c r="A31" s="3360"/>
      <c r="B31" s="3360"/>
      <c r="C31" s="880" t="s">
        <v>584</v>
      </c>
      <c r="D31" s="881"/>
      <c r="E31" s="879">
        <v>0.8</v>
      </c>
      <c r="F31" s="882" t="s">
        <v>585</v>
      </c>
      <c r="G31" s="883"/>
      <c r="H31" s="875"/>
      <c r="I31" s="875"/>
    </row>
    <row r="32" spans="1:9" s="884" customFormat="1" ht="19.5" customHeight="1">
      <c r="A32" s="3360"/>
      <c r="B32" s="3360"/>
      <c r="C32" s="880" t="s">
        <v>586</v>
      </c>
      <c r="D32" s="881"/>
      <c r="E32" s="879">
        <v>0.8</v>
      </c>
      <c r="F32" s="882" t="s">
        <v>587</v>
      </c>
      <c r="G32" s="883"/>
      <c r="H32" s="875"/>
      <c r="I32" s="875"/>
    </row>
    <row r="33" spans="1:9" s="884" customFormat="1" ht="19.5" customHeight="1">
      <c r="A33" s="3360" t="s">
        <v>185</v>
      </c>
      <c r="B33" s="879" t="s">
        <v>560</v>
      </c>
      <c r="C33" s="880" t="s">
        <v>588</v>
      </c>
      <c r="D33" s="881"/>
      <c r="E33" s="879">
        <v>1</v>
      </c>
      <c r="F33" s="882" t="s">
        <v>589</v>
      </c>
      <c r="G33" s="883"/>
      <c r="H33" s="875"/>
      <c r="I33" s="875"/>
    </row>
    <row r="34" spans="1:9" s="884" customFormat="1" ht="19.5" customHeight="1">
      <c r="A34" s="3360"/>
      <c r="B34" s="879" t="s">
        <v>563</v>
      </c>
      <c r="C34" s="880" t="s">
        <v>590</v>
      </c>
      <c r="D34" s="881"/>
      <c r="E34" s="879">
        <v>1.5</v>
      </c>
      <c r="F34" s="882" t="s">
        <v>591</v>
      </c>
      <c r="G34" s="883"/>
      <c r="H34" s="875"/>
      <c r="I34" s="875"/>
    </row>
    <row r="35" spans="1:9" s="884" customFormat="1" ht="19.5" customHeight="1">
      <c r="A35" s="3360" t="s">
        <v>186</v>
      </c>
      <c r="B35" s="879" t="s">
        <v>560</v>
      </c>
      <c r="C35" s="880" t="s">
        <v>592</v>
      </c>
      <c r="D35" s="881"/>
      <c r="E35" s="879">
        <v>1</v>
      </c>
      <c r="F35" s="882" t="s">
        <v>593</v>
      </c>
      <c r="G35" s="883"/>
      <c r="H35" s="875"/>
      <c r="I35" s="875"/>
    </row>
    <row r="36" spans="1:9" s="884" customFormat="1" ht="19.5" customHeight="1">
      <c r="A36" s="3360"/>
      <c r="B36" s="3360" t="s">
        <v>563</v>
      </c>
      <c r="C36" s="880" t="s">
        <v>594</v>
      </c>
      <c r="D36" s="881"/>
      <c r="E36" s="879">
        <v>1</v>
      </c>
      <c r="F36" s="882" t="s">
        <v>595</v>
      </c>
      <c r="G36" s="883"/>
      <c r="H36" s="875"/>
      <c r="I36" s="875"/>
    </row>
    <row r="37" spans="1:9" s="884" customFormat="1" ht="19.5" customHeight="1">
      <c r="A37" s="3360"/>
      <c r="B37" s="3360"/>
      <c r="C37" s="880" t="s">
        <v>596</v>
      </c>
      <c r="D37" s="881"/>
      <c r="E37" s="879">
        <v>1.5</v>
      </c>
      <c r="F37" s="882" t="s">
        <v>597</v>
      </c>
      <c r="G37" s="883"/>
      <c r="H37" s="875"/>
      <c r="I37" s="875"/>
    </row>
    <row r="38" spans="1:9" s="884" customFormat="1" ht="19.5" customHeight="1">
      <c r="A38" s="3360"/>
      <c r="B38" s="3360"/>
      <c r="C38" s="880" t="s">
        <v>598</v>
      </c>
      <c r="D38" s="881"/>
      <c r="E38" s="879">
        <v>1</v>
      </c>
      <c r="F38" s="882" t="s">
        <v>599</v>
      </c>
      <c r="G38" s="883"/>
      <c r="H38" s="875"/>
      <c r="I38" s="875"/>
    </row>
    <row r="39" spans="1:9" s="884" customFormat="1" ht="19.5" customHeight="1">
      <c r="A39" s="3360"/>
      <c r="B39" s="336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60" t="s">
        <v>614</v>
      </c>
      <c r="C61" s="815" t="s">
        <v>615</v>
      </c>
      <c r="D61" s="815" t="s">
        <v>616</v>
      </c>
      <c r="E61" s="892">
        <v>0.5</v>
      </c>
      <c r="F61" s="879">
        <v>80</v>
      </c>
    </row>
    <row r="62" spans="1:8" s="875" customFormat="1" ht="24">
      <c r="A62" s="879">
        <v>2</v>
      </c>
      <c r="B62" s="3360"/>
      <c r="C62" s="815" t="s">
        <v>617</v>
      </c>
      <c r="D62" s="815" t="s">
        <v>618</v>
      </c>
      <c r="E62" s="892">
        <v>0.5</v>
      </c>
      <c r="F62" s="879">
        <v>80</v>
      </c>
    </row>
    <row r="63" spans="1:8" s="875" customFormat="1" ht="36">
      <c r="A63" s="879">
        <v>3</v>
      </c>
      <c r="B63" s="3360"/>
      <c r="C63" s="815" t="s">
        <v>619</v>
      </c>
      <c r="D63" s="815" t="s">
        <v>620</v>
      </c>
      <c r="E63" s="892">
        <v>0.5</v>
      </c>
      <c r="F63" s="879">
        <v>80</v>
      </c>
    </row>
    <row r="64" spans="1:8" s="875" customFormat="1" ht="36">
      <c r="A64" s="879">
        <v>4</v>
      </c>
      <c r="B64" s="3360"/>
      <c r="C64" s="815" t="s">
        <v>621</v>
      </c>
      <c r="D64" s="815" t="s">
        <v>622</v>
      </c>
      <c r="E64" s="892">
        <v>0.4</v>
      </c>
      <c r="F64" s="879">
        <v>60</v>
      </c>
    </row>
    <row r="65" spans="1:6" s="875" customFormat="1" ht="36">
      <c r="A65" s="879">
        <v>5</v>
      </c>
      <c r="B65" s="3360"/>
      <c r="C65" s="815" t="s">
        <v>623</v>
      </c>
      <c r="D65" s="815" t="s">
        <v>624</v>
      </c>
      <c r="E65" s="892">
        <v>0.2</v>
      </c>
      <c r="F65" s="879">
        <v>30</v>
      </c>
    </row>
    <row r="66" spans="1:6" s="875" customFormat="1" ht="36">
      <c r="A66" s="879">
        <v>6</v>
      </c>
      <c r="B66" s="3360"/>
      <c r="C66" s="815" t="s">
        <v>625</v>
      </c>
      <c r="D66" s="815" t="s">
        <v>626</v>
      </c>
      <c r="E66" s="892">
        <v>0.3</v>
      </c>
      <c r="F66" s="879">
        <v>50</v>
      </c>
    </row>
    <row r="67" spans="1:6" s="875" customFormat="1" ht="36">
      <c r="A67" s="879">
        <v>7</v>
      </c>
      <c r="B67" s="3360"/>
      <c r="C67" s="815" t="s">
        <v>627</v>
      </c>
      <c r="D67" s="815" t="s">
        <v>628</v>
      </c>
      <c r="E67" s="892">
        <v>0.2</v>
      </c>
      <c r="F67" s="879">
        <v>30</v>
      </c>
    </row>
    <row r="68" spans="1:6" s="875" customFormat="1" ht="36">
      <c r="A68" s="879">
        <v>8</v>
      </c>
      <c r="B68" s="3360"/>
      <c r="C68" s="815" t="s">
        <v>629</v>
      </c>
      <c r="D68" s="815" t="s">
        <v>630</v>
      </c>
      <c r="E68" s="892">
        <v>0.2</v>
      </c>
      <c r="F68" s="879">
        <v>30</v>
      </c>
    </row>
    <row r="69" spans="1:6" s="875" customFormat="1" ht="36">
      <c r="A69" s="879">
        <v>9</v>
      </c>
      <c r="B69" s="3360"/>
      <c r="C69" s="815" t="s">
        <v>631</v>
      </c>
      <c r="D69" s="815" t="s">
        <v>632</v>
      </c>
      <c r="E69" s="892">
        <v>0.2</v>
      </c>
      <c r="F69" s="879">
        <v>30</v>
      </c>
    </row>
    <row r="70" spans="1:6" s="875" customFormat="1" ht="48">
      <c r="A70" s="879">
        <v>10</v>
      </c>
      <c r="B70" s="3360"/>
      <c r="C70" s="815" t="s">
        <v>633</v>
      </c>
      <c r="D70" s="815" t="s">
        <v>634</v>
      </c>
      <c r="E70" s="892">
        <v>0.2</v>
      </c>
      <c r="F70" s="879">
        <v>30</v>
      </c>
    </row>
    <row r="71" spans="1:6" s="875" customFormat="1" ht="48">
      <c r="A71" s="879">
        <v>11</v>
      </c>
      <c r="B71" s="3360"/>
      <c r="C71" s="815" t="s">
        <v>635</v>
      </c>
      <c r="D71" s="815" t="s">
        <v>636</v>
      </c>
      <c r="E71" s="892">
        <v>0.2</v>
      </c>
      <c r="F71" s="879">
        <v>30</v>
      </c>
    </row>
    <row r="72" spans="1:6" s="875" customFormat="1" ht="36">
      <c r="A72" s="879">
        <v>12</v>
      </c>
      <c r="B72" s="3360"/>
      <c r="C72" s="815" t="s">
        <v>637</v>
      </c>
      <c r="D72" s="815" t="s">
        <v>638</v>
      </c>
      <c r="E72" s="892">
        <v>0.5</v>
      </c>
      <c r="F72" s="879">
        <v>80</v>
      </c>
    </row>
    <row r="73" spans="1:6" s="875" customFormat="1" ht="24">
      <c r="A73" s="879">
        <v>13</v>
      </c>
      <c r="B73" s="3360"/>
      <c r="C73" s="815" t="s">
        <v>639</v>
      </c>
      <c r="D73" s="815" t="s">
        <v>640</v>
      </c>
      <c r="E73" s="892">
        <v>0.4</v>
      </c>
      <c r="F73" s="879">
        <v>60</v>
      </c>
    </row>
    <row r="74" spans="1:6" s="875" customFormat="1" ht="24">
      <c r="A74" s="879">
        <v>14</v>
      </c>
      <c r="B74" s="3360"/>
      <c r="C74" s="815" t="s">
        <v>641</v>
      </c>
      <c r="D74" s="815" t="s">
        <v>642</v>
      </c>
      <c r="E74" s="892">
        <v>0.2</v>
      </c>
      <c r="F74" s="879">
        <v>30</v>
      </c>
    </row>
    <row r="75" spans="1:6" s="875" customFormat="1" ht="24">
      <c r="A75" s="879">
        <v>15</v>
      </c>
      <c r="B75" s="3360"/>
      <c r="C75" s="815" t="s">
        <v>643</v>
      </c>
      <c r="D75" s="815" t="s">
        <v>644</v>
      </c>
      <c r="E75" s="892">
        <v>0.2</v>
      </c>
      <c r="F75" s="879">
        <v>30</v>
      </c>
    </row>
    <row r="76" spans="1:6" s="875" customFormat="1" ht="24">
      <c r="A76" s="879">
        <v>16</v>
      </c>
      <c r="B76" s="3360" t="s">
        <v>645</v>
      </c>
      <c r="C76" s="815" t="s">
        <v>646</v>
      </c>
      <c r="D76" s="815" t="s">
        <v>647</v>
      </c>
      <c r="E76" s="892">
        <v>0.5</v>
      </c>
      <c r="F76" s="879">
        <v>80</v>
      </c>
    </row>
    <row r="77" spans="1:6" s="875" customFormat="1" ht="24">
      <c r="A77" s="879">
        <v>17</v>
      </c>
      <c r="B77" s="3360"/>
      <c r="C77" s="815" t="s">
        <v>648</v>
      </c>
      <c r="D77" s="815" t="s">
        <v>649</v>
      </c>
      <c r="E77" s="892">
        <v>0.5</v>
      </c>
      <c r="F77" s="879">
        <v>80</v>
      </c>
    </row>
    <row r="78" spans="1:6" s="875" customFormat="1" ht="24">
      <c r="A78" s="879">
        <v>18</v>
      </c>
      <c r="B78" s="3360"/>
      <c r="C78" s="815" t="s">
        <v>650</v>
      </c>
      <c r="D78" s="815" t="s">
        <v>651</v>
      </c>
      <c r="E78" s="892">
        <v>0.2</v>
      </c>
      <c r="F78" s="879">
        <v>30</v>
      </c>
    </row>
    <row r="79" spans="1:6" s="875" customFormat="1" ht="24">
      <c r="A79" s="879">
        <v>19</v>
      </c>
      <c r="B79" s="3360"/>
      <c r="C79" s="815" t="s">
        <v>652</v>
      </c>
      <c r="D79" s="815" t="s">
        <v>653</v>
      </c>
      <c r="E79" s="892">
        <v>0.5</v>
      </c>
      <c r="F79" s="879">
        <v>80</v>
      </c>
    </row>
    <row r="80" spans="1:6" s="875" customFormat="1" ht="36">
      <c r="A80" s="879">
        <v>20</v>
      </c>
      <c r="B80" s="3360"/>
      <c r="C80" s="815" t="s">
        <v>654</v>
      </c>
      <c r="D80" s="815" t="s">
        <v>655</v>
      </c>
      <c r="E80" s="892">
        <v>0.2</v>
      </c>
      <c r="F80" s="879">
        <v>30</v>
      </c>
    </row>
    <row r="81" spans="1:6" s="875" customFormat="1" ht="36">
      <c r="A81" s="879">
        <v>21</v>
      </c>
      <c r="B81" s="3360"/>
      <c r="C81" s="815" t="s">
        <v>656</v>
      </c>
      <c r="D81" s="815" t="s">
        <v>657</v>
      </c>
      <c r="E81" s="892">
        <v>0.2</v>
      </c>
      <c r="F81" s="879">
        <v>30</v>
      </c>
    </row>
    <row r="82" spans="1:6" s="875" customFormat="1" ht="48">
      <c r="A82" s="879">
        <v>22</v>
      </c>
      <c r="B82" s="3360"/>
      <c r="C82" s="815" t="s">
        <v>658</v>
      </c>
      <c r="D82" s="815" t="s">
        <v>659</v>
      </c>
      <c r="E82" s="892">
        <v>0.2</v>
      </c>
      <c r="F82" s="879">
        <v>30</v>
      </c>
    </row>
    <row r="83" spans="1:6" s="875" customFormat="1" ht="48">
      <c r="A83" s="879">
        <v>23</v>
      </c>
      <c r="B83" s="3360"/>
      <c r="C83" s="815" t="s">
        <v>660</v>
      </c>
      <c r="D83" s="815" t="s">
        <v>661</v>
      </c>
      <c r="E83" s="892">
        <v>0.2</v>
      </c>
      <c r="F83" s="879">
        <v>30</v>
      </c>
    </row>
    <row r="84" spans="1:6" s="875" customFormat="1" ht="36">
      <c r="A84" s="879">
        <v>24</v>
      </c>
      <c r="B84" s="3360"/>
      <c r="C84" s="815" t="s">
        <v>662</v>
      </c>
      <c r="D84" s="815" t="s">
        <v>663</v>
      </c>
      <c r="E84" s="892">
        <v>0.2</v>
      </c>
      <c r="F84" s="879">
        <v>30</v>
      </c>
    </row>
    <row r="85" spans="1:6" s="875" customFormat="1" ht="36">
      <c r="A85" s="879">
        <v>25</v>
      </c>
      <c r="B85" s="3360"/>
      <c r="C85" s="815" t="s">
        <v>664</v>
      </c>
      <c r="D85" s="815" t="s">
        <v>665</v>
      </c>
      <c r="E85" s="892">
        <v>0.5</v>
      </c>
      <c r="F85" s="879">
        <v>80</v>
      </c>
    </row>
    <row r="86" spans="1:6" s="875" customFormat="1" ht="36">
      <c r="A86" s="879">
        <v>26</v>
      </c>
      <c r="B86" s="3360"/>
      <c r="C86" s="815" t="s">
        <v>666</v>
      </c>
      <c r="D86" s="815" t="s">
        <v>667</v>
      </c>
      <c r="E86" s="892">
        <v>0.2</v>
      </c>
      <c r="F86" s="879">
        <v>30</v>
      </c>
    </row>
    <row r="87" spans="1:6" s="875" customFormat="1" ht="36">
      <c r="A87" s="879">
        <v>27</v>
      </c>
      <c r="B87" s="3360"/>
      <c r="C87" s="815" t="s">
        <v>668</v>
      </c>
      <c r="D87" s="815" t="s">
        <v>669</v>
      </c>
      <c r="E87" s="892">
        <v>0.2</v>
      </c>
      <c r="F87" s="879">
        <v>30</v>
      </c>
    </row>
    <row r="88" spans="1:6" s="875" customFormat="1" ht="36">
      <c r="A88" s="879">
        <v>28</v>
      </c>
      <c r="B88" s="3360"/>
      <c r="C88" s="815" t="s">
        <v>670</v>
      </c>
      <c r="D88" s="815" t="s">
        <v>671</v>
      </c>
      <c r="E88" s="892">
        <v>0.2</v>
      </c>
      <c r="F88" s="879">
        <v>30</v>
      </c>
    </row>
    <row r="89" spans="1:6" s="875" customFormat="1" ht="24">
      <c r="A89" s="879">
        <v>29</v>
      </c>
      <c r="B89" s="3360"/>
      <c r="C89" s="815" t="s">
        <v>672</v>
      </c>
      <c r="D89" s="815" t="s">
        <v>673</v>
      </c>
      <c r="E89" s="892">
        <v>0.2</v>
      </c>
      <c r="F89" s="879">
        <v>30</v>
      </c>
    </row>
    <row r="90" spans="1:6" s="875" customFormat="1" ht="24">
      <c r="A90" s="879">
        <v>30</v>
      </c>
      <c r="B90" s="3360"/>
      <c r="C90" s="815" t="s">
        <v>674</v>
      </c>
      <c r="D90" s="815" t="s">
        <v>675</v>
      </c>
      <c r="E90" s="892">
        <v>0.2</v>
      </c>
      <c r="F90" s="879">
        <v>30</v>
      </c>
    </row>
    <row r="91" spans="1:6" s="875" customFormat="1" ht="36">
      <c r="A91" s="879">
        <v>31</v>
      </c>
      <c r="B91" s="3360"/>
      <c r="C91" s="815" t="s">
        <v>676</v>
      </c>
      <c r="D91" s="815" t="s">
        <v>677</v>
      </c>
      <c r="E91" s="892">
        <v>0.2</v>
      </c>
      <c r="F91" s="879">
        <v>30</v>
      </c>
    </row>
    <row r="92" spans="1:6" s="875" customFormat="1" ht="24">
      <c r="A92" s="879">
        <v>32</v>
      </c>
      <c r="B92" s="3360" t="s">
        <v>678</v>
      </c>
      <c r="C92" s="879" t="s">
        <v>679</v>
      </c>
      <c r="D92" s="815" t="s">
        <v>680</v>
      </c>
      <c r="E92" s="892">
        <v>0.2</v>
      </c>
      <c r="F92" s="879">
        <v>30</v>
      </c>
    </row>
    <row r="93" spans="1:6" s="875" customFormat="1" ht="36">
      <c r="A93" s="879">
        <v>33</v>
      </c>
      <c r="B93" s="3360"/>
      <c r="C93" s="879" t="s">
        <v>681</v>
      </c>
      <c r="D93" s="815" t="s">
        <v>682</v>
      </c>
      <c r="E93" s="892">
        <v>0.2</v>
      </c>
      <c r="F93" s="879">
        <v>30</v>
      </c>
    </row>
    <row r="94" spans="1:6" s="875" customFormat="1" ht="48">
      <c r="A94" s="879">
        <v>34</v>
      </c>
      <c r="B94" s="3360"/>
      <c r="C94" s="879" t="s">
        <v>683</v>
      </c>
      <c r="D94" s="815" t="s">
        <v>684</v>
      </c>
      <c r="E94" s="892">
        <v>0.2</v>
      </c>
      <c r="F94" s="879">
        <v>30</v>
      </c>
    </row>
    <row r="95" spans="1:6" s="875" customFormat="1" ht="36">
      <c r="A95" s="879">
        <v>35</v>
      </c>
      <c r="B95" s="3360"/>
      <c r="C95" s="879" t="s">
        <v>685</v>
      </c>
      <c r="D95" s="815" t="s">
        <v>686</v>
      </c>
      <c r="E95" s="892">
        <v>0.2</v>
      </c>
      <c r="F95" s="879">
        <v>30</v>
      </c>
    </row>
    <row r="96" spans="1:6" s="875" customFormat="1" ht="48">
      <c r="A96" s="879">
        <v>36</v>
      </c>
      <c r="B96" s="3360"/>
      <c r="C96" s="815" t="s">
        <v>687</v>
      </c>
      <c r="D96" s="815" t="s">
        <v>688</v>
      </c>
      <c r="E96" s="892">
        <v>0.2</v>
      </c>
      <c r="F96" s="879">
        <v>30</v>
      </c>
    </row>
    <row r="97" spans="1:6" s="875" customFormat="1" ht="36">
      <c r="A97" s="879">
        <v>37</v>
      </c>
      <c r="B97" s="3360"/>
      <c r="C97" s="879" t="s">
        <v>689</v>
      </c>
      <c r="D97" s="815" t="s">
        <v>690</v>
      </c>
      <c r="E97" s="892">
        <v>0.2</v>
      </c>
      <c r="F97" s="879">
        <v>30</v>
      </c>
    </row>
    <row r="98" spans="1:6" s="875" customFormat="1" ht="36">
      <c r="A98" s="879">
        <v>38</v>
      </c>
      <c r="B98" s="3360"/>
      <c r="C98" s="879" t="s">
        <v>691</v>
      </c>
      <c r="D98" s="815" t="s">
        <v>692</v>
      </c>
      <c r="E98" s="892">
        <v>0.2</v>
      </c>
      <c r="F98" s="879">
        <v>30</v>
      </c>
    </row>
    <row r="99" spans="1:6" s="875" customFormat="1" ht="36">
      <c r="A99" s="879">
        <v>39</v>
      </c>
      <c r="B99" s="3360" t="s">
        <v>693</v>
      </c>
      <c r="C99" s="879" t="s">
        <v>694</v>
      </c>
      <c r="D99" s="815" t="s">
        <v>695</v>
      </c>
      <c r="E99" s="892">
        <v>0.3</v>
      </c>
      <c r="F99" s="879">
        <v>50</v>
      </c>
    </row>
    <row r="100" spans="1:6" s="875" customFormat="1" ht="24">
      <c r="A100" s="879">
        <v>40</v>
      </c>
      <c r="B100" s="3360"/>
      <c r="C100" s="879" t="s">
        <v>696</v>
      </c>
      <c r="D100" s="815" t="s">
        <v>697</v>
      </c>
      <c r="E100" s="892">
        <v>0.2</v>
      </c>
      <c r="F100" s="879">
        <v>30</v>
      </c>
    </row>
    <row r="101" spans="1:6" s="875" customFormat="1" ht="36">
      <c r="A101" s="879">
        <v>41</v>
      </c>
      <c r="B101" s="336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60" t="s">
        <v>708</v>
      </c>
      <c r="C105" s="879" t="s">
        <v>709</v>
      </c>
      <c r="D105" s="815" t="s">
        <v>710</v>
      </c>
      <c r="E105" s="892">
        <v>0.2</v>
      </c>
      <c r="F105" s="879">
        <v>30</v>
      </c>
    </row>
    <row r="106" spans="1:6" s="875" customFormat="1" ht="36">
      <c r="A106" s="879">
        <v>46</v>
      </c>
      <c r="B106" s="3360"/>
      <c r="C106" s="879" t="s">
        <v>711</v>
      </c>
      <c r="D106" s="815" t="s">
        <v>712</v>
      </c>
      <c r="E106" s="892">
        <v>0.2</v>
      </c>
      <c r="F106" s="879">
        <v>30</v>
      </c>
    </row>
    <row r="107" spans="1:6" s="875" customFormat="1" ht="36">
      <c r="A107" s="879">
        <v>47</v>
      </c>
      <c r="B107" s="3360" t="s">
        <v>713</v>
      </c>
      <c r="C107" s="879" t="s">
        <v>714</v>
      </c>
      <c r="D107" s="815" t="s">
        <v>715</v>
      </c>
      <c r="E107" s="892">
        <v>0.3</v>
      </c>
      <c r="F107" s="879">
        <v>50</v>
      </c>
    </row>
    <row r="108" spans="1:6" s="875" customFormat="1" ht="36">
      <c r="A108" s="879">
        <v>48</v>
      </c>
      <c r="B108" s="336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60" t="s">
        <v>724</v>
      </c>
      <c r="C111" s="879" t="s">
        <v>725</v>
      </c>
      <c r="D111" s="815" t="s">
        <v>726</v>
      </c>
      <c r="E111" s="892">
        <v>0.2</v>
      </c>
      <c r="F111" s="879">
        <v>30</v>
      </c>
    </row>
    <row r="112" spans="1:6" s="875" customFormat="1" ht="24">
      <c r="A112" s="879">
        <v>52</v>
      </c>
      <c r="B112" s="3360"/>
      <c r="C112" s="879" t="s">
        <v>727</v>
      </c>
      <c r="D112" s="815" t="s">
        <v>728</v>
      </c>
      <c r="E112" s="892">
        <v>0.2</v>
      </c>
      <c r="F112" s="879">
        <v>30</v>
      </c>
    </row>
    <row r="113" spans="1:6" s="875" customFormat="1" ht="24">
      <c r="A113" s="879">
        <v>53</v>
      </c>
      <c r="B113" s="336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60" t="s">
        <v>737</v>
      </c>
      <c r="C116" s="879" t="s">
        <v>738</v>
      </c>
      <c r="D116" s="815" t="s">
        <v>739</v>
      </c>
      <c r="E116" s="892">
        <v>0.2</v>
      </c>
      <c r="F116" s="879">
        <v>30</v>
      </c>
    </row>
    <row r="117" spans="1:6" ht="36">
      <c r="A117" s="879">
        <v>57</v>
      </c>
      <c r="B117" s="336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2998</v>
      </c>
    </row>
    <row r="2" spans="1:5" ht="15.75">
      <c r="A2" s="2900" t="s">
        <v>2990</v>
      </c>
      <c r="B2" s="2901" t="e">
        <f ca="1">SUMIF(B6:B13,"&lt;&gt;#ref!",B6:B13)</f>
        <v>#DIV/0!</v>
      </c>
      <c r="C2" s="2900" t="s">
        <v>2991</v>
      </c>
      <c r="D2" s="2900" t="s">
        <v>2992</v>
      </c>
      <c r="E2" s="2901">
        <f ca="1">SUMIF(E6:E13,"&lt;&gt;#ref!",E6:E13)</f>
        <v>0</v>
      </c>
    </row>
    <row r="3" spans="1:5" ht="15.75">
      <c r="A3" s="2900" t="s">
        <v>2993</v>
      </c>
      <c r="B3" s="2901" t="e">
        <f ca="1">ROUND(B2*10000/E2,0)</f>
        <v>#DIV/0!</v>
      </c>
      <c r="C3" s="2900" t="s">
        <v>2999</v>
      </c>
      <c r="D3" s="2902"/>
      <c r="E3" s="2902"/>
    </row>
    <row r="4" spans="1:5" ht="15.75">
      <c r="A4" s="2903"/>
      <c r="B4" s="2902"/>
      <c r="C4" s="2902"/>
      <c r="D4" s="2902"/>
      <c r="E4" s="2902"/>
    </row>
    <row r="5" spans="1:5" ht="28.5">
      <c r="A5" s="2904" t="s">
        <v>2994</v>
      </c>
      <c r="B5" s="2900" t="s">
        <v>2995</v>
      </c>
      <c r="C5" s="2901"/>
      <c r="D5" s="2902"/>
      <c r="E5" s="2900" t="s">
        <v>2996</v>
      </c>
    </row>
    <row r="6" spans="1:5" ht="15.75">
      <c r="A6" s="2905" t="s">
        <v>2997</v>
      </c>
      <c r="B6" s="2901" t="e">
        <f ca="1">SUMIF(INDIRECT("'"&amp;A6&amp;"'"&amp;"!A:A"),"总价",INDIRECT("'"&amp;A6&amp;"'"&amp;"!B:B"))</f>
        <v>#DIV/0!</v>
      </c>
      <c r="C6" s="2900" t="s">
        <v>2991</v>
      </c>
      <c r="D6" s="2902"/>
      <c r="E6" s="2573">
        <f ca="1">SUMIF(INDIRECT("'"&amp;A6&amp;"'"&amp;"!C:C"),"建筑面积",INDIRECT("'"&amp;A6&amp;"'"&amp;"!D:D"))</f>
        <v>0</v>
      </c>
    </row>
    <row r="7" spans="1:5" ht="15.75">
      <c r="A7" s="2905"/>
      <c r="B7" s="2901" t="e">
        <f ca="1">SUMIF(INDIRECT("'"&amp;A7&amp;"'"&amp;"!A:A"),"总价",INDIRECT("'"&amp;A7&amp;"'"&amp;"!B:B"))</f>
        <v>#REF!</v>
      </c>
      <c r="C7" s="2900" t="s">
        <v>2991</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2991</v>
      </c>
      <c r="D8" s="2902"/>
      <c r="E8" s="2573" t="e">
        <f t="shared" ca="1" si="0"/>
        <v>#REF!</v>
      </c>
    </row>
    <row r="9" spans="1:5" ht="15.75">
      <c r="A9" s="2905"/>
      <c r="B9" s="2901" t="e">
        <f t="shared" ca="1" si="1"/>
        <v>#REF!</v>
      </c>
      <c r="C9" s="2900" t="s">
        <v>2991</v>
      </c>
      <c r="D9" s="2902"/>
      <c r="E9" s="2573" t="e">
        <f t="shared" ca="1" si="0"/>
        <v>#REF!</v>
      </c>
    </row>
    <row r="10" spans="1:5" ht="15.75">
      <c r="A10" s="2905"/>
      <c r="B10" s="2901" t="e">
        <f t="shared" ca="1" si="1"/>
        <v>#REF!</v>
      </c>
      <c r="C10" s="2900" t="s">
        <v>2991</v>
      </c>
      <c r="D10" s="2902"/>
      <c r="E10" s="2573" t="e">
        <f t="shared" ca="1" si="0"/>
        <v>#REF!</v>
      </c>
    </row>
    <row r="11" spans="1:5" ht="15.75">
      <c r="A11" s="2905"/>
      <c r="B11" s="2901" t="e">
        <f t="shared" ca="1" si="1"/>
        <v>#REF!</v>
      </c>
      <c r="C11" s="2900" t="s">
        <v>2991</v>
      </c>
      <c r="D11" s="2902"/>
      <c r="E11" s="2573" t="e">
        <f t="shared" ca="1" si="0"/>
        <v>#REF!</v>
      </c>
    </row>
    <row r="12" spans="1:5" ht="15.75">
      <c r="A12" s="2905"/>
      <c r="B12" s="2901" t="e">
        <f t="shared" ca="1" si="1"/>
        <v>#REF!</v>
      </c>
      <c r="C12" s="2900" t="s">
        <v>2991</v>
      </c>
      <c r="D12" s="2902"/>
      <c r="E12" s="2573" t="e">
        <f t="shared" ca="1" si="0"/>
        <v>#REF!</v>
      </c>
    </row>
    <row r="13" spans="1:5" ht="15.75">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R43" sqref="R43:W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1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1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66" t="s">
        <v>1145</v>
      </c>
      <c r="C1" s="3366"/>
      <c r="D1" s="3366"/>
      <c r="E1" s="3366"/>
      <c r="F1" s="3366"/>
      <c r="G1" s="3362" t="s">
        <v>1146</v>
      </c>
      <c r="H1" s="3362"/>
      <c r="I1" s="3362"/>
      <c r="J1" s="3362"/>
      <c r="K1" s="3362"/>
      <c r="L1" s="3362"/>
      <c r="N1" s="3362" t="s">
        <v>1147</v>
      </c>
      <c r="O1" s="3362"/>
      <c r="P1" s="3362"/>
      <c r="Q1" s="3362"/>
      <c r="R1" s="1443"/>
      <c r="S1" s="3362" t="s">
        <v>1148</v>
      </c>
      <c r="T1" s="3362"/>
      <c r="U1" s="3362"/>
      <c r="V1" s="3362"/>
      <c r="X1" s="3361" t="s">
        <v>1149</v>
      </c>
      <c r="Y1" s="3362"/>
      <c r="Z1" s="3362"/>
      <c r="AA1" s="3362"/>
      <c r="AB1" s="3362"/>
      <c r="AD1" s="3361" t="s">
        <v>1150</v>
      </c>
      <c r="AE1" s="3362"/>
      <c r="AF1" s="3362"/>
      <c r="AG1" s="3362"/>
      <c r="AH1" s="3362"/>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6" customFormat="1" ht="14.25">
      <c r="A3" s="2925" t="s">
        <v>3033</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3052</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50">
        <v>2020</v>
      </c>
      <c r="H5" s="1726">
        <v>1</v>
      </c>
      <c r="I5" s="2912">
        <v>0</v>
      </c>
      <c r="J5" s="2912">
        <v>0</v>
      </c>
      <c r="K5" s="2912">
        <v>0</v>
      </c>
      <c r="L5" s="2912">
        <v>0</v>
      </c>
      <c r="N5" s="1464">
        <f t="shared" ref="N5" si="7">I5/100</f>
        <v>0</v>
      </c>
      <c r="O5" s="1464">
        <f t="shared" ref="O5" si="8">J5/100</f>
        <v>0</v>
      </c>
      <c r="P5" s="1464">
        <f t="shared" ref="P5" si="9">K5/100</f>
        <v>0</v>
      </c>
      <c r="Q5" s="1464">
        <f t="shared" ref="Q5" si="10">L5/100</f>
        <v>0</v>
      </c>
      <c r="R5" s="1728"/>
      <c r="S5" s="1729"/>
      <c r="T5" s="1728"/>
      <c r="U5" s="1728"/>
      <c r="V5" s="1728"/>
      <c r="W5" s="2915" t="s">
        <v>3034</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3051</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50">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3" customFormat="1" ht="13.5" thickBot="1">
      <c r="A7" s="1458" t="s">
        <v>3047</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9">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3" customFormat="1">
      <c r="A8" s="1458" t="s">
        <v>3045</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45">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3" customFormat="1" ht="13.5" thickBot="1">
      <c r="A9" s="1458" t="s">
        <v>3043</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9">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3" customFormat="1">
      <c r="A10" s="1458" t="s">
        <v>3046</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364">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3" customFormat="1" ht="14.45" customHeight="1">
      <c r="A11" s="1458" t="s">
        <v>3040</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364"/>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3" customFormat="1" ht="14.45" customHeight="1">
      <c r="A12" s="1458" t="s">
        <v>3039</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364"/>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3" customFormat="1" ht="15" customHeight="1" thickBot="1">
      <c r="A13" s="1458" t="s">
        <v>3032</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371"/>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c r="A14" s="1458" t="s">
        <v>3029</v>
      </c>
      <c r="B14" s="1466">
        <v>439</v>
      </c>
      <c r="C14" s="1466">
        <v>327</v>
      </c>
      <c r="D14" s="1466">
        <f>C14</f>
        <v>327</v>
      </c>
      <c r="E14" s="1466">
        <v>627</v>
      </c>
      <c r="F14" s="1467">
        <v>283</v>
      </c>
      <c r="G14" s="3367">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3030</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364"/>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45"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364"/>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0"/>
      <c r="AD16" s="1785">
        <f>ROUND(AVERAGE(I16:I$29)/100,4)</f>
        <v>2.46E-2</v>
      </c>
      <c r="AE16" s="1785">
        <f>ROUND(AVERAGE(J16:J$29)/100,4)</f>
        <v>1.6E-2</v>
      </c>
      <c r="AF16" s="1785">
        <f t="shared" si="1"/>
        <v>1.6E-2</v>
      </c>
      <c r="AG16" s="1785">
        <f>ROUND(AVERAGE(K16:K$29)/100,4)</f>
        <v>2.75E-2</v>
      </c>
      <c r="AH16" s="1785">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371"/>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c r="A18" s="1458" t="s">
        <v>154</v>
      </c>
      <c r="B18" s="1466">
        <v>392</v>
      </c>
      <c r="C18" s="1466">
        <v>302</v>
      </c>
      <c r="D18" s="1466">
        <f>C18</f>
        <v>302</v>
      </c>
      <c r="E18" s="1466">
        <v>553</v>
      </c>
      <c r="F18" s="1467">
        <v>266</v>
      </c>
      <c r="G18" s="3367">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364"/>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364"/>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365"/>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151</v>
      </c>
      <c r="B22" s="1466">
        <v>333</v>
      </c>
      <c r="C22" s="1466">
        <v>277</v>
      </c>
      <c r="D22" s="1466">
        <f t="shared" si="119"/>
        <v>277</v>
      </c>
      <c r="E22" s="1466">
        <v>459</v>
      </c>
      <c r="F22" s="1467">
        <v>249</v>
      </c>
      <c r="G22" s="3363">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364"/>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364"/>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365"/>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147</v>
      </c>
      <c r="B26" s="1487">
        <v>318</v>
      </c>
      <c r="C26" s="1487">
        <v>268</v>
      </c>
      <c r="D26" s="1487">
        <f t="shared" si="119"/>
        <v>268</v>
      </c>
      <c r="E26" s="1487">
        <v>437</v>
      </c>
      <c r="F26" s="1488">
        <v>237</v>
      </c>
      <c r="G26" s="3363">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364"/>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364"/>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365"/>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3">
        <f>I29/100</f>
        <v>2.9700000000000001E-2</v>
      </c>
      <c r="AE29" s="1723">
        <f>J29/100</f>
        <v>2.3399999999999997E-2</v>
      </c>
      <c r="AF29" s="1723">
        <f>AE29</f>
        <v>2.3399999999999997E-2</v>
      </c>
      <c r="AG29" s="1723">
        <f>K29/100</f>
        <v>3.2799999999999996E-2</v>
      </c>
      <c r="AH29" s="1723">
        <f>L29/100</f>
        <v>1.3600000000000001E-2</v>
      </c>
    </row>
    <row r="30" spans="1:34" ht="13.5" thickBot="1">
      <c r="A30" s="1458" t="s">
        <v>1158</v>
      </c>
      <c r="B30" s="1466">
        <v>299</v>
      </c>
      <c r="C30" s="1466">
        <v>252</v>
      </c>
      <c r="D30" s="1466">
        <f t="shared" si="119"/>
        <v>252</v>
      </c>
      <c r="E30" s="1466">
        <v>409</v>
      </c>
      <c r="F30" s="1467">
        <v>227</v>
      </c>
      <c r="G30" s="3368">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369"/>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369"/>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370"/>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1162</v>
      </c>
      <c r="B34" s="1508">
        <v>278</v>
      </c>
      <c r="C34" s="1508">
        <v>234</v>
      </c>
      <c r="D34" s="1508">
        <f t="shared" si="119"/>
        <v>234</v>
      </c>
      <c r="E34" s="1508">
        <v>379</v>
      </c>
      <c r="F34" s="1509">
        <v>220</v>
      </c>
      <c r="G34" s="3363">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364"/>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364"/>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1165</v>
      </c>
      <c r="B37" s="1474">
        <f>B36/(1+N36)</f>
        <v>275.19025476197027</v>
      </c>
      <c r="C37" s="1510">
        <v>232</v>
      </c>
      <c r="D37" s="1510">
        <f t="shared" si="119"/>
        <v>232</v>
      </c>
      <c r="E37" s="1474">
        <f t="shared" si="130"/>
        <v>375.65990977608692</v>
      </c>
      <c r="F37" s="1474">
        <f t="shared" si="130"/>
        <v>214.12518283971252</v>
      </c>
      <c r="G37" s="3365"/>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1166</v>
      </c>
      <c r="B38" s="1466">
        <v>275</v>
      </c>
      <c r="C38" s="1466">
        <v>232</v>
      </c>
      <c r="D38" s="1466">
        <f t="shared" si="119"/>
        <v>232</v>
      </c>
      <c r="E38" s="1466">
        <v>376</v>
      </c>
      <c r="F38" s="1467">
        <v>213</v>
      </c>
      <c r="G38" s="3363">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364">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364">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365">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1170</v>
      </c>
      <c r="B42" s="1466">
        <v>269</v>
      </c>
      <c r="C42" s="1466">
        <v>221</v>
      </c>
      <c r="D42" s="1466">
        <f t="shared" si="119"/>
        <v>221</v>
      </c>
      <c r="E42" s="1466">
        <v>373</v>
      </c>
      <c r="F42" s="1467">
        <v>196</v>
      </c>
      <c r="G42" s="3363">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364">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364">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365">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1174</v>
      </c>
      <c r="B46" s="1466">
        <v>220</v>
      </c>
      <c r="C46" s="1466">
        <v>187</v>
      </c>
      <c r="D46" s="1466">
        <f t="shared" si="119"/>
        <v>187</v>
      </c>
      <c r="E46" s="1466">
        <v>301</v>
      </c>
      <c r="F46" s="1467">
        <v>168</v>
      </c>
      <c r="G46" s="3363">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364">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364">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365">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1178</v>
      </c>
      <c r="B50" s="1508">
        <v>214</v>
      </c>
      <c r="C50" s="1508">
        <v>188</v>
      </c>
      <c r="D50" s="1508">
        <f t="shared" si="119"/>
        <v>188</v>
      </c>
      <c r="E50" s="1508">
        <v>289</v>
      </c>
      <c r="F50" s="1509">
        <v>166</v>
      </c>
      <c r="G50" s="3363">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364">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364">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365">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1182</v>
      </c>
      <c r="B54" s="1466">
        <v>188</v>
      </c>
      <c r="C54" s="1466">
        <v>165</v>
      </c>
      <c r="D54" s="1466">
        <f t="shared" si="119"/>
        <v>165</v>
      </c>
      <c r="E54" s="1466">
        <v>254</v>
      </c>
      <c r="F54" s="1467">
        <v>148</v>
      </c>
      <c r="G54" s="3363">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364">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364">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365">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1186</v>
      </c>
      <c r="B58" s="1487">
        <v>159</v>
      </c>
      <c r="C58" s="1487">
        <v>141</v>
      </c>
      <c r="D58" s="1487">
        <f t="shared" si="119"/>
        <v>141</v>
      </c>
      <c r="E58" s="1487">
        <v>195</v>
      </c>
      <c r="F58" s="1488">
        <v>122</v>
      </c>
      <c r="G58" s="3363">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364">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364">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365">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1190</v>
      </c>
      <c r="B62" s="1487">
        <v>138</v>
      </c>
      <c r="C62" s="1487">
        <v>131</v>
      </c>
      <c r="D62" s="1487">
        <f t="shared" si="119"/>
        <v>131</v>
      </c>
      <c r="E62" s="1487">
        <v>155</v>
      </c>
      <c r="F62" s="1488">
        <v>114</v>
      </c>
      <c r="G62" s="3363">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364">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364">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365">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1194</v>
      </c>
      <c r="B66" s="1508">
        <v>121</v>
      </c>
      <c r="C66" s="1508">
        <v>122</v>
      </c>
      <c r="D66" s="1508">
        <f t="shared" si="119"/>
        <v>122</v>
      </c>
      <c r="E66" s="1508">
        <v>124</v>
      </c>
      <c r="F66" s="1509">
        <v>107</v>
      </c>
      <c r="G66" s="3363">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364">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364">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365">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1198</v>
      </c>
      <c r="B70" s="1529">
        <v>111</v>
      </c>
      <c r="C70" s="1529">
        <v>114</v>
      </c>
      <c r="D70" s="1529">
        <f t="shared" si="119"/>
        <v>114</v>
      </c>
      <c r="E70" s="1529">
        <v>108</v>
      </c>
      <c r="F70" s="1530">
        <v>104</v>
      </c>
      <c r="G70" s="3363">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364">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364">
        <v>2003</v>
      </c>
      <c r="H72" s="1462">
        <v>2</v>
      </c>
      <c r="I72" s="1531"/>
      <c r="J72" s="1531"/>
      <c r="K72" s="1531"/>
      <c r="L72" s="1531"/>
      <c r="X72" s="1523"/>
      <c r="Y72" s="1523"/>
      <c r="Z72" s="1523"/>
    </row>
    <row r="73" spans="1:26" ht="13.5" thickBot="1">
      <c r="A73" s="1458" t="s">
        <v>1201</v>
      </c>
      <c r="B73" s="1533">
        <f t="shared" si="155"/>
        <v>107.25</v>
      </c>
      <c r="C73" s="1533">
        <f t="shared" si="155"/>
        <v>108.75</v>
      </c>
      <c r="D73" s="1533">
        <f t="shared" si="119"/>
        <v>108.75</v>
      </c>
      <c r="E73" s="1533">
        <f t="shared" si="156"/>
        <v>105.75</v>
      </c>
      <c r="F73" s="1533">
        <f t="shared" si="156"/>
        <v>102.5</v>
      </c>
      <c r="G73" s="3365">
        <v>2003</v>
      </c>
      <c r="H73" s="1534">
        <v>1</v>
      </c>
      <c r="I73" s="1531"/>
      <c r="J73" s="1531"/>
      <c r="K73" s="1531"/>
      <c r="L73" s="1531"/>
      <c r="S73" s="1469"/>
      <c r="T73" s="1470"/>
      <c r="U73" s="1470"/>
      <c r="X73" s="1523"/>
      <c r="Y73" s="1523"/>
      <c r="Z73" s="1523"/>
    </row>
    <row r="74" spans="1:26" ht="13.5" thickBot="1">
      <c r="A74" s="1458" t="s">
        <v>1202</v>
      </c>
      <c r="B74" s="1535">
        <v>106</v>
      </c>
      <c r="C74" s="1535">
        <v>107</v>
      </c>
      <c r="D74" s="1535">
        <f t="shared" si="119"/>
        <v>107</v>
      </c>
      <c r="E74" s="1535">
        <v>105</v>
      </c>
      <c r="F74" s="1536">
        <v>102</v>
      </c>
      <c r="G74" s="3363">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364">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364">
        <v>2002</v>
      </c>
      <c r="H76" s="1462">
        <v>2</v>
      </c>
      <c r="I76" s="1531"/>
      <c r="J76" s="1531"/>
      <c r="K76" s="1531"/>
      <c r="L76" s="1531"/>
      <c r="X76" s="1523"/>
      <c r="Y76" s="1523"/>
      <c r="Z76" s="1523"/>
    </row>
    <row r="77" spans="1:26" s="1495" customFormat="1" ht="13.5" thickBot="1">
      <c r="A77" s="1491" t="s">
        <v>1205</v>
      </c>
      <c r="B77" s="1537">
        <f t="shared" si="157"/>
        <v>103</v>
      </c>
      <c r="C77" s="1537">
        <f t="shared" si="157"/>
        <v>104</v>
      </c>
      <c r="D77" s="1537">
        <f t="shared" si="119"/>
        <v>104</v>
      </c>
      <c r="E77" s="1537">
        <f t="shared" si="158"/>
        <v>103.5</v>
      </c>
      <c r="F77" s="1537">
        <f t="shared" si="158"/>
        <v>100.5</v>
      </c>
      <c r="G77" s="3365">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5"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2"/>
    <col min="46" max="16384" width="9" style="139"/>
  </cols>
  <sheetData>
    <row r="1" spans="1:45" ht="14.25" customHeight="1" thickBot="1">
      <c r="A1" s="154"/>
      <c r="B1" s="1201" t="s">
        <v>3000</v>
      </c>
      <c r="C1" s="3373" t="s">
        <v>3001</v>
      </c>
      <c r="D1" s="3374"/>
      <c r="E1" s="3374"/>
      <c r="F1" s="3374"/>
      <c r="G1" s="3374"/>
      <c r="H1" s="3374"/>
      <c r="I1" s="3374"/>
      <c r="J1" s="3374"/>
      <c r="K1" s="3374"/>
      <c r="L1" s="3374"/>
      <c r="M1" s="3374"/>
      <c r="N1" s="3374"/>
      <c r="O1" s="3374"/>
      <c r="P1" s="3374"/>
      <c r="Q1" s="3374"/>
      <c r="R1" s="3374"/>
      <c r="S1" s="3375"/>
      <c r="T1" s="1201" t="s">
        <v>3002</v>
      </c>
    </row>
    <row r="2" spans="1:45" s="705" customFormat="1">
      <c r="A2" s="1202"/>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0"/>
      <c r="G3" s="1700"/>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5" t="s">
        <v>3004</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3005</v>
      </c>
      <c r="C7" s="1118"/>
      <c r="D7" s="1112"/>
      <c r="E7" s="1112"/>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3006</v>
      </c>
      <c r="C9" s="1118"/>
      <c r="D9" s="1112"/>
      <c r="E9" s="1112"/>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3007</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3008</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3009</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6" t="s">
        <v>3010</v>
      </c>
      <c r="B17" s="2907" t="s">
        <v>3011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8"/>
      <c r="B19" s="166"/>
      <c r="C19" s="166"/>
      <c r="D19" s="2908" t="s">
        <v>3012</v>
      </c>
      <c r="E19" s="1788"/>
      <c r="F19" s="1788"/>
      <c r="G19" s="1788"/>
      <c r="H19" s="1277"/>
      <c r="I19" s="166"/>
      <c r="J19" s="166"/>
      <c r="K19" s="166"/>
      <c r="L19" s="166"/>
      <c r="M19" s="166"/>
      <c r="N19" s="166"/>
      <c r="O19" s="166"/>
      <c r="P19" s="166"/>
      <c r="Q19" s="166"/>
      <c r="R19" s="785"/>
      <c r="S19" s="138"/>
    </row>
    <row r="20" spans="1:45" ht="16.5" thickBot="1">
      <c r="A20" s="713" t="s">
        <v>3013</v>
      </c>
      <c r="B20" s="336" t="e">
        <f ca="1">IF(D20="——",S22,S22-F20)</f>
        <v>#REF!</v>
      </c>
      <c r="C20" s="166"/>
      <c r="D20" s="2909" t="s">
        <v>3014</v>
      </c>
      <c r="E20" s="1789"/>
      <c r="F20" s="1201" t="e">
        <f ca="1">SUMIF(INDIRECT("'"&amp;H20&amp;"'"&amp;"!A:A"),"承租人权益价值",INDIRECT("'"&amp;H20&amp;"'"&amp;"!c:c"))</f>
        <v>#REF!</v>
      </c>
      <c r="G20" s="1201" t="s">
        <v>3015</v>
      </c>
      <c r="H20" s="2910"/>
      <c r="I20" s="166"/>
      <c r="J20" s="166"/>
      <c r="K20" s="166"/>
      <c r="L20" s="166"/>
      <c r="M20" s="166"/>
      <c r="N20" s="166"/>
      <c r="O20" s="166"/>
      <c r="P20" s="166"/>
      <c r="Q20" s="166"/>
      <c r="R20" s="785"/>
      <c r="S20" s="138"/>
    </row>
    <row r="21" spans="1:45" ht="15.75">
      <c r="A21" s="713" t="s">
        <v>3016</v>
      </c>
      <c r="B21" s="336">
        <f>R22</f>
        <v>10000</v>
      </c>
      <c r="C21" s="166"/>
      <c r="D21" s="166"/>
      <c r="E21" s="166"/>
      <c r="F21" s="166"/>
      <c r="G21" s="166"/>
      <c r="H21" s="166"/>
      <c r="I21" s="166"/>
      <c r="J21" s="166"/>
      <c r="K21" s="166"/>
      <c r="L21" s="166"/>
      <c r="M21" s="166"/>
      <c r="N21" s="166"/>
      <c r="O21" s="166"/>
      <c r="P21" s="166"/>
      <c r="Q21" s="166"/>
      <c r="R21" s="785"/>
      <c r="S21" s="138"/>
    </row>
    <row r="22" spans="1:45">
      <c r="A22" s="359" t="s">
        <v>3017</v>
      </c>
      <c r="B22" s="24">
        <f>SUM(B24:B10000)</f>
        <v>100</v>
      </c>
      <c r="C22" s="3152" t="s">
        <v>33</v>
      </c>
      <c r="D22" s="3153"/>
      <c r="E22" s="3153"/>
      <c r="F22" s="3153"/>
      <c r="G22" s="3153"/>
      <c r="H22" s="3153"/>
      <c r="I22" s="3153"/>
      <c r="J22" s="3153"/>
      <c r="K22" s="3153"/>
      <c r="L22" s="3153"/>
      <c r="M22" s="3153"/>
      <c r="N22" s="3153"/>
      <c r="O22" s="3153"/>
      <c r="P22" s="3153"/>
      <c r="Q22" s="3372"/>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125" style="293" customWidth="1"/>
    <col min="3" max="3" width="12.125" style="293" customWidth="1"/>
    <col min="4" max="5" width="1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243984</v>
      </c>
      <c r="C2" s="2" t="s">
        <v>133</v>
      </c>
      <c r="D2" s="241"/>
      <c r="E2" s="241"/>
      <c r="F2" s="241"/>
      <c r="G2" s="241"/>
    </row>
    <row r="3" spans="1:7" s="242" customFormat="1" ht="18" customHeight="1" thickBot="1">
      <c r="A3" s="245" t="s">
        <v>85</v>
      </c>
      <c r="B3" s="246">
        <f ca="1">ROUND(B2*10000/'数据-汇总表'!E3,0)</f>
        <v>11148</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50</v>
      </c>
      <c r="F9" s="263"/>
      <c r="G9" s="268"/>
    </row>
    <row r="10" spans="1:7" s="256" customFormat="1" ht="13.5" customHeight="1">
      <c r="A10" s="947" t="s">
        <v>801</v>
      </c>
      <c r="B10" s="266" t="s">
        <v>94</v>
      </c>
      <c r="C10" s="267">
        <f>ROUND(D10*E10/10000,0)</f>
        <v>1094</v>
      </c>
      <c r="D10" s="1029">
        <f>'数据-汇总表'!E6</f>
        <v>218862.73</v>
      </c>
      <c r="E10" s="267">
        <f>'数据-取费表'!B28</f>
        <v>50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4377</v>
      </c>
      <c r="D19" s="1033">
        <f>'数据-汇总表'!E3</f>
        <v>218862.73</v>
      </c>
      <c r="E19" s="253">
        <f>'数据-取费表'!B31</f>
        <v>200</v>
      </c>
      <c r="F19" s="273"/>
      <c r="G19" s="1" t="s">
        <v>1070</v>
      </c>
    </row>
    <row r="20" spans="1:7" s="256" customFormat="1" ht="13.5" customHeight="1">
      <c r="A20" s="945" t="s">
        <v>1053</v>
      </c>
      <c r="B20" s="252" t="s">
        <v>104</v>
      </c>
      <c r="C20" s="274">
        <f>ROUND((C5+C19)*F20,0)</f>
        <v>375</v>
      </c>
      <c r="D20" s="274"/>
      <c r="E20" s="274"/>
      <c r="F20" s="275">
        <f>'数据-取费表'!B37</f>
        <v>1.4999999999999999E-2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2965</v>
      </c>
      <c r="D22" s="277">
        <f ca="1">C26</f>
        <v>1.1000000000000001E-3</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2428</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516</v>
      </c>
      <c r="D24" s="280"/>
      <c r="E24" s="280"/>
      <c r="F24" s="281"/>
      <c r="G24" s="282" t="s">
        <v>109</v>
      </c>
    </row>
    <row r="25" spans="1:7" s="256" customFormat="1" ht="24">
      <c r="A25" s="948" t="s">
        <v>793</v>
      </c>
      <c r="B25" s="257" t="s">
        <v>1054</v>
      </c>
      <c r="C25" s="1352">
        <f ca="1">ROUND(IF('数据-取费表'!B22&lt;=1,C20*F22*'数据-取费表'!B23/2,C20*(POWER((1+F22),'数据-取费表'!B23/2)-1)),0)</f>
        <v>21</v>
      </c>
      <c r="D25" s="280"/>
      <c r="E25" s="283"/>
      <c r="F25" s="281"/>
      <c r="G25" s="284" t="s">
        <v>110</v>
      </c>
    </row>
    <row r="26" spans="1:7" s="256" customFormat="1">
      <c r="A26" s="948" t="s">
        <v>795</v>
      </c>
      <c r="B26" s="257" t="s">
        <v>1056</v>
      </c>
      <c r="C26" s="280">
        <f ca="1">ROUND(IF('数据-取费表'!B22&lt;=1,F21*F22*'数据-取费表'!B23/2,F21*(POWER((1+F22),'数据-取费表'!B23/2)-1)),4)</f>
        <v>1.1000000000000001E-3</v>
      </c>
      <c r="D26" s="280"/>
      <c r="E26" s="283"/>
      <c r="F26" s="281"/>
      <c r="G26" s="285"/>
    </row>
    <row r="27" spans="1:7" s="256" customFormat="1" ht="24.75">
      <c r="A27" s="945" t="s">
        <v>787</v>
      </c>
      <c r="B27" s="286" t="s">
        <v>112</v>
      </c>
      <c r="C27" s="287">
        <f>C28</f>
        <v>2922</v>
      </c>
      <c r="D27" s="277">
        <f>C29</f>
        <v>2.3E-3</v>
      </c>
      <c r="E27" s="278" t="s">
        <v>126</v>
      </c>
      <c r="F27" s="288">
        <f>'数据-取费表'!Q16</f>
        <v>0.12</v>
      </c>
      <c r="G27" s="289" t="s">
        <v>1065</v>
      </c>
    </row>
    <row r="28" spans="1:7" s="256" customFormat="1" ht="13.5" customHeight="1">
      <c r="A28" s="948" t="s">
        <v>794</v>
      </c>
      <c r="B28" s="290" t="s">
        <v>1058</v>
      </c>
      <c r="C28" s="291">
        <f>ROUND((C5+C19+C20)*F27*'数据-取费表'!B21/'数据-取费表'!B20,0)</f>
        <v>2922</v>
      </c>
      <c r="D28" s="277"/>
      <c r="E28" s="278"/>
      <c r="F28" s="288"/>
      <c r="G28" s="289"/>
    </row>
    <row r="29" spans="1:7" s="256" customFormat="1" ht="13.5" customHeight="1">
      <c r="A29" s="948" t="s">
        <v>792</v>
      </c>
      <c r="B29" s="290" t="s">
        <v>1059</v>
      </c>
      <c r="C29" s="280">
        <f>ROUND(C21*F27*'数据-取费表'!B21/'数据-取费表'!B20,4)</f>
        <v>2.3E-3</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33846</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162347</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151377</v>
      </c>
      <c r="D34" s="259"/>
      <c r="E34" s="262"/>
      <c r="F34" s="299">
        <f>IF('数据-取费表'!B24=0,1,'数据-取费表'!N16)</f>
        <v>0.95</v>
      </c>
      <c r="G34" s="261" t="s">
        <v>116</v>
      </c>
    </row>
    <row r="35" spans="1:7" ht="13.5" customHeight="1">
      <c r="A35" s="948" t="s">
        <v>796</v>
      </c>
      <c r="B35" s="257" t="s">
        <v>60</v>
      </c>
      <c r="C35" s="262">
        <f>ROUND(C34*F35,0)</f>
        <v>4541</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4158</v>
      </c>
      <c r="D37" s="259">
        <f>'数据-汇总表'!E3</f>
        <v>218862.73</v>
      </c>
      <c r="E37" s="291">
        <f>'数据-取费表'!B35</f>
        <v>200</v>
      </c>
      <c r="F37" s="301"/>
      <c r="G37" s="303" t="s">
        <v>119</v>
      </c>
    </row>
    <row r="38" spans="1:7" ht="13.5" customHeight="1">
      <c r="A38" s="948" t="s">
        <v>799</v>
      </c>
      <c r="B38" s="257" t="s">
        <v>63</v>
      </c>
      <c r="C38" s="262">
        <f>ROUND(C34*F38,0)</f>
        <v>2271</v>
      </c>
      <c r="D38" s="262"/>
      <c r="E38" s="262"/>
      <c r="F38" s="301">
        <f>'数据-取费表'!B36</f>
        <v>1.4999999999999999E-2</v>
      </c>
      <c r="G38" s="261" t="s">
        <v>117</v>
      </c>
    </row>
    <row r="39" spans="1:7" s="256" customFormat="1" ht="13.5" customHeight="1">
      <c r="A39" s="945" t="s">
        <v>783</v>
      </c>
      <c r="B39" s="252" t="s">
        <v>104</v>
      </c>
      <c r="C39" s="274">
        <f>ROUND(C33*F20,0)</f>
        <v>2435</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9436</v>
      </c>
      <c r="D41" s="277">
        <f ca="1">C44</f>
        <v>1.1000000000000001E-3</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9297</v>
      </c>
      <c r="D42" s="280"/>
      <c r="E42" s="280"/>
      <c r="F42" s="281"/>
      <c r="G42" s="3237" t="s">
        <v>121</v>
      </c>
    </row>
    <row r="43" spans="1:7" ht="13.5" customHeight="1">
      <c r="A43" s="948" t="s">
        <v>792</v>
      </c>
      <c r="B43" s="257" t="s">
        <v>1060</v>
      </c>
      <c r="C43" s="280">
        <f ca="1">ROUND(IF('数据-取费表'!B22&lt;=1,C39*F22*'数据-取费表'!B21/2,C39*(POWER((1+F22),'数据-取费表'!B21/2)-1)),0)</f>
        <v>139</v>
      </c>
      <c r="D43" s="280"/>
      <c r="E43" s="280"/>
      <c r="F43" s="281"/>
      <c r="G43" s="3238"/>
    </row>
    <row r="44" spans="1:7" ht="13.5" customHeight="1">
      <c r="A44" s="948" t="s">
        <v>793</v>
      </c>
      <c r="B44" s="257" t="s">
        <v>1062</v>
      </c>
      <c r="C44" s="280">
        <f ca="1">ROUND(IF('数据-取费表'!B22&lt;=1,C40*F22*'数据-取费表'!B21/2,C40*(POWER((1+F22),'数据-取费表'!B21/2)-1)),4)</f>
        <v>1.1000000000000001E-3</v>
      </c>
      <c r="D44" s="280"/>
      <c r="E44" s="280"/>
      <c r="F44" s="281"/>
      <c r="G44" s="3239"/>
    </row>
    <row r="45" spans="1:7" s="256" customFormat="1" ht="13.5" customHeight="1">
      <c r="A45" s="945" t="s">
        <v>786</v>
      </c>
      <c r="B45" s="286" t="s">
        <v>112</v>
      </c>
      <c r="C45" s="287">
        <f>C46</f>
        <v>19774</v>
      </c>
      <c r="D45" s="277">
        <f>C47</f>
        <v>2.3999999999999998E-3</v>
      </c>
      <c r="E45" s="278" t="s">
        <v>129</v>
      </c>
      <c r="F45" s="288"/>
      <c r="G45" s="289" t="s">
        <v>1068</v>
      </c>
    </row>
    <row r="46" spans="1:7" s="256" customFormat="1" ht="13.5" customHeight="1">
      <c r="A46" s="948" t="s">
        <v>794</v>
      </c>
      <c r="B46" s="290" t="s">
        <v>1061</v>
      </c>
      <c r="C46" s="291">
        <f>ROUND((C33+C39)*F27,0)</f>
        <v>19774</v>
      </c>
      <c r="D46" s="305"/>
      <c r="E46" s="278"/>
      <c r="F46" s="288"/>
      <c r="G46" s="289"/>
    </row>
    <row r="47" spans="1:7" s="256" customFormat="1" ht="13.5" customHeight="1">
      <c r="A47" s="948" t="s">
        <v>792</v>
      </c>
      <c r="B47" s="290" t="s">
        <v>1063</v>
      </c>
      <c r="C47" s="280">
        <f>ROUND(C40*F27,4)</f>
        <v>2.3999999999999998E-3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210138</v>
      </c>
      <c r="D49" s="274"/>
      <c r="E49" s="274"/>
      <c r="F49" s="306"/>
      <c r="G49" s="276" t="s">
        <v>1069</v>
      </c>
    </row>
    <row r="50" spans="1:7" s="300" customFormat="1" ht="24">
      <c r="A50" s="945" t="s">
        <v>789</v>
      </c>
      <c r="B50" s="252" t="s">
        <v>124</v>
      </c>
      <c r="C50" s="274"/>
      <c r="D50" s="274"/>
      <c r="E50" s="274"/>
      <c r="F50" s="306">
        <f>IF('数据-取费表'!B24=0,'数据-取费表'!N16,1)</f>
        <v>1</v>
      </c>
      <c r="G50" s="289" t="s">
        <v>125</v>
      </c>
    </row>
    <row r="51" spans="1:7" ht="16.5" customHeight="1">
      <c r="A51" s="945" t="s">
        <v>790</v>
      </c>
      <c r="B51" s="252" t="s">
        <v>132</v>
      </c>
      <c r="C51" s="274">
        <f ca="1">ROUND(C49*F50,0)</f>
        <v>210138</v>
      </c>
      <c r="D51" s="274"/>
      <c r="E51" s="274"/>
      <c r="F51" s="306"/>
      <c r="G51" s="276" t="s">
        <v>64</v>
      </c>
    </row>
    <row r="52" spans="1:7" s="250" customFormat="1" ht="16.5" thickBot="1">
      <c r="A52" s="307" t="s">
        <v>65</v>
      </c>
      <c r="B52" s="308"/>
      <c r="C52" s="309">
        <f ca="1">C31+C51</f>
        <v>243984</v>
      </c>
      <c r="D52" s="308"/>
      <c r="E52" s="308"/>
      <c r="F52" s="308"/>
      <c r="G52" s="310"/>
    </row>
    <row r="55" spans="1:7" ht="15">
      <c r="B55" s="312" t="s">
        <v>66</v>
      </c>
      <c r="C55" s="313"/>
    </row>
    <row r="56" spans="1:7">
      <c r="B56" s="315" t="s">
        <v>67</v>
      </c>
      <c r="C56" s="316">
        <f ca="1">ROUND(C51/C52,3)</f>
        <v>0.86099999999999999</v>
      </c>
    </row>
    <row r="57" spans="1:7">
      <c r="B57" s="315" t="s">
        <v>68</v>
      </c>
      <c r="C57" s="317">
        <f ca="1">1-C56</f>
        <v>0.13900000000000001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125" style="810" customWidth="1"/>
    <col min="6" max="6" width="9" style="810"/>
    <col min="7" max="8" width="9" style="825"/>
    <col min="9" max="16384" width="9" style="810"/>
  </cols>
  <sheetData>
    <row r="1" spans="1:19">
      <c r="A1" s="3376" t="s">
        <v>156</v>
      </c>
      <c r="B1" s="3376"/>
      <c r="C1" s="3376"/>
      <c r="D1" s="3376"/>
      <c r="E1" s="3376"/>
      <c r="F1" s="337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77" t="s">
        <v>169</v>
      </c>
      <c r="B2" s="3377"/>
      <c r="C2" s="3377"/>
      <c r="D2" s="3377"/>
      <c r="E2" s="3377"/>
      <c r="F2" s="337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7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7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2" customWidth="1"/>
    <col min="2" max="2" width="10.125" style="810" customWidth="1"/>
  </cols>
  <sheetData>
    <row r="1" spans="1:6">
      <c r="A1" s="3376" t="s">
        <v>867</v>
      </c>
      <c r="B1" s="3376"/>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24.75" thickBot="1">
      <c r="A72" s="837" t="s">
        <v>137</v>
      </c>
      <c r="B72" s="831" t="s">
        <v>881</v>
      </c>
      <c r="C72" s="1074"/>
      <c r="D72" s="1074"/>
      <c r="E72" s="1074"/>
      <c r="F72" s="1062">
        <v>0.05</v>
      </c>
    </row>
    <row r="73" spans="1:6" ht="24.75" thickBot="1">
      <c r="A73" s="837" t="s">
        <v>137</v>
      </c>
      <c r="B73" s="831" t="s">
        <v>882</v>
      </c>
      <c r="C73" s="1074"/>
      <c r="D73" s="1074"/>
      <c r="E73" s="1074"/>
      <c r="F73" s="1062">
        <v>0.05</v>
      </c>
    </row>
    <row r="74" spans="1:6" ht="24.75" thickBot="1">
      <c r="A74" s="837" t="s">
        <v>137</v>
      </c>
      <c r="B74" s="831" t="s">
        <v>883</v>
      </c>
      <c r="C74" s="1074"/>
      <c r="D74" s="1074"/>
      <c r="E74" s="1074"/>
      <c r="F74" s="1062">
        <v>0.05</v>
      </c>
    </row>
    <row r="75" spans="1:6" ht="24.7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24.7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24.7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125" style="1640" customWidth="1"/>
    <col min="9" max="9" width="9" style="1640"/>
    <col min="10" max="10" width="9.375" style="1640" bestFit="1" customWidth="1"/>
    <col min="11" max="11" width="4" style="1634" customWidth="1"/>
    <col min="12" max="12" width="5.125" style="1640" customWidth="1"/>
    <col min="13" max="13" width="13.875" style="1640" customWidth="1"/>
    <col min="14" max="256" width="9"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875" style="1631" customWidth="1"/>
    <col min="270" max="512" width="9"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875" style="1631" customWidth="1"/>
    <col min="526" max="768" width="9"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875" style="1631" customWidth="1"/>
    <col min="782" max="1024" width="9"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875" style="1631" customWidth="1"/>
    <col min="1038" max="1280" width="9"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875" style="1631" customWidth="1"/>
    <col min="1294" max="1536" width="9"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875" style="1631" customWidth="1"/>
    <col min="1550" max="1792" width="9"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875" style="1631" customWidth="1"/>
    <col min="1806" max="2048" width="9"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875" style="1631" customWidth="1"/>
    <col min="2062" max="2304" width="9"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875" style="1631" customWidth="1"/>
    <col min="2318" max="2560" width="9"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875" style="1631" customWidth="1"/>
    <col min="2574" max="2816" width="9"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875" style="1631" customWidth="1"/>
    <col min="2830" max="3072" width="9"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875" style="1631" customWidth="1"/>
    <col min="3086" max="3328" width="9"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875" style="1631" customWidth="1"/>
    <col min="3342" max="3584" width="9"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875" style="1631" customWidth="1"/>
    <col min="3598" max="3840" width="9"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875" style="1631" customWidth="1"/>
    <col min="3854" max="4096" width="9"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875" style="1631" customWidth="1"/>
    <col min="4110" max="4352" width="9"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875" style="1631" customWidth="1"/>
    <col min="4366" max="4608" width="9"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875" style="1631" customWidth="1"/>
    <col min="4622" max="4864" width="9"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875" style="1631" customWidth="1"/>
    <col min="4878" max="5120" width="9"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875" style="1631" customWidth="1"/>
    <col min="5134" max="5376" width="9"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875" style="1631" customWidth="1"/>
    <col min="5390" max="5632" width="9"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875" style="1631" customWidth="1"/>
    <col min="5646" max="5888" width="9"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875" style="1631" customWidth="1"/>
    <col min="5902" max="6144" width="9"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875" style="1631" customWidth="1"/>
    <col min="6158" max="6400" width="9"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875" style="1631" customWidth="1"/>
    <col min="6414" max="6656" width="9"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875" style="1631" customWidth="1"/>
    <col min="6670" max="6912" width="9"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875" style="1631" customWidth="1"/>
    <col min="6926" max="7168" width="9"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875" style="1631" customWidth="1"/>
    <col min="7182" max="7424" width="9"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875" style="1631" customWidth="1"/>
    <col min="7438" max="7680" width="9"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875" style="1631" customWidth="1"/>
    <col min="7694" max="7936" width="9"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875" style="1631" customWidth="1"/>
    <col min="7950" max="8192" width="9"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875" style="1631" customWidth="1"/>
    <col min="8206" max="8448" width="9"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875" style="1631" customWidth="1"/>
    <col min="8462" max="8704" width="9"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875" style="1631" customWidth="1"/>
    <col min="8718" max="8960" width="9"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875" style="1631" customWidth="1"/>
    <col min="8974" max="9216" width="9"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875" style="1631" customWidth="1"/>
    <col min="9230" max="9472" width="9"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875" style="1631" customWidth="1"/>
    <col min="9486" max="9728" width="9"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875" style="1631" customWidth="1"/>
    <col min="9742" max="9984" width="9"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875" style="1631" customWidth="1"/>
    <col min="9998" max="10240" width="9"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875" style="1631" customWidth="1"/>
    <col min="10254" max="10496" width="9"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875" style="1631" customWidth="1"/>
    <col min="10510" max="10752" width="9"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875" style="1631" customWidth="1"/>
    <col min="10766" max="11008" width="9"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875" style="1631" customWidth="1"/>
    <col min="11022" max="11264" width="9"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875" style="1631" customWidth="1"/>
    <col min="11278" max="11520" width="9"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875" style="1631" customWidth="1"/>
    <col min="11534" max="11776" width="9"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875" style="1631" customWidth="1"/>
    <col min="11790" max="12032" width="9"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875" style="1631" customWidth="1"/>
    <col min="12046" max="12288" width="9"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875" style="1631" customWidth="1"/>
    <col min="12302" max="12544" width="9"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875" style="1631" customWidth="1"/>
    <col min="12558" max="12800" width="9"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875" style="1631" customWidth="1"/>
    <col min="12814" max="13056" width="9"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875" style="1631" customWidth="1"/>
    <col min="13070" max="13312" width="9"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875" style="1631" customWidth="1"/>
    <col min="13326" max="13568" width="9"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875" style="1631" customWidth="1"/>
    <col min="13582" max="13824" width="9"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875" style="1631" customWidth="1"/>
    <col min="13838" max="14080" width="9"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875" style="1631" customWidth="1"/>
    <col min="14094" max="14336" width="9"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875" style="1631" customWidth="1"/>
    <col min="14350" max="14592" width="9"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875" style="1631" customWidth="1"/>
    <col min="14606" max="14848" width="9"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875" style="1631" customWidth="1"/>
    <col min="14862" max="15104" width="9"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875" style="1631" customWidth="1"/>
    <col min="15118" max="15360" width="9"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875" style="1631" customWidth="1"/>
    <col min="15374" max="15616" width="9"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875" style="1631" customWidth="1"/>
    <col min="15630" max="15872" width="9"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875" style="1631" customWidth="1"/>
    <col min="15886" max="16128" width="9"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875" style="1631" customWidth="1"/>
    <col min="16142" max="16384" width="9" style="1631"/>
  </cols>
  <sheetData>
    <row r="1" spans="1:257" s="1695" customFormat="1" ht="14.25" thickBot="1">
      <c r="A1" s="1689"/>
      <c r="B1" s="1696" t="s">
        <v>1295</v>
      </c>
      <c r="C1" s="1690">
        <f>项目基本情况!D3</f>
        <v>43905</v>
      </c>
      <c r="D1" s="1696" t="s">
        <v>1296</v>
      </c>
      <c r="E1" s="1691">
        <f>'数据-取费表'!B22</f>
        <v>2.5</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1367</v>
      </c>
      <c r="E1" s="1772" t="s">
        <v>1371</v>
      </c>
      <c r="F1" s="1773" t="s">
        <v>1375</v>
      </c>
    </row>
    <row r="2" spans="1:13" ht="20.25">
      <c r="A2" s="1779" t="s">
        <v>1368</v>
      </c>
    </row>
    <row r="3" spans="1:13" ht="16.5">
      <c r="A3" s="1780" t="s">
        <v>1369</v>
      </c>
    </row>
    <row r="4" spans="1:13" ht="14.25">
      <c r="A4" s="1770" t="s">
        <v>1370</v>
      </c>
      <c r="B4" s="1775" t="s">
        <v>1372</v>
      </c>
      <c r="C4" s="1776"/>
      <c r="D4" s="1777"/>
      <c r="E4" s="1775" t="s">
        <v>27</v>
      </c>
      <c r="F4" s="1776"/>
      <c r="G4" s="1777"/>
      <c r="H4" s="1775" t="s">
        <v>1373</v>
      </c>
      <c r="I4" s="1776"/>
      <c r="J4" s="1777"/>
      <c r="K4" s="1775" t="s">
        <v>6</v>
      </c>
      <c r="L4" s="1776"/>
      <c r="M4" s="1777"/>
    </row>
    <row r="5" spans="1:13" ht="14.25">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1635</v>
      </c>
      <c r="B2" s="3037" t="s">
        <v>1636</v>
      </c>
      <c r="C2" s="3037" t="s">
        <v>1637</v>
      </c>
      <c r="D2" s="3037" t="str">
        <f>结果表!D116</f>
        <v>出让国有建设用地使用权价值</v>
      </c>
      <c r="E2" s="3037"/>
      <c r="F2" s="3037" t="str">
        <f>结果表!F116</f>
        <v>在建建筑物价值</v>
      </c>
      <c r="G2" s="3037"/>
      <c r="H2" s="3037" t="str">
        <f>IF(项目基本情况!B9="房地产市场价值","房地产市场价值","房地产价值")</f>
        <v>房地产价值</v>
      </c>
      <c r="I2" s="3037"/>
    </row>
    <row r="3" spans="1:9" ht="15">
      <c r="A3" s="3038"/>
      <c r="B3" s="3038"/>
      <c r="C3" s="3038"/>
      <c r="D3" s="1041" t="s">
        <v>1632</v>
      </c>
      <c r="E3" s="1041" t="s">
        <v>1638</v>
      </c>
      <c r="F3" s="1041" t="s">
        <v>1632</v>
      </c>
      <c r="G3" s="1041" t="s">
        <v>1633</v>
      </c>
      <c r="H3" s="1041" t="s">
        <v>1632</v>
      </c>
      <c r="I3" s="1041" t="s">
        <v>1633</v>
      </c>
    </row>
    <row r="4" spans="1:9" ht="30">
      <c r="A4" s="1968" t="str">
        <f>项目基本情况!S2</f>
        <v>出让国有建设用地使用权及在建建筑物房地产</v>
      </c>
      <c r="B4" s="1041">
        <f>项目基本情况!C17</f>
        <v>218862.73</v>
      </c>
      <c r="C4" s="1041">
        <f>项目基本情况!C18</f>
        <v>196085</v>
      </c>
      <c r="D4" s="1041">
        <f ca="1">结果表!D118</f>
        <v>57883</v>
      </c>
      <c r="E4" s="1041">
        <f ca="1">结果表!E118</f>
        <v>2645</v>
      </c>
      <c r="F4" s="1041">
        <f ca="1">结果表!F118</f>
        <v>200522</v>
      </c>
      <c r="G4" s="1041">
        <f ca="1">结果表!G118</f>
        <v>9162</v>
      </c>
      <c r="H4" s="1041">
        <f ca="1">结果表!H118</f>
        <v>258405</v>
      </c>
      <c r="I4" s="1041">
        <f ca="1">结果表!I118</f>
        <v>11807</v>
      </c>
    </row>
    <row r="5" spans="1:9" ht="30" customHeight="1">
      <c r="A5" s="3038" t="s">
        <v>1634</v>
      </c>
      <c r="B5" s="3038"/>
      <c r="C5" s="3038"/>
      <c r="D5" s="3039" t="str">
        <f ca="1">结果表!D119</f>
        <v>伍亿柒仟捌佰捌拾叁万元整</v>
      </c>
      <c r="E5" s="3039"/>
      <c r="F5" s="3039" t="str">
        <f ca="1">结果表!F119</f>
        <v>贰拾亿零伍佰贰拾贰万元整</v>
      </c>
      <c r="G5" s="3039"/>
      <c r="H5" s="3039" t="str">
        <f ca="1">结果表!H119</f>
        <v>贰拾伍亿捌仟肆佰零伍万元整</v>
      </c>
      <c r="I5" s="3039"/>
    </row>
    <row r="6" spans="1:9" ht="15.75">
      <c r="A6" s="3040" t="str">
        <f>结果表!A120</f>
        <v>估价师知悉的法定优先受偿款</v>
      </c>
      <c r="B6" s="3040"/>
      <c r="C6" s="3040"/>
      <c r="D6" s="3040">
        <f>结果表!D120</f>
        <v>64576</v>
      </c>
      <c r="E6" s="3040"/>
      <c r="F6" s="3040"/>
      <c r="G6" s="3040"/>
      <c r="H6" s="3040"/>
      <c r="I6" s="3040"/>
    </row>
    <row r="7" spans="1:9" ht="15">
      <c r="A7" s="3038" t="s">
        <v>1634</v>
      </c>
      <c r="B7" s="3038"/>
      <c r="C7" s="3038"/>
      <c r="D7" s="3041" t="str">
        <f>结果表!D121</f>
        <v>陆亿肆仟伍佰柒拾陆万元整</v>
      </c>
      <c r="E7" s="3042"/>
      <c r="F7" s="3042"/>
      <c r="G7" s="3042"/>
      <c r="H7" s="3042"/>
      <c r="I7" s="3043"/>
    </row>
    <row r="8" spans="1:9" ht="15.75">
      <c r="A8" s="3040" t="str">
        <f>结果表!A122</f>
        <v>房地产抵押价值</v>
      </c>
      <c r="B8" s="3040"/>
      <c r="C8" s="3040"/>
      <c r="D8" s="3040">
        <f ca="1">结果表!D122</f>
        <v>193829</v>
      </c>
      <c r="E8" s="3040"/>
      <c r="F8" s="3040"/>
      <c r="G8" s="3040"/>
      <c r="H8" s="3040"/>
      <c r="I8" s="3040"/>
    </row>
    <row r="9" spans="1:9" ht="15">
      <c r="A9" s="3038" t="s">
        <v>1634</v>
      </c>
      <c r="B9" s="3038"/>
      <c r="C9" s="3038"/>
      <c r="D9" s="3039" t="str">
        <f ca="1">结果表!D123</f>
        <v>壹拾玖亿叁仟捌佰贰拾玖万元整</v>
      </c>
      <c r="E9" s="3039"/>
      <c r="F9" s="3039"/>
      <c r="G9" s="3039"/>
      <c r="H9" s="3039"/>
      <c r="I9" s="3039"/>
    </row>
    <row r="10" spans="1:9" ht="15.75">
      <c r="A10" s="3040" t="str">
        <f>结果表!A124</f>
        <v/>
      </c>
      <c r="B10" s="3040"/>
      <c r="C10" s="3040"/>
      <c r="D10" s="3040" t="str">
        <f>结果表!D124</f>
        <v>——</v>
      </c>
      <c r="E10" s="3040"/>
      <c r="F10" s="3040"/>
      <c r="G10" s="3040"/>
      <c r="H10" s="3040"/>
      <c r="I10" s="3040"/>
    </row>
    <row r="11" spans="1:9" ht="15">
      <c r="A11" s="3038" t="s">
        <v>1634</v>
      </c>
      <c r="B11" s="3038"/>
      <c r="C11" s="3038"/>
      <c r="D11" s="3039" t="e">
        <f>结果表!D125</f>
        <v>#VALUE!</v>
      </c>
      <c r="E11" s="3039"/>
      <c r="F11" s="3039"/>
      <c r="G11" s="3039"/>
      <c r="H11" s="3039"/>
      <c r="I11" s="3039"/>
    </row>
    <row r="12" spans="1:9" ht="15.75">
      <c r="A12" s="3040" t="str">
        <f>结果表!A126</f>
        <v/>
      </c>
      <c r="B12" s="3040"/>
      <c r="C12" s="3040"/>
      <c r="D12" s="3040" t="str">
        <f>结果表!D126</f>
        <v>——</v>
      </c>
      <c r="E12" s="3040"/>
      <c r="F12" s="3040"/>
      <c r="G12" s="3040"/>
      <c r="H12" s="3040"/>
      <c r="I12" s="3040"/>
    </row>
    <row r="13" spans="1:9" ht="15.75" thickBot="1">
      <c r="A13" s="3044" t="s">
        <v>1634</v>
      </c>
      <c r="B13" s="3044"/>
      <c r="C13" s="3044"/>
      <c r="D13" s="3045" t="e">
        <f>结果表!D127</f>
        <v>#VALUE!</v>
      </c>
      <c r="E13" s="3045"/>
      <c r="F13" s="3045"/>
      <c r="G13" s="3045"/>
      <c r="H13" s="3045"/>
      <c r="I13" s="3045"/>
    </row>
    <row r="14" spans="1:9" ht="15" thickTop="1">
      <c r="A14" s="3046" t="s">
        <v>1639</v>
      </c>
      <c r="B14" s="3046"/>
      <c r="C14" s="3046"/>
      <c r="D14" s="3046"/>
      <c r="E14" s="3046"/>
      <c r="F14" s="3046"/>
      <c r="G14" s="3046"/>
      <c r="H14" s="3046"/>
      <c r="I14" s="3046"/>
    </row>
    <row r="16" spans="1:9" ht="18.75">
      <c r="A16" s="1969" t="s">
        <v>1622</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8:S53"/>
  <sheetViews>
    <sheetView tabSelected="1" workbookViewId="0">
      <selection activeCell="N11" sqref="N11"/>
    </sheetView>
  </sheetViews>
  <sheetFormatPr defaultRowHeight="17.25"/>
  <cols>
    <col min="1" max="11" width="9" style="3380"/>
    <col min="12" max="12" width="14" style="3380" customWidth="1"/>
    <col min="13" max="14" width="9" style="3380"/>
    <col min="15" max="15" width="11.625" style="3380" bestFit="1" customWidth="1"/>
    <col min="16" max="16" width="7" style="3380" customWidth="1"/>
    <col min="17" max="17" width="10.25" style="3380" customWidth="1"/>
    <col min="18" max="18" width="8.875" style="3380" customWidth="1"/>
    <col min="19" max="16384" width="9" style="3380"/>
  </cols>
  <sheetData>
    <row r="38" spans="12:19">
      <c r="L38" s="3380" t="s">
        <v>3575</v>
      </c>
      <c r="M38" s="3380" t="s">
        <v>3553</v>
      </c>
      <c r="N38" s="3380" t="s">
        <v>3573</v>
      </c>
      <c r="O38" s="3380" t="s">
        <v>3554</v>
      </c>
      <c r="P38" s="3380" t="s">
        <v>3555</v>
      </c>
      <c r="Q38" s="3380" t="s">
        <v>3556</v>
      </c>
      <c r="R38" s="3380" t="s">
        <v>3557</v>
      </c>
    </row>
    <row r="39" spans="12:19">
      <c r="L39" s="3382" t="s">
        <v>3569</v>
      </c>
      <c r="M39" s="3380">
        <v>37</v>
      </c>
      <c r="N39" s="3380">
        <v>178</v>
      </c>
      <c r="O39" s="3383">
        <f>N39*10000/M39</f>
        <v>48108.108108108107</v>
      </c>
      <c r="P39" s="3381">
        <v>1</v>
      </c>
      <c r="Q39" s="3380">
        <v>9</v>
      </c>
      <c r="R39" s="3384">
        <f>Q39/365/M39*10000</f>
        <v>6.6641984450203626</v>
      </c>
      <c r="S39" s="3385" t="s">
        <v>3552</v>
      </c>
    </row>
    <row r="40" spans="12:19">
      <c r="L40" s="3382"/>
      <c r="M40" s="3380">
        <v>80</v>
      </c>
      <c r="N40" s="3380">
        <v>320</v>
      </c>
      <c r="O40" s="3383">
        <f t="shared" ref="O40:O44" si="0">N40*10000/M40</f>
        <v>40000</v>
      </c>
      <c r="P40" s="3381" t="s">
        <v>3559</v>
      </c>
      <c r="R40" s="3384">
        <f t="shared" ref="R40:R44" si="1">Q40/365/M40*10000</f>
        <v>0</v>
      </c>
      <c r="S40" s="3385" t="s">
        <v>3560</v>
      </c>
    </row>
    <row r="41" spans="12:19">
      <c r="L41" s="3382"/>
      <c r="M41" s="3380">
        <v>108</v>
      </c>
      <c r="N41" s="3380">
        <v>748</v>
      </c>
      <c r="O41" s="3383">
        <f t="shared" si="0"/>
        <v>69259.259259259255</v>
      </c>
      <c r="P41" s="3381" t="s">
        <v>3561</v>
      </c>
      <c r="Q41" s="3380">
        <v>50</v>
      </c>
      <c r="R41" s="3384">
        <f t="shared" si="1"/>
        <v>12.683916793505833</v>
      </c>
      <c r="S41" s="3385" t="s">
        <v>3565</v>
      </c>
    </row>
    <row r="42" spans="12:19">
      <c r="L42" s="3382"/>
      <c r="M42" s="3380">
        <v>75</v>
      </c>
      <c r="N42" s="3380">
        <v>258</v>
      </c>
      <c r="O42" s="3383">
        <f t="shared" si="0"/>
        <v>34400</v>
      </c>
      <c r="P42" s="3381" t="s">
        <v>3561</v>
      </c>
      <c r="Q42" s="3380">
        <v>18</v>
      </c>
      <c r="R42" s="3384">
        <f t="shared" si="1"/>
        <v>6.5753424657534252</v>
      </c>
      <c r="S42" s="3385" t="s">
        <v>3564</v>
      </c>
    </row>
    <row r="43" spans="12:19">
      <c r="L43" s="3382"/>
      <c r="M43" s="3380">
        <v>67</v>
      </c>
      <c r="N43" s="3380">
        <v>228</v>
      </c>
      <c r="O43" s="3383">
        <f t="shared" si="0"/>
        <v>34029.850746268654</v>
      </c>
      <c r="P43" s="3381" t="s">
        <v>3559</v>
      </c>
      <c r="R43" s="3384">
        <f t="shared" si="1"/>
        <v>0</v>
      </c>
      <c r="S43" s="3385" t="s">
        <v>3567</v>
      </c>
    </row>
    <row r="44" spans="12:19">
      <c r="L44" s="3382" t="s">
        <v>3570</v>
      </c>
      <c r="M44" s="3380">
        <v>119</v>
      </c>
      <c r="N44" s="3380">
        <v>198</v>
      </c>
      <c r="O44" s="3383">
        <f t="shared" si="0"/>
        <v>16638.655462184874</v>
      </c>
      <c r="P44" s="3381" t="s">
        <v>3576</v>
      </c>
      <c r="R44" s="3384">
        <f t="shared" si="1"/>
        <v>0</v>
      </c>
      <c r="S44" s="3385" t="s">
        <v>3558</v>
      </c>
    </row>
    <row r="45" spans="12:19">
      <c r="L45" s="3382"/>
      <c r="M45" s="3380">
        <v>53</v>
      </c>
      <c r="N45" s="3380">
        <v>102</v>
      </c>
      <c r="O45" s="3383">
        <f>N45*10000/M45</f>
        <v>19245.283018867925</v>
      </c>
      <c r="P45" s="3381" t="s">
        <v>3561</v>
      </c>
      <c r="R45" s="3384">
        <f>Q45/365/M45*10000</f>
        <v>0</v>
      </c>
      <c r="S45" s="3385" t="s">
        <v>3568</v>
      </c>
    </row>
    <row r="46" spans="12:19">
      <c r="L46" s="3382" t="s">
        <v>3571</v>
      </c>
      <c r="M46" s="3380">
        <v>73</v>
      </c>
      <c r="N46" s="3380">
        <v>248</v>
      </c>
      <c r="O46" s="3383">
        <f t="shared" ref="O46:O48" si="2">N46*10000/M46</f>
        <v>33972.602739726026</v>
      </c>
      <c r="P46" s="3381" t="s">
        <v>3561</v>
      </c>
      <c r="R46" s="3384">
        <f t="shared" ref="R46:R48" si="3">Q46/365/M46*10000</f>
        <v>0</v>
      </c>
      <c r="S46" s="3385" t="s">
        <v>3562</v>
      </c>
    </row>
    <row r="47" spans="12:19">
      <c r="L47" s="3382"/>
      <c r="M47" s="3380">
        <v>129</v>
      </c>
      <c r="N47" s="3380">
        <v>206</v>
      </c>
      <c r="O47" s="3383">
        <f t="shared" si="2"/>
        <v>15968.992248062015</v>
      </c>
      <c r="P47" s="3381" t="s">
        <v>3559</v>
      </c>
      <c r="R47" s="3384">
        <f t="shared" si="3"/>
        <v>0</v>
      </c>
      <c r="S47" s="3385" t="s">
        <v>3566</v>
      </c>
    </row>
    <row r="48" spans="12:19">
      <c r="L48" s="3380" t="s">
        <v>3572</v>
      </c>
      <c r="M48" s="3380">
        <v>93</v>
      </c>
      <c r="N48" s="3380">
        <v>158</v>
      </c>
      <c r="O48" s="3383">
        <f t="shared" si="2"/>
        <v>16989.247311827956</v>
      </c>
      <c r="P48" s="3381" t="s">
        <v>3559</v>
      </c>
      <c r="R48" s="3384">
        <f t="shared" si="3"/>
        <v>0</v>
      </c>
      <c r="S48" s="3385" t="s">
        <v>3563</v>
      </c>
    </row>
    <row r="51" spans="13:13">
      <c r="M51" s="3381"/>
    </row>
    <row r="52" spans="13:13">
      <c r="M52" s="3381"/>
    </row>
    <row r="53" spans="13:13">
      <c r="M53" s="3381"/>
    </row>
  </sheetData>
  <mergeCells count="3">
    <mergeCell ref="L39:L43"/>
    <mergeCell ref="L44:L45"/>
    <mergeCell ref="L46:L47"/>
  </mergeCells>
  <phoneticPr fontId="143" type="noConversion"/>
  <hyperlinks>
    <hyperlink ref="S39"/>
    <hyperlink ref="S44" r:id="rId1"/>
    <hyperlink ref="S40" r:id="rId2"/>
    <hyperlink ref="S46" r:id="rId3"/>
    <hyperlink ref="S48" r:id="rId4"/>
    <hyperlink ref="S42" r:id="rId5"/>
    <hyperlink ref="S41" r:id="rId6"/>
    <hyperlink ref="S47" r:id="rId7"/>
    <hyperlink ref="S43" r:id="rId8"/>
    <hyperlink ref="S45" r:id="rId9"/>
  </hyperlinks>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47" t="s">
        <v>1656</v>
      </c>
      <c r="B1" s="3047"/>
      <c r="C1" s="3047"/>
      <c r="D1" s="3047"/>
    </row>
    <row r="2" spans="1:4" ht="18">
      <c r="A2" s="3048" t="s">
        <v>1640</v>
      </c>
      <c r="B2" s="3048"/>
      <c r="C2" s="3048"/>
      <c r="D2" s="3048"/>
    </row>
    <row r="3" spans="1:4" ht="18.75">
      <c r="A3" s="1972" t="s">
        <v>1641</v>
      </c>
      <c r="B3" s="1972" t="s">
        <v>1642</v>
      </c>
      <c r="C3" s="1972" t="s">
        <v>1643</v>
      </c>
      <c r="D3" s="1972" t="s">
        <v>1644</v>
      </c>
    </row>
    <row r="4" spans="1:4" ht="56.25" customHeight="1">
      <c r="A4" s="1973">
        <f>项目基本情况!B4</f>
        <v>0</v>
      </c>
      <c r="B4" s="1974">
        <f>项目基本情况!C4</f>
        <v>0</v>
      </c>
      <c r="C4" s="1975"/>
      <c r="D4" s="1976" t="s">
        <v>1645</v>
      </c>
    </row>
    <row r="5" spans="1:4" ht="56.25" customHeight="1">
      <c r="A5" s="1973">
        <f>项目基本情况!D4</f>
        <v>0</v>
      </c>
      <c r="B5" s="1974">
        <f>项目基本情况!E4</f>
        <v>0</v>
      </c>
      <c r="C5" s="1977"/>
      <c r="D5" s="1976" t="s">
        <v>1645</v>
      </c>
    </row>
    <row r="6" spans="1:4" ht="18">
      <c r="A6" s="3048" t="s">
        <v>1646</v>
      </c>
      <c r="B6" s="3048"/>
      <c r="C6" s="3048"/>
      <c r="D6" s="3048"/>
    </row>
    <row r="7" spans="1:4" ht="18.75">
      <c r="A7" s="1972" t="s">
        <v>1641</v>
      </c>
      <c r="B7" s="1974" t="s">
        <v>1647</v>
      </c>
      <c r="C7" s="1972" t="s">
        <v>1643</v>
      </c>
      <c r="D7" s="1972" t="s">
        <v>1644</v>
      </c>
    </row>
    <row r="8" spans="1:4" ht="56.25" customHeight="1">
      <c r="A8" s="1978" t="s">
        <v>865</v>
      </c>
      <c r="B8" s="1978" t="s">
        <v>1</v>
      </c>
      <c r="C8" s="1975"/>
      <c r="D8" s="1976" t="s">
        <v>1645</v>
      </c>
    </row>
    <row r="9" spans="1:4">
      <c r="A9" s="725"/>
      <c r="B9" s="725"/>
      <c r="C9" s="725"/>
      <c r="D9" s="725"/>
    </row>
    <row r="10" spans="1:4" ht="18.75">
      <c r="A10" s="1979" t="s">
        <v>1648</v>
      </c>
      <c r="B10" s="725"/>
      <c r="C10" s="725"/>
      <c r="D10" s="725"/>
    </row>
    <row r="11" spans="1:4" ht="30" customHeight="1">
      <c r="A11" s="3049" t="s">
        <v>1649</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1"/>
      <c r="C12" s="3051"/>
      <c r="D12" s="3051"/>
    </row>
    <row r="13" spans="1:4" ht="30" customHeight="1">
      <c r="A13" s="3050" t="str">
        <f>IF(项目基本情况!B8="抵押","3.抵押双方在办理抵押登记手续时，应使用本公司出具的正式《房地产评估报告》，特提醒报告使用者注意。","——")</f>
        <v>——</v>
      </c>
      <c r="B13" s="3051"/>
      <c r="C13" s="3051"/>
      <c r="D13" s="3051"/>
    </row>
    <row r="14" spans="1:4" ht="15.75" customHeight="1">
      <c r="A14" s="3050" t="str">
        <f>IF(项目基本情况!B8="抵押","4.本次评估估价师所知悉的法定优先受偿款情况说明如下：","——")</f>
        <v>——</v>
      </c>
      <c r="B14" s="3051"/>
      <c r="C14" s="3051"/>
      <c r="D14" s="3051"/>
    </row>
    <row r="15" spans="1:4" ht="42" customHeight="1">
      <c r="A15" s="3050" t="str">
        <f>IF(项目基本情况!B8="抵押","（1）"&amp;CONCATENATE(项目基本情况!L20,项目基本情况!L21,项目基本情况!L22),"——")</f>
        <v>——</v>
      </c>
      <c r="B15" s="3050"/>
      <c r="C15" s="3050"/>
      <c r="D15" s="3050"/>
    </row>
    <row r="16" spans="1:4" ht="30" customHeight="1">
      <c r="A16" s="3053" t="s">
        <v>1650</v>
      </c>
      <c r="B16" s="3053"/>
      <c r="C16" s="3053"/>
      <c r="D16" s="3053"/>
    </row>
    <row r="17" spans="1:4" ht="144" customHeight="1">
      <c r="A17" s="3053" t="s">
        <v>1651</v>
      </c>
      <c r="B17" s="3053"/>
      <c r="C17" s="3053"/>
      <c r="D17" s="3053"/>
    </row>
    <row r="18" spans="1:4" ht="15.75" customHeight="1">
      <c r="A18" s="3050" t="str">
        <f>IF(项目基本情况!B8="抵押",结果表!K120,"——")</f>
        <v>——</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0"/>
      <c r="C20" s="3050"/>
      <c r="D20" s="3050"/>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4"/>
      <c r="C21" s="3054"/>
      <c r="D21" s="3054"/>
    </row>
    <row r="22" spans="1:4" ht="18.75" customHeight="1">
      <c r="A22" s="3055" t="s">
        <v>1652</v>
      </c>
      <c r="B22" s="3055"/>
      <c r="C22" s="3055"/>
      <c r="D22" s="3055"/>
    </row>
    <row r="23" spans="1:4">
      <c r="A23" s="1980"/>
      <c r="B23" s="1952"/>
      <c r="C23" s="1952"/>
      <c r="D23" s="1952"/>
    </row>
    <row r="24" spans="1:4">
      <c r="A24" s="1980"/>
      <c r="B24" s="1952"/>
      <c r="C24" s="1952"/>
      <c r="D24" s="1952"/>
    </row>
    <row r="25" spans="1:4" ht="18.75">
      <c r="A25" s="1981" t="s">
        <v>1653</v>
      </c>
    </row>
    <row r="26" spans="1:4" ht="18">
      <c r="A26" s="1950"/>
    </row>
    <row r="27" spans="1:4" ht="18.75">
      <c r="A27" s="1950" t="s">
        <v>1654</v>
      </c>
    </row>
    <row r="30" spans="1:4" ht="18.75">
      <c r="D30" s="1981" t="s">
        <v>1655</v>
      </c>
    </row>
    <row r="31" spans="1:4" ht="13.5" customHeight="1">
      <c r="C31" s="3052">
        <v>42551</v>
      </c>
      <c r="D31" s="30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13" sqref="D13"/>
      <selection pane="bottomLeft" activeCell="D13" sqref="D13"/>
    </sheetView>
  </sheetViews>
  <sheetFormatPr defaultColWidth="14.5" defaultRowHeight="14.25"/>
  <cols>
    <col min="1" max="1" width="14.5" style="1988" customWidth="1"/>
    <col min="2" max="16384" width="14.5" style="1970"/>
  </cols>
  <sheetData>
    <row r="1" spans="1:7" s="1985" customFormat="1" ht="18.75">
      <c r="A1" s="1984" t="s">
        <v>1657</v>
      </c>
    </row>
    <row r="3" spans="1:7">
      <c r="A3" s="1986" t="s">
        <v>82</v>
      </c>
      <c r="B3" s="1970" t="s">
        <v>1658</v>
      </c>
      <c r="G3" s="1987"/>
    </row>
    <row r="4" spans="1:7">
      <c r="G4" s="1987"/>
    </row>
    <row r="5" spans="1:7">
      <c r="A5" s="1989" t="s">
        <v>73</v>
      </c>
      <c r="B5" s="1970" t="s">
        <v>1659</v>
      </c>
      <c r="G5" s="1987"/>
    </row>
    <row r="6" spans="1:7">
      <c r="G6" s="1987"/>
    </row>
    <row r="7" spans="1:7">
      <c r="A7" s="1990" t="s">
        <v>135</v>
      </c>
      <c r="B7" s="1970" t="s">
        <v>1660</v>
      </c>
      <c r="G7" s="1987"/>
    </row>
    <row r="8" spans="1:7">
      <c r="G8" s="1987"/>
    </row>
    <row r="9" spans="1:7">
      <c r="A9" s="1991" t="s">
        <v>74</v>
      </c>
      <c r="B9" s="1970" t="s">
        <v>1661</v>
      </c>
    </row>
    <row r="11" spans="1:7">
      <c r="A11" s="1992" t="s">
        <v>75</v>
      </c>
      <c r="B11" s="1993" t="s">
        <v>72</v>
      </c>
    </row>
    <row r="13" spans="1:7">
      <c r="A13" s="1994" t="s">
        <v>1662</v>
      </c>
    </row>
    <row r="15" spans="1:7" ht="13.5">
      <c r="A15" s="3061" t="s">
        <v>1663</v>
      </c>
      <c r="B15" s="3056" t="s">
        <v>136</v>
      </c>
      <c r="C15" s="3057"/>
    </row>
    <row r="16" spans="1:7" ht="13.5">
      <c r="A16" s="3062"/>
      <c r="B16" s="3056" t="s">
        <v>69</v>
      </c>
      <c r="C16" s="3057"/>
    </row>
    <row r="17" spans="1:3" ht="13.5">
      <c r="A17" s="3062"/>
      <c r="B17" s="3059" t="s">
        <v>1664</v>
      </c>
      <c r="C17" s="1995" t="s">
        <v>1663</v>
      </c>
    </row>
    <row r="18" spans="1:3" ht="13.5">
      <c r="A18" s="3062"/>
      <c r="B18" s="3059"/>
      <c r="C18" s="1995" t="s">
        <v>1665</v>
      </c>
    </row>
    <row r="19" spans="1:3" ht="13.5">
      <c r="A19" s="3062"/>
      <c r="B19" s="3059"/>
      <c r="C19" s="1995" t="s">
        <v>1666</v>
      </c>
    </row>
    <row r="20" spans="1:3" ht="13.5">
      <c r="A20" s="3063"/>
      <c r="B20" s="3058" t="s">
        <v>1667</v>
      </c>
      <c r="C20" s="3057"/>
    </row>
    <row r="21" spans="1:3" ht="13.5">
      <c r="A21" s="1996" t="s">
        <v>1668</v>
      </c>
      <c r="B21" s="1997"/>
      <c r="C21" s="1998"/>
    </row>
    <row r="22" spans="1:3" ht="13.5">
      <c r="A22" s="3060" t="s">
        <v>1669</v>
      </c>
      <c r="B22" s="3058" t="s">
        <v>1670</v>
      </c>
      <c r="C22" s="3057"/>
    </row>
    <row r="23" spans="1:3" ht="13.5">
      <c r="A23" s="3060"/>
      <c r="B23" s="3058" t="s">
        <v>1671</v>
      </c>
      <c r="C23" s="3057"/>
    </row>
    <row r="24" spans="1:3" ht="13.5">
      <c r="A24" s="3060"/>
      <c r="B24" s="3058" t="s">
        <v>1672</v>
      </c>
      <c r="C24" s="3057"/>
    </row>
    <row r="25" spans="1:3" ht="13.5">
      <c r="A25" s="3060"/>
      <c r="B25" s="3059" t="s">
        <v>1673</v>
      </c>
      <c r="C25" s="1995" t="s">
        <v>1674</v>
      </c>
    </row>
    <row r="26" spans="1:3" ht="13.5">
      <c r="A26" s="3060"/>
      <c r="B26" s="3059"/>
      <c r="C26" s="1995" t="s">
        <v>1675</v>
      </c>
    </row>
    <row r="27" spans="1:3" ht="13.5">
      <c r="A27" s="3060"/>
      <c r="B27" s="3059"/>
      <c r="C27" s="1995" t="s">
        <v>1676</v>
      </c>
    </row>
    <row r="28" spans="1:3" ht="13.5">
      <c r="A28" s="3060"/>
      <c r="B28" s="3059"/>
      <c r="C28" s="1995" t="s">
        <v>1677</v>
      </c>
    </row>
    <row r="29" spans="1:3" ht="13.5">
      <c r="A29" s="3060"/>
      <c r="B29" s="3059"/>
      <c r="C29" s="1995" t="s">
        <v>1678</v>
      </c>
    </row>
    <row r="30" spans="1:3" ht="13.5">
      <c r="A30" s="3060"/>
      <c r="B30" s="3059"/>
      <c r="C30" s="1995" t="s">
        <v>1679</v>
      </c>
    </row>
    <row r="31" spans="1:3" ht="13.5">
      <c r="A31" s="3060"/>
      <c r="B31" s="3059"/>
      <c r="C31" s="1995" t="s">
        <v>1680</v>
      </c>
    </row>
    <row r="32" spans="1:3" ht="13.5">
      <c r="A32" s="3060"/>
      <c r="B32" s="3059"/>
      <c r="C32" s="1995" t="s">
        <v>1681</v>
      </c>
    </row>
    <row r="33" spans="1:3" ht="13.5">
      <c r="A33" s="3060"/>
      <c r="B33" s="3059"/>
      <c r="C33" s="1995" t="s">
        <v>1682</v>
      </c>
    </row>
    <row r="34" spans="1:3">
      <c r="A34" s="1999" t="s">
        <v>76</v>
      </c>
    </row>
    <row r="37" spans="1:3">
      <c r="A37" s="1999" t="s">
        <v>1683</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D13" sqref="D13"/>
    </sheetView>
  </sheetViews>
  <sheetFormatPr defaultColWidth="22.625" defaultRowHeight="24" customHeight="1"/>
  <cols>
    <col min="1" max="2" width="22.625" style="1012"/>
    <col min="3" max="3" width="32.125" style="1012" customWidth="1"/>
    <col min="4" max="5" width="22.625" style="1012"/>
    <col min="6" max="6" width="25.625" style="1012" customWidth="1"/>
    <col min="7" max="16384" width="22.625" style="1012"/>
  </cols>
  <sheetData>
    <row r="2" spans="1:6" ht="24" customHeight="1">
      <c r="A2" s="1014" t="s">
        <v>825</v>
      </c>
      <c r="B2" s="1015">
        <f ca="1">TODAY()</f>
        <v>43909</v>
      </c>
      <c r="C2" s="1016" t="s">
        <v>826</v>
      </c>
      <c r="D2" s="1016"/>
    </row>
    <row r="3" spans="1:6" ht="24" customHeight="1">
      <c r="A3" s="1017" t="s">
        <v>827</v>
      </c>
      <c r="B3" s="1018" t="s">
        <v>828</v>
      </c>
      <c r="C3" s="2343" t="s">
        <v>829</v>
      </c>
      <c r="D3" s="2346" t="s">
        <v>830</v>
      </c>
      <c r="E3" s="1019" t="s">
        <v>831</v>
      </c>
      <c r="F3" s="1018" t="s">
        <v>829</v>
      </c>
    </row>
    <row r="4" spans="1:6" ht="24" customHeight="1">
      <c r="A4" s="1698" t="s">
        <v>832</v>
      </c>
      <c r="B4" s="1019">
        <f ca="1">IF(C4&lt;B2,"已过期",1119970066)</f>
        <v>1119970066</v>
      </c>
      <c r="C4" s="2926">
        <v>44876</v>
      </c>
      <c r="D4" s="2347" t="s">
        <v>832</v>
      </c>
      <c r="E4" s="1019">
        <f ca="1">IF(F4&lt;B2,"已过期",96010014)</f>
        <v>96010014</v>
      </c>
      <c r="F4" s="1027">
        <v>47118</v>
      </c>
    </row>
    <row r="5" spans="1:6" ht="24" customHeight="1">
      <c r="A5" s="1698"/>
      <c r="B5" s="1019"/>
      <c r="C5" s="2344"/>
      <c r="D5" s="2347"/>
      <c r="E5" s="1019"/>
      <c r="F5" s="1027"/>
    </row>
    <row r="6" spans="1:6" ht="24" customHeight="1">
      <c r="A6" s="1698" t="s">
        <v>833</v>
      </c>
      <c r="B6" s="1019">
        <f ca="1">IF(C6&lt;B2,"已过期",1119970111)</f>
        <v>1119970111</v>
      </c>
      <c r="C6" s="2344">
        <v>44876</v>
      </c>
      <c r="D6" s="2347" t="s">
        <v>833</v>
      </c>
      <c r="E6" s="1019">
        <f ca="1">IF(F6&lt;B2,"已过期",94010078)</f>
        <v>94010078</v>
      </c>
      <c r="F6" s="1027">
        <v>46387</v>
      </c>
    </row>
    <row r="7" spans="1:6" ht="24" customHeight="1">
      <c r="A7" s="1698" t="s">
        <v>834</v>
      </c>
      <c r="B7" s="1019">
        <f ca="1">IF(C7&lt;B2,"已过期",1120050019)</f>
        <v>1120050019</v>
      </c>
      <c r="C7" s="2344">
        <v>44395</v>
      </c>
      <c r="D7" s="2347" t="s">
        <v>834</v>
      </c>
      <c r="E7" s="1019">
        <f ca="1">IF(F7&lt;B2,"已过期",2002110030)</f>
        <v>2002110030</v>
      </c>
      <c r="F7" s="1027">
        <v>46387</v>
      </c>
    </row>
    <row r="8" spans="1:6" ht="24" customHeight="1">
      <c r="A8" s="1698" t="s">
        <v>835</v>
      </c>
      <c r="B8" s="1019">
        <f ca="1">IF(C8&lt;B2,"已过期",1120000080)</f>
        <v>1120000080</v>
      </c>
      <c r="C8" s="2926">
        <v>44876</v>
      </c>
      <c r="D8" s="2347" t="s">
        <v>835</v>
      </c>
      <c r="E8" s="1019">
        <f ca="1">IF(F8&lt;B2,"已过期",2000110082)</f>
        <v>2000110082</v>
      </c>
      <c r="F8" s="1027">
        <v>46387</v>
      </c>
    </row>
    <row r="9" spans="1:6" ht="24" customHeight="1">
      <c r="A9" s="1698" t="s">
        <v>836</v>
      </c>
      <c r="B9" s="1019">
        <f ca="1">IF(C9&lt;B2,"已过期",1419970001)</f>
        <v>1419970001</v>
      </c>
      <c r="C9" s="2926">
        <v>44899</v>
      </c>
      <c r="D9" s="2347" t="s">
        <v>836</v>
      </c>
      <c r="E9" s="1019">
        <f ca="1">IF(F9&lt;B2,"已过期",2002110125)</f>
        <v>2002110125</v>
      </c>
      <c r="F9" s="1027">
        <v>47118</v>
      </c>
    </row>
    <row r="10" spans="1:6" ht="24" customHeight="1">
      <c r="A10" s="1698" t="s">
        <v>837</v>
      </c>
      <c r="B10" s="1019">
        <f ca="1">IF(C10&lt;B2,"已过期",1120060040)</f>
        <v>1120060040</v>
      </c>
      <c r="C10" s="2344">
        <v>44554</v>
      </c>
      <c r="D10" s="2347" t="s">
        <v>837</v>
      </c>
      <c r="E10" s="1019">
        <f ca="1">IF(F10&lt;B2,"已过期",2004110096)</f>
        <v>2004110096</v>
      </c>
      <c r="F10" s="1027">
        <v>47118</v>
      </c>
    </row>
    <row r="11" spans="1:6" ht="24" customHeight="1">
      <c r="A11" s="1698" t="s">
        <v>838</v>
      </c>
      <c r="B11" s="1019">
        <f ca="1">IF(C11&lt;B2,"已过期",1120100036)</f>
        <v>1120100036</v>
      </c>
      <c r="C11" s="2344">
        <v>44675</v>
      </c>
      <c r="D11" s="2347" t="s">
        <v>838</v>
      </c>
      <c r="E11" s="1019">
        <f ca="1">IF(F11&lt;B2,"已过期",2010110070)</f>
        <v>2010110070</v>
      </c>
      <c r="F11" s="1027">
        <v>47907</v>
      </c>
    </row>
    <row r="12" spans="1:6" ht="24" customHeight="1">
      <c r="A12" s="1698"/>
      <c r="B12" s="1019"/>
      <c r="C12" s="2926"/>
      <c r="D12" s="1698"/>
      <c r="E12" s="1019"/>
      <c r="F12" s="1027"/>
    </row>
    <row r="13" spans="1:6" ht="24" customHeight="1">
      <c r="A13" s="1698" t="s">
        <v>839</v>
      </c>
      <c r="B13" s="1019">
        <f ca="1">IF(C13&lt;B2,"已过期",1120070131)</f>
        <v>1120070131</v>
      </c>
      <c r="C13" s="2344">
        <v>44849</v>
      </c>
      <c r="D13" s="2347" t="s">
        <v>839</v>
      </c>
      <c r="E13" s="1019">
        <f ca="1">IF(F13&lt;B2,"已过期",2014110011)</f>
        <v>2014110011</v>
      </c>
      <c r="F13" s="1027">
        <v>49302</v>
      </c>
    </row>
    <row r="14" spans="1:6" ht="24" customHeight="1">
      <c r="A14" s="1698" t="s">
        <v>3041</v>
      </c>
      <c r="B14" s="1019">
        <f ca="1">IF(C14&lt;B2,"已过期",1120040230)</f>
        <v>1120040230</v>
      </c>
      <c r="C14" s="2344">
        <v>44864</v>
      </c>
      <c r="D14" s="2347" t="s">
        <v>3041</v>
      </c>
      <c r="E14" s="1019">
        <f ca="1">IF(F14&lt;B2,"已过期",98030020)</f>
        <v>98030020</v>
      </c>
      <c r="F14" s="1027">
        <v>47118</v>
      </c>
    </row>
    <row r="15" spans="1:6" ht="24" customHeight="1">
      <c r="A15" s="1699"/>
      <c r="B15" s="1019"/>
      <c r="C15" s="2344"/>
      <c r="D15" s="2348"/>
      <c r="E15" s="1019"/>
      <c r="F15" s="1020"/>
    </row>
    <row r="16" spans="1:6" ht="24" customHeight="1">
      <c r="A16" s="1698"/>
      <c r="B16" s="1019"/>
      <c r="C16" s="2926"/>
      <c r="D16" s="2347"/>
      <c r="E16" s="1019"/>
      <c r="F16" s="1027"/>
    </row>
    <row r="17" spans="1:7" ht="24" customHeight="1">
      <c r="A17" s="1698"/>
      <c r="B17" s="1019"/>
      <c r="C17" s="2344"/>
      <c r="D17" s="2347"/>
      <c r="E17" s="1019"/>
      <c r="F17" s="1027"/>
    </row>
    <row r="18" spans="1:7" ht="24" customHeight="1">
      <c r="A18" s="1698" t="s">
        <v>3048</v>
      </c>
      <c r="B18" s="1019">
        <v>1120190079</v>
      </c>
      <c r="C18" s="2926">
        <v>44826</v>
      </c>
      <c r="D18" s="2347"/>
      <c r="E18" s="1019"/>
      <c r="F18" s="1027"/>
    </row>
    <row r="19" spans="1:7" ht="24" customHeight="1">
      <c r="A19" s="1698"/>
      <c r="B19" s="1019"/>
      <c r="C19" s="2344"/>
      <c r="D19" s="2347"/>
      <c r="E19" s="1019"/>
      <c r="F19" s="1019"/>
    </row>
    <row r="20" spans="1:7" ht="24" customHeight="1">
      <c r="A20" s="1698"/>
      <c r="B20" s="1019"/>
      <c r="C20" s="2344"/>
      <c r="D20" s="2347"/>
      <c r="E20" s="1019"/>
      <c r="F20" s="1019"/>
    </row>
    <row r="21" spans="1:7" ht="24" customHeight="1">
      <c r="A21" s="1698"/>
      <c r="B21" s="1019"/>
      <c r="C21" s="2344"/>
      <c r="D21" s="2347" t="s">
        <v>840</v>
      </c>
      <c r="E21" s="1019">
        <f ca="1">IF(F21&lt;B2,"已过期",2011110090)</f>
        <v>2011110090</v>
      </c>
      <c r="F21" s="1027">
        <v>48302</v>
      </c>
    </row>
    <row r="22" spans="1:7" ht="24" customHeight="1">
      <c r="A22" s="1698" t="s">
        <v>841</v>
      </c>
      <c r="B22" s="1019">
        <f ca="1">IF(C22&lt;B2,"已过期",1120020033)</f>
        <v>1120020033</v>
      </c>
      <c r="C22" s="2926">
        <v>44339</v>
      </c>
      <c r="D22" s="2347" t="s">
        <v>841</v>
      </c>
      <c r="E22" s="1019">
        <f ca="1">IF(F22&lt;B2,"已过期",2000110137)</f>
        <v>2000110137</v>
      </c>
      <c r="F22" s="1027">
        <v>46387</v>
      </c>
    </row>
    <row r="23" spans="1:7" ht="24" customHeight="1">
      <c r="A23" s="1698" t="s">
        <v>3050</v>
      </c>
      <c r="B23" s="1019">
        <v>1119980106</v>
      </c>
      <c r="C23" s="2344">
        <v>43916</v>
      </c>
      <c r="D23" s="1698" t="s">
        <v>3053</v>
      </c>
      <c r="E23" s="1019">
        <v>96010063</v>
      </c>
      <c r="F23" s="1027">
        <v>47118</v>
      </c>
    </row>
    <row r="24" spans="1:7" s="1021" customFormat="1" ht="24" customHeight="1">
      <c r="A24" s="1699" t="s">
        <v>1328</v>
      </c>
      <c r="B24" s="1699" t="s">
        <v>1328</v>
      </c>
      <c r="C24" s="2345" t="s">
        <v>1328</v>
      </c>
      <c r="D24" s="2348" t="s">
        <v>1328</v>
      </c>
      <c r="E24" s="1699" t="s">
        <v>1328</v>
      </c>
      <c r="F24" s="1699" t="s">
        <v>1328</v>
      </c>
    </row>
    <row r="25" spans="1:7" ht="24" customHeight="1">
      <c r="A25" s="3064" t="s">
        <v>842</v>
      </c>
      <c r="B25" s="3064"/>
      <c r="C25" s="3064"/>
      <c r="D25" s="3064"/>
      <c r="E25" s="3064"/>
      <c r="F25" s="3064"/>
      <c r="G25" s="3064"/>
    </row>
    <row r="26" spans="1:7" s="1022" customFormat="1" ht="24" customHeight="1">
      <c r="A26" s="3065" t="s">
        <v>843</v>
      </c>
      <c r="B26" s="3065"/>
      <c r="C26" s="3066"/>
      <c r="D26" s="3067" t="s">
        <v>844</v>
      </c>
      <c r="E26" s="3065"/>
      <c r="F26" s="3065"/>
    </row>
    <row r="27" spans="1:7" s="1024" customFormat="1" ht="24" customHeight="1">
      <c r="A27" s="1023" t="s">
        <v>845</v>
      </c>
      <c r="B27" s="1018" t="s">
        <v>846</v>
      </c>
      <c r="C27" s="2343" t="s">
        <v>847</v>
      </c>
      <c r="D27" s="2350" t="s">
        <v>845</v>
      </c>
      <c r="E27" s="1018" t="s">
        <v>846</v>
      </c>
      <c r="F27" s="1018" t="s">
        <v>847</v>
      </c>
    </row>
    <row r="28" spans="1:7" s="1024" customFormat="1" ht="24" customHeight="1">
      <c r="A28" s="1025" t="s">
        <v>848</v>
      </c>
      <c r="B28" s="1026" t="s">
        <v>849</v>
      </c>
      <c r="C28" s="1027">
        <v>44820</v>
      </c>
      <c r="D28" s="2351" t="s">
        <v>850</v>
      </c>
      <c r="E28" s="1025" t="s">
        <v>851</v>
      </c>
      <c r="F28" s="1055">
        <v>44377</v>
      </c>
    </row>
    <row r="29" spans="1:7" s="1024" customFormat="1" ht="24" customHeight="1">
      <c r="A29" s="1025"/>
      <c r="B29" s="1025"/>
      <c r="C29" s="2349"/>
      <c r="D29" s="2351" t="s">
        <v>852</v>
      </c>
      <c r="E29" s="1199" t="s">
        <v>3049</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规证</vt:lpstr>
      <vt:lpstr>抵押物清单（分楼）</vt:lpstr>
      <vt:lpstr>数据-汇总表</vt:lpstr>
      <vt:lpstr>数据-取费表</vt:lpstr>
      <vt:lpstr>估价对象房地状况</vt:lpstr>
      <vt:lpstr>系统读取表</vt:lpstr>
      <vt:lpstr>遵义大酒店建设项目内部计量台账</vt:lpstr>
      <vt:lpstr>结果表</vt:lpstr>
      <vt:lpstr>成本法</vt:lpstr>
      <vt:lpstr>成本法 (元)</vt:lpstr>
      <vt:lpstr>土地比较法-住宅、综合</vt:lpstr>
      <vt:lpstr>土地案例（新蒲新区）</vt:lpstr>
      <vt:lpstr>土地案例（汇川区&amp;红花岗区）</vt:lpstr>
      <vt:lpstr>假设开发法</vt:lpstr>
      <vt:lpstr>收益法（计容）</vt:lpstr>
      <vt:lpstr>收益法 (元)</vt:lpstr>
      <vt:lpstr>收益法（汇总）</vt:lpstr>
      <vt:lpstr>收益法（不计容）</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售价</vt:lpstr>
      <vt:lpstr>估价师及机构信息!Print_Area</vt:lpstr>
      <vt:lpstr>'收益法 (元)'!Print_Area</vt:lpstr>
      <vt:lpstr>'收益法（不计容）'!Print_Area</vt:lpstr>
      <vt:lpstr>'收益法（计容）'!Print_Area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2020-03-19T05:04:07Z</dcterms:modified>
</cp:coreProperties>
</file>