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78" r:id="rId22"/>
    <sheet name="收益法-自用"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'收益法-出租'!$A$1:$AK$69</definedName>
    <definedName name="_xlnm.Print_Area" localSheetId="22">'收益法-自用'!$A$1:$AK$69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1" i="78"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F41" i="78"/>
  <c r="C40" i="78"/>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E44" i="78"/>
  <c r="AE7" i="1"/>
  <c r="AG7" i="1"/>
  <c r="M27" i="78"/>
  <c r="J26" i="78"/>
  <c r="J29" i="78"/>
  <c r="J60" i="78"/>
  <c r="L46" i="78"/>
  <c r="B2" i="78"/>
  <c r="AO7" i="1"/>
  <c r="B7" i="70"/>
  <c r="AO8" i="1"/>
  <c r="B8" i="70"/>
  <c r="AO9" i="1"/>
  <c r="B9" i="70"/>
  <c r="AO10" i="1"/>
  <c r="B10" i="70"/>
  <c r="AO11" i="1"/>
  <c r="B11" i="70"/>
  <c r="AO12" i="1"/>
  <c r="B12" i="70"/>
  <c r="AO13" i="1"/>
  <c r="B13" i="70"/>
  <c r="B2" i="70"/>
  <c r="C19" i="9"/>
  <c r="F60" i="37"/>
  <c r="G60" i="37"/>
  <c r="F10" i="37"/>
  <c r="AA10" i="37"/>
  <c r="R42" i="37"/>
  <c r="H10" i="37"/>
  <c r="AB10" i="37"/>
  <c r="T42" i="37"/>
  <c r="J10" i="37"/>
  <c r="AC10" i="37"/>
  <c r="V42" i="37"/>
  <c r="R43" i="37"/>
  <c r="C43" i="37"/>
  <c r="B2" i="37"/>
  <c r="D19" i="9"/>
  <c r="C17" i="9"/>
  <c r="D17" i="9"/>
  <c r="C18" i="9"/>
  <c r="D18" i="9"/>
  <c r="G19" i="9"/>
  <c r="C32" i="9"/>
  <c r="H118" i="9"/>
  <c r="F35" i="9"/>
  <c r="F34" i="9"/>
  <c r="B29" i="1"/>
  <c r="A6" i="1"/>
  <c r="A7" i="1"/>
  <c r="G1" i="78"/>
  <c r="F20" i="6"/>
  <c r="E20" i="6"/>
  <c r="K7" i="1"/>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E5" i="6"/>
  <c r="E6" i="6"/>
  <c r="F19" i="6"/>
  <c r="E19" i="6"/>
  <c r="E21" i="6"/>
  <c r="E22" i="6"/>
  <c r="E23" i="6"/>
  <c r="E24" i="6"/>
  <c r="E25" i="6"/>
  <c r="E26" i="6"/>
  <c r="E27" i="6"/>
  <c r="K20" i="6"/>
  <c r="S7" i="1"/>
  <c r="T7" i="1"/>
  <c r="F15" i="78"/>
  <c r="F17" i="78"/>
  <c r="F18" i="78"/>
  <c r="F20" i="78"/>
  <c r="D3" i="4"/>
  <c r="C1" i="73"/>
  <c r="J1" i="73"/>
  <c r="B22" i="1"/>
  <c r="E1" i="73"/>
  <c r="K1" i="73"/>
  <c r="F23" i="78"/>
  <c r="F21" i="78"/>
  <c r="B43" i="1"/>
  <c r="B41" i="1"/>
  <c r="F28" i="78"/>
  <c r="B2" i="1"/>
  <c r="C42" i="1"/>
  <c r="C28" i="78"/>
  <c r="B38" i="77"/>
  <c r="B39" i="77"/>
  <c r="N7" i="1"/>
  <c r="Y7" i="1"/>
  <c r="E38" i="77"/>
  <c r="E39" i="77"/>
  <c r="AD7" i="1"/>
  <c r="G1" i="15"/>
  <c r="K6" i="1"/>
  <c r="M6" i="1"/>
  <c r="K19" i="6"/>
  <c r="S6" i="1"/>
  <c r="T6" i="1"/>
  <c r="F15" i="15"/>
  <c r="F17" i="15"/>
  <c r="F18" i="15"/>
  <c r="F20" i="15"/>
  <c r="F23" i="15"/>
  <c r="F21" i="15"/>
  <c r="F28" i="15"/>
  <c r="C28" i="15"/>
  <c r="N6" i="1"/>
  <c r="Y6" i="1"/>
  <c r="B2" i="49"/>
  <c r="B11" i="49"/>
  <c r="E4" i="4"/>
  <c r="B5" i="62"/>
  <c r="B7" i="49"/>
  <c r="C4" i="4"/>
  <c r="B4" i="62"/>
  <c r="L1" i="73"/>
  <c r="F32" i="15"/>
  <c r="F33" i="15"/>
  <c r="B3" i="3"/>
  <c r="AY6" i="3"/>
  <c r="D3" i="6"/>
  <c r="D19" i="6"/>
  <c r="L19" i="6"/>
  <c r="M19" i="6"/>
  <c r="I19" i="6"/>
  <c r="H19" i="6"/>
  <c r="R19" i="6"/>
  <c r="B52" i="1"/>
  <c r="F34" i="15"/>
  <c r="I15" i="4"/>
  <c r="F6" i="1"/>
  <c r="M47" i="15"/>
  <c r="J50" i="15"/>
  <c r="J51" i="15"/>
  <c r="E43" i="77"/>
  <c r="F43" i="77"/>
  <c r="E44" i="77"/>
  <c r="F44" i="77"/>
  <c r="E45" i="77"/>
  <c r="F45" i="77"/>
  <c r="E46" i="77"/>
  <c r="F46" i="77"/>
  <c r="F47" i="77"/>
  <c r="F48" i="77"/>
  <c r="E48" i="77"/>
  <c r="G48" i="77"/>
  <c r="E50" i="77"/>
  <c r="F50" i="77"/>
  <c r="E51" i="77"/>
  <c r="F51" i="77"/>
  <c r="F52" i="77"/>
  <c r="F53" i="77"/>
  <c r="E53" i="77"/>
  <c r="G53" i="77"/>
  <c r="A54" i="77"/>
  <c r="U7" i="1"/>
  <c r="F32" i="78"/>
  <c r="F33" i="78"/>
  <c r="D20" i="6"/>
  <c r="L20" i="6"/>
  <c r="M20" i="6"/>
  <c r="I20" i="6"/>
  <c r="H20" i="6"/>
  <c r="R20" i="6"/>
  <c r="F34" i="78"/>
  <c r="Z7" i="1"/>
  <c r="M18" i="78"/>
  <c r="M19" i="78"/>
  <c r="M20" i="78"/>
  <c r="F7" i="1"/>
  <c r="M47" i="78"/>
  <c r="J50" i="78"/>
  <c r="J51" i="78"/>
  <c r="A6" i="70"/>
  <c r="A7" i="70"/>
  <c r="A8" i="70"/>
  <c r="A9" i="70"/>
  <c r="A10" i="70"/>
  <c r="A11" i="70"/>
  <c r="A12" i="70"/>
  <c r="A13" i="70"/>
  <c r="E6" i="70"/>
  <c r="E7" i="70"/>
  <c r="E8" i="70"/>
  <c r="E9" i="70"/>
  <c r="E10" i="70"/>
  <c r="E11" i="70"/>
  <c r="E12" i="70"/>
  <c r="E13" i="70"/>
  <c r="E2" i="70"/>
  <c r="B3" i="70"/>
  <c r="E41" i="37"/>
  <c r="R41" i="37"/>
  <c r="C7" i="37"/>
  <c r="C52" i="37"/>
  <c r="D52" i="37"/>
  <c r="E52" i="37"/>
  <c r="F52" i="37"/>
  <c r="G52" i="37"/>
  <c r="H52" i="37"/>
  <c r="I52" i="37"/>
  <c r="J52" i="37"/>
  <c r="K52" i="37"/>
  <c r="L52" i="37"/>
  <c r="M52" i="37"/>
  <c r="N52" i="37"/>
  <c r="O52" i="37"/>
  <c r="F7" i="37"/>
  <c r="AA7" i="37"/>
  <c r="F8" i="37"/>
  <c r="AA8" i="37"/>
  <c r="C57" i="37"/>
  <c r="F9" i="37"/>
  <c r="AA9" i="37"/>
  <c r="D63" i="37"/>
  <c r="F29" i="6"/>
  <c r="G29" i="6"/>
  <c r="E29" i="6"/>
  <c r="E30" i="6"/>
  <c r="E31" i="6"/>
  <c r="D21" i="6"/>
  <c r="D22" i="6"/>
  <c r="D23" i="6"/>
  <c r="D24" i="6"/>
  <c r="D25" i="6"/>
  <c r="D26" i="6"/>
  <c r="D27" i="6"/>
  <c r="D28" i="6"/>
  <c r="D29" i="6"/>
  <c r="D30" i="6"/>
  <c r="D31" i="6"/>
  <c r="I5" i="6"/>
  <c r="C11" i="37"/>
  <c r="F11" i="37"/>
  <c r="AA11" i="37"/>
  <c r="B64" i="37"/>
  <c r="F12" i="37"/>
  <c r="AA12" i="37"/>
  <c r="B66" i="37"/>
  <c r="F13" i="37"/>
  <c r="AA13" i="37"/>
  <c r="B68" i="37"/>
  <c r="F14" i="37"/>
  <c r="AA14" i="37"/>
  <c r="D71" i="37"/>
  <c r="F15" i="37"/>
  <c r="AA15" i="37"/>
  <c r="D73" i="37"/>
  <c r="E73" i="37"/>
  <c r="F17" i="37"/>
  <c r="AA17" i="37"/>
  <c r="D75" i="37"/>
  <c r="E75" i="37"/>
  <c r="F19" i="37"/>
  <c r="AA19" i="37"/>
  <c r="F21" i="37"/>
  <c r="AA21" i="37"/>
  <c r="D79" i="37"/>
  <c r="F23" i="37"/>
  <c r="AA23" i="37"/>
  <c r="B80" i="37"/>
  <c r="F25" i="37"/>
  <c r="AA25" i="37"/>
  <c r="B82" i="37"/>
  <c r="F26" i="37"/>
  <c r="AA26" i="37"/>
  <c r="B84" i="37"/>
  <c r="F27" i="37"/>
  <c r="AA27" i="37"/>
  <c r="B86" i="37"/>
  <c r="F28" i="37"/>
  <c r="AA28" i="37"/>
  <c r="D89" i="37"/>
  <c r="F29" i="37"/>
  <c r="AA29" i="37"/>
  <c r="C30" i="37"/>
  <c r="F30" i="37"/>
  <c r="AA30" i="37"/>
  <c r="D94" i="37"/>
  <c r="F31" i="37"/>
  <c r="AA31" i="37"/>
  <c r="D96" i="37"/>
  <c r="E96" i="37"/>
  <c r="F96" i="37"/>
  <c r="F32" i="37"/>
  <c r="AA32" i="37"/>
  <c r="D99" i="37"/>
  <c r="E99" i="37"/>
  <c r="F99" i="37"/>
  <c r="G99" i="37"/>
  <c r="C33" i="37"/>
  <c r="F33" i="37"/>
  <c r="AA33" i="37"/>
  <c r="D101" i="37"/>
  <c r="F34" i="37"/>
  <c r="AA34" i="37"/>
  <c r="D103" i="37"/>
  <c r="E103" i="37"/>
  <c r="F35" i="37"/>
  <c r="AA35" i="37"/>
  <c r="D105" i="37"/>
  <c r="E105" i="37"/>
  <c r="F105" i="37"/>
  <c r="F36" i="37"/>
  <c r="AA36" i="37"/>
  <c r="D107" i="37"/>
  <c r="F37" i="37"/>
  <c r="AA37" i="37"/>
  <c r="B108" i="37"/>
  <c r="F38" i="37"/>
  <c r="AA38" i="37"/>
  <c r="B110" i="37"/>
  <c r="F39" i="37"/>
  <c r="AA39" i="37"/>
  <c r="B112" i="37"/>
  <c r="F40" i="37"/>
  <c r="AA40" i="37"/>
  <c r="G41" i="37"/>
  <c r="T41" i="37"/>
  <c r="H7" i="37"/>
  <c r="AB7" i="37"/>
  <c r="H8" i="37"/>
  <c r="AB8" i="37"/>
  <c r="H9" i="37"/>
  <c r="AB9" i="37"/>
  <c r="H11" i="37"/>
  <c r="AB11" i="37"/>
  <c r="H12" i="37"/>
  <c r="AB12" i="37"/>
  <c r="H13" i="37"/>
  <c r="AB13" i="37"/>
  <c r="H14" i="37"/>
  <c r="AB14" i="37"/>
  <c r="H15" i="37"/>
  <c r="AB15" i="37"/>
  <c r="H17" i="37"/>
  <c r="AB17" i="37"/>
  <c r="H19" i="37"/>
  <c r="AB19" i="37"/>
  <c r="H21" i="37"/>
  <c r="AB21" i="37"/>
  <c r="H23" i="37"/>
  <c r="AB23" i="37"/>
  <c r="H25" i="37"/>
  <c r="AB25" i="37"/>
  <c r="H26" i="37"/>
  <c r="AB26" i="37"/>
  <c r="H27" i="37"/>
  <c r="AB27" i="37"/>
  <c r="H28" i="37"/>
  <c r="AB28" i="37"/>
  <c r="H29" i="37"/>
  <c r="AB29" i="37"/>
  <c r="H30" i="37"/>
  <c r="AB30" i="37"/>
  <c r="H31" i="37"/>
  <c r="AB31" i="37"/>
  <c r="H32" i="37"/>
  <c r="AB32" i="37"/>
  <c r="H33" i="37"/>
  <c r="AB33" i="37"/>
  <c r="H34" i="37"/>
  <c r="AB34" i="37"/>
  <c r="H35" i="37"/>
  <c r="AB35" i="37"/>
  <c r="H36" i="37"/>
  <c r="AB36" i="37"/>
  <c r="H37" i="37"/>
  <c r="AB37" i="37"/>
  <c r="H38" i="37"/>
  <c r="AB38" i="37"/>
  <c r="H39" i="37"/>
  <c r="AB39" i="37"/>
  <c r="H40" i="37"/>
  <c r="AB40" i="37"/>
  <c r="I41" i="37"/>
  <c r="V41" i="37"/>
  <c r="J7" i="37"/>
  <c r="AC7" i="37"/>
  <c r="J8" i="37"/>
  <c r="AC8" i="37"/>
  <c r="J9" i="37"/>
  <c r="AC9" i="37"/>
  <c r="E63" i="37"/>
  <c r="J11" i="37"/>
  <c r="AC11" i="37"/>
  <c r="J12" i="37"/>
  <c r="AC12" i="37"/>
  <c r="J13" i="37"/>
  <c r="AC13" i="37"/>
  <c r="J14" i="37"/>
  <c r="AC14" i="37"/>
  <c r="J15" i="37"/>
  <c r="AC15" i="37"/>
  <c r="J17" i="37"/>
  <c r="AC17" i="37"/>
  <c r="J19" i="37"/>
  <c r="AC19" i="37"/>
  <c r="J21" i="37"/>
  <c r="AC21" i="37"/>
  <c r="J23" i="37"/>
  <c r="AC23" i="37"/>
  <c r="J25" i="37"/>
  <c r="AC25" i="37"/>
  <c r="J26" i="37"/>
  <c r="AC26" i="37"/>
  <c r="J27" i="37"/>
  <c r="AC27" i="37"/>
  <c r="J28" i="37"/>
  <c r="AC28" i="37"/>
  <c r="J29" i="37"/>
  <c r="AC29" i="37"/>
  <c r="J30" i="37"/>
  <c r="AC30" i="37"/>
  <c r="J31" i="37"/>
  <c r="AC31" i="37"/>
  <c r="J32" i="37"/>
  <c r="AC32" i="37"/>
  <c r="I33" i="37"/>
  <c r="J33" i="37"/>
  <c r="AC33" i="37"/>
  <c r="J34" i="37"/>
  <c r="AC34" i="37"/>
  <c r="J35" i="37"/>
  <c r="AC35" i="37"/>
  <c r="J36" i="37"/>
  <c r="AC36" i="37"/>
  <c r="J37" i="37"/>
  <c r="AC37" i="37"/>
  <c r="J38" i="37"/>
  <c r="AC38" i="37"/>
  <c r="J39" i="37"/>
  <c r="AC39" i="37"/>
  <c r="J40" i="37"/>
  <c r="AC40" i="37"/>
  <c r="D3" i="37"/>
  <c r="C24" i="9"/>
  <c r="C35" i="9"/>
  <c r="D35" i="9"/>
  <c r="F118" i="9"/>
  <c r="F119" i="9"/>
  <c r="F5" i="52"/>
  <c r="M18" i="9"/>
  <c r="B118" i="9"/>
  <c r="G118" i="9"/>
  <c r="G4" i="52"/>
  <c r="F4" i="52"/>
  <c r="C34" i="9"/>
  <c r="D118" i="9"/>
  <c r="D119" i="9"/>
  <c r="D5" i="52"/>
  <c r="I118" i="9"/>
  <c r="E118" i="9"/>
  <c r="E4" i="52"/>
  <c r="D4" i="52"/>
  <c r="H101" i="9"/>
  <c r="E109" i="9"/>
  <c r="H105" i="9"/>
  <c r="H106" i="9"/>
  <c r="H109" i="9"/>
  <c r="D16" i="53"/>
  <c r="D17" i="53"/>
  <c r="H110" i="9"/>
  <c r="D18" i="53"/>
  <c r="D5" i="53"/>
  <c r="D6" i="53"/>
  <c r="H102" i="9"/>
  <c r="D7" i="53"/>
  <c r="S2" i="4"/>
  <c r="C11" i="4"/>
  <c r="C18" i="4"/>
  <c r="C17" i="4"/>
  <c r="A10" i="51"/>
  <c r="A7" i="51"/>
  <c r="K4" i="4"/>
  <c r="B46" i="48"/>
  <c r="A8" i="1"/>
  <c r="R8" i="1"/>
  <c r="AE8" i="1"/>
  <c r="C83" i="78"/>
  <c r="C82" i="78"/>
  <c r="C76" i="78"/>
  <c r="C75" i="78"/>
  <c r="C80" i="78"/>
  <c r="C79" i="78"/>
  <c r="Q65"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B24" i="1"/>
  <c r="M59" i="78"/>
  <c r="J59" i="78"/>
  <c r="F59" i="78"/>
  <c r="Q58" i="78"/>
  <c r="J57" i="78"/>
  <c r="J55" i="78"/>
  <c r="J58" i="78"/>
  <c r="L57" i="78"/>
  <c r="L56" i="78"/>
  <c r="I54" i="78"/>
  <c r="Q47" i="78"/>
  <c r="Q48" i="78"/>
  <c r="Q53" i="78"/>
  <c r="Q52" i="78"/>
  <c r="Q51" i="78"/>
  <c r="Q50" i="78"/>
  <c r="Q49" i="78"/>
  <c r="D46" i="78"/>
  <c r="C46" i="78"/>
  <c r="C43" i="78"/>
  <c r="F31" i="78"/>
  <c r="M29" i="78"/>
  <c r="D24" i="78"/>
  <c r="D23" i="78"/>
  <c r="D22" i="78"/>
  <c r="M17" i="78"/>
  <c r="B3" i="78"/>
  <c r="A38" i="77"/>
  <c r="C6" i="37"/>
  <c r="B7" i="4"/>
  <c r="K8" i="1"/>
  <c r="A9" i="1"/>
  <c r="K9" i="1"/>
  <c r="A10" i="1"/>
  <c r="K10" i="1"/>
  <c r="A11" i="1"/>
  <c r="K11" i="1"/>
  <c r="A12" i="1"/>
  <c r="K12" i="1"/>
  <c r="A13" i="1"/>
  <c r="K13" i="1"/>
  <c r="K14" i="1"/>
  <c r="K15" i="1"/>
  <c r="K16"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I2" i="43"/>
  <c r="M5"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3" i="49"/>
  <c r="B40" i="48"/>
  <c r="B3" i="72"/>
  <c r="N1" i="43"/>
  <c r="F35" i="4"/>
  <c r="J55" i="39"/>
  <c r="H34" i="43"/>
  <c r="H35" i="43"/>
  <c r="H36" i="43"/>
  <c r="H37" i="43"/>
  <c r="H38" i="43"/>
  <c r="H39" i="43"/>
  <c r="P17" i="43"/>
  <c r="O17" i="43"/>
  <c r="N17" i="43"/>
  <c r="M17" i="43"/>
  <c r="C18" i="43"/>
  <c r="F15" i="43"/>
  <c r="E15" i="43"/>
  <c r="D15" i="43"/>
  <c r="C15" i="43"/>
  <c r="C10" i="43"/>
  <c r="C11" i="43"/>
  <c r="C9" i="43"/>
  <c r="A7" i="43"/>
  <c r="F61" i="15"/>
  <c r="M19" i="15"/>
  <c r="M10" i="1"/>
  <c r="O10" i="1"/>
  <c r="B23" i="1"/>
  <c r="D78" i="9"/>
  <c r="M8" i="1"/>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U25" i="37"/>
  <c r="C23" i="37"/>
  <c r="C19" i="37"/>
  <c r="C17" i="37"/>
  <c r="C15" i="37"/>
  <c r="E107" i="37"/>
  <c r="W35"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7" i="37"/>
  <c r="U37" i="37"/>
  <c r="U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S13" i="37"/>
  <c r="W13" i="37"/>
  <c r="U2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S14" i="37"/>
  <c r="F13" i="39"/>
  <c r="J13" i="39"/>
  <c r="W13" i="39"/>
  <c r="H13" i="39"/>
  <c r="H14" i="40"/>
  <c r="AB14" i="40"/>
  <c r="J14" i="40"/>
  <c r="W14" i="40"/>
  <c r="F14" i="40"/>
  <c r="AA14" i="40"/>
  <c r="AA44" i="33"/>
  <c r="AA13" i="35"/>
  <c r="U31" i="34"/>
  <c r="U46" i="33"/>
  <c r="AA14" i="33"/>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U33"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W9" i="37"/>
  <c r="S9" i="37"/>
  <c r="W12" i="37"/>
  <c r="S12" i="37"/>
  <c r="E71" i="37"/>
  <c r="E94" i="37"/>
  <c r="S31" i="37"/>
  <c r="F12" i="39"/>
  <c r="S12" i="39"/>
  <c r="J42" i="39"/>
  <c r="AC42" i="39"/>
  <c r="H21" i="40"/>
  <c r="AB21" i="40"/>
  <c r="F94" i="37"/>
  <c r="G94" i="37"/>
  <c r="H94" i="37"/>
  <c r="I94" i="37"/>
  <c r="J94" i="37"/>
  <c r="K94" i="37"/>
  <c r="L94" i="37"/>
  <c r="M94" i="37"/>
  <c r="U31" i="37"/>
  <c r="F71" i="37"/>
  <c r="G71"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W27" i="37"/>
  <c r="S26" i="37"/>
  <c r="U29" i="37"/>
  <c r="S32" i="37"/>
  <c r="W30" i="37"/>
  <c r="S36" i="37"/>
  <c r="U32" i="37"/>
  <c r="W38" i="37"/>
  <c r="W39" i="37"/>
  <c r="S30" i="37"/>
  <c r="S37" i="37"/>
  <c r="W17" i="37"/>
  <c r="G73" i="37"/>
  <c r="F75" i="37"/>
  <c r="F79" i="37"/>
  <c r="S23" i="37"/>
  <c r="U23" i="37"/>
  <c r="U15" i="37"/>
  <c r="U9" i="37"/>
  <c r="H60" i="37"/>
  <c r="F63"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B13" i="49"/>
  <c r="E16"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I60" i="37"/>
  <c r="G63"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W23" i="37"/>
  <c r="U11" i="37"/>
  <c r="H63" i="37"/>
  <c r="I63" i="37"/>
  <c r="J63" i="37"/>
  <c r="K63" i="37"/>
  <c r="L63" i="37"/>
  <c r="M63" i="37"/>
  <c r="W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U7" i="37"/>
  <c r="H6" i="3"/>
  <c r="AC6" i="3"/>
  <c r="D19" i="11"/>
  <c r="C19" i="11"/>
  <c r="C20" i="11"/>
  <c r="B4" i="52"/>
  <c r="B43" i="72"/>
  <c r="D37" i="11"/>
  <c r="L18" i="9"/>
  <c r="D14" i="12"/>
  <c r="D17" i="12"/>
  <c r="C17" i="12"/>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AB10" i="40"/>
  <c r="F10" i="39"/>
  <c r="S10" i="39"/>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W11" i="37"/>
  <c r="G42" i="37"/>
  <c r="G46" i="37"/>
  <c r="H46" i="37"/>
  <c r="W11" i="34"/>
  <c r="AC11" i="34"/>
  <c r="J5" i="67"/>
  <c r="B2" i="74"/>
  <c r="AB7" i="36"/>
  <c r="T36" i="36"/>
  <c r="C23" i="68"/>
  <c r="E38" i="43"/>
  <c r="E6" i="3"/>
  <c r="C47" i="68"/>
  <c r="D45" i="68"/>
  <c r="AA10" i="39"/>
  <c r="D10" i="68"/>
  <c r="D10" i="11"/>
  <c r="C10" i="11"/>
  <c r="D20" i="12"/>
  <c r="C20" i="12"/>
  <c r="C18" i="12"/>
  <c r="D15" i="6"/>
  <c r="D8" i="6"/>
  <c r="D14" i="6"/>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16" i="6"/>
  <c r="B7" i="72"/>
  <c r="C4" i="52"/>
  <c r="B45" i="72"/>
  <c r="B9" i="72"/>
  <c r="D19" i="68"/>
  <c r="C10" i="68"/>
  <c r="C12" i="12"/>
  <c r="C15" i="12"/>
  <c r="C34" i="68"/>
  <c r="U7" i="21"/>
  <c r="C22" i="11"/>
  <c r="C31" i="1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F20" i="31"/>
  <c r="D2" i="34"/>
  <c r="D2" i="33"/>
  <c r="E2" i="68"/>
  <c r="D2" i="35"/>
  <c r="B20" i="31"/>
  <c r="B2" i="36"/>
  <c r="B3" i="36"/>
  <c r="B2" i="35"/>
  <c r="B3" i="35"/>
  <c r="B3" i="37"/>
  <c r="B2" i="34"/>
  <c r="B3" i="34"/>
  <c r="B2" i="21"/>
  <c r="B3" i="21"/>
  <c r="C102" i="9"/>
  <c r="C21" i="9"/>
  <c r="B3" i="68"/>
  <c r="C20" i="9"/>
  <c r="D20" i="9"/>
  <c r="D102" i="9"/>
  <c r="D22" i="9"/>
  <c r="D21" i="9"/>
  <c r="C103" i="9"/>
  <c r="D103" i="9"/>
  <c r="G20" i="9"/>
  <c r="G21" i="9"/>
  <c r="D34" i="9"/>
  <c r="H107" i="9"/>
  <c r="M49" i="9"/>
  <c r="L68" i="9"/>
  <c r="M68" i="9"/>
  <c r="L65" i="9"/>
  <c r="M65" i="9"/>
  <c r="L66" i="9"/>
  <c r="M66" i="9"/>
  <c r="L64" i="9"/>
  <c r="M64" i="9"/>
  <c r="L63" i="9"/>
  <c r="M63" i="9"/>
  <c r="L67" i="9"/>
  <c r="M67" i="9"/>
  <c r="B35" i="72"/>
  <c r="D124" i="9"/>
  <c r="B34" i="72"/>
  <c r="M69" i="9"/>
  <c r="D10" i="52"/>
  <c r="H14" i="74"/>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H108" i="9"/>
  <c r="D15" i="53"/>
  <c r="B31" i="72"/>
  <c r="D13" i="53"/>
  <c r="E14" i="74"/>
  <c r="B5" i="74"/>
  <c r="F14" i="74"/>
  <c r="C93" i="9"/>
  <c r="C86" i="9"/>
  <c r="D52" i="9"/>
  <c r="C78" i="9"/>
  <c r="C73" i="9"/>
  <c r="C85" i="9"/>
  <c r="C72" i="9"/>
  <c r="D55" i="9"/>
  <c r="M53" i="9"/>
  <c r="C64" i="9"/>
  <c r="C63" i="9"/>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<sst xmlns="http://schemas.openxmlformats.org/spreadsheetml/2006/main" count="7797" uniqueCount="3135">
  <si>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</si>
  <si>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</si>
  <si>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</si>
  <si>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</si>
  <si>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</si>
  <si>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</si>
  <si>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</si>
  <si>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</si>
  <si>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</si>
  <si>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</si>
  <si>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</si>
  <si>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</si>
  <si>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</si>
  <si>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</si>
  <si>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</si>
  <si>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</si>
  <si>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</si>
  <si>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</si>
  <si>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</si>
  <si>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</si>
  <si>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</si>
  <si>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</si>
  <si>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</si>
  <si>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</si>
  <si>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</si>
  <si>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</si>
  <si>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</si>
  <si>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</si>
  <si>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</si>
  <si>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</si>
  <si>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</si>
  <si>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</si>
  <si>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</si>
  <si>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</si>
  <si>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</si>
  <si>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</si>
  <si>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</si>
  <si>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</si>
  <si>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</si>
  <si>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</si>
  <si>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</si>
  <si>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</si>
  <si>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</si>
  <si>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</si>
  <si>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</si>
  <si>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</si>
  <si>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</si>
  <si>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</si>
  <si>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</si>
  <si>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</si>
  <si>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</si>
  <si>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</si>
  <si>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</si>
  <si>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</si>
  <si>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</si>
  <si>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</si>
  <si>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</si>
  <si>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</si>
  <si>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</si>
  <si>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</si>
  <si>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</si>
  <si>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</si>
  <si>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</si>
  <si>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</si>
  <si>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</si>
  <si>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</si>
  <si>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</si>
  <si>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</si>
  <si>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</si>
  <si>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</si>
  <si>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</si>
  <si>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</si>
  <si>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</si>
  <si>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</si>
  <si>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</si>
  <si>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</si>
  <si>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</si>
  <si>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</si>
  <si>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</si>
  <si>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</si>
  <si>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</si>
  <si>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</si>
  <si>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</si>
  <si>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</si>
  <si>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</si>
  <si>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</si>
  <si>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</si>
  <si>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</si>
  <si>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</si>
  <si>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</si>
  <si>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</si>
  <si>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</si>
  <si>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</si>
  <si>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</si>
  <si>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</si>
  <si>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</si>
  <si>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</si>
  <si>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</si>
  <si>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</si>
  <si>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</si>
  <si>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</si>
  <si>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</si>
  <si>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</si>
  <si>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</si>
  <si>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</si>
  <si>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</si>
  <si>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</si>
  <si>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</si>
  <si>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</si>
  <si>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</si>
  <si>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</si>
  <si>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</si>
  <si>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</si>
  <si>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</si>
  <si>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</si>
  <si>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</si>
  <si>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</si>
  <si>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</si>
  <si>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</si>
  <si>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</si>
  <si>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</si>
  <si>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</si>
  <si>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</si>
  <si>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</si>
  <si>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</si>
  <si>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</si>
  <si>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</si>
  <si>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</si>
  <si>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</si>
  <si>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</si>
  <si>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</si>
  <si>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</si>
  <si>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</si>
  <si>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</si>
  <si>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</si>
  <si>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</si>
  <si>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</si>
  <si>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</si>
  <si>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</si>
  <si>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</si>
  <si>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</si>
  <si>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</si>
  <si>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</si>
  <si>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</si>
  <si>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</si>
  <si>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</si>
  <si>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</si>
  <si>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</si>
  <si>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</si>
  <si>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</si>
  <si>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</si>
  <si>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</si>
  <si>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</si>
  <si>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</si>
  <si>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</si>
  <si>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</si>
  <si>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</si>
  <si>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</si>
  <si>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</si>
  <si>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</si>
  <si>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</si>
  <si>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</si>
  <si>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</si>
  <si>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</si>
  <si>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</si>
  <si>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</si>
  <si>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</si>
  <si>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</si>
  <si>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</si>
  <si>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</si>
  <si>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</si>
  <si>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</si>
  <si>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</si>
  <si>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</si>
  <si>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</si>
  <si>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</si>
  <si>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</si>
  <si>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</si>
  <si>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</si>
  <si>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</si>
  <si>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</si>
  <si>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</si>
  <si>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</si>
  <si>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</si>
  <si>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</si>
  <si>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</si>
  <si>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</si>
  <si>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</si>
  <si>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</si>
  <si>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</si>
  <si>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</si>
  <si>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</si>
  <si>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</si>
  <si>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</si>
  <si>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</si>
  <si>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</si>
  <si>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</si>
  <si>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</si>
  <si>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</si>
  <si>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</si>
  <si>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</si>
  <si>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</si>
  <si>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</si>
  <si>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</si>
  <si>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</si>
  <si>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</si>
  <si>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</si>
  <si>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</si>
  <si>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</si>
  <si>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</si>
  <si>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</si>
  <si>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</si>
  <si>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</si>
  <si>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</si>
  <si>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</si>
  <si>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</si>
  <si>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</si>
  <si>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</si>
  <si>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</si>
  <si>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</si>
  <si>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</si>
  <si>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</si>
  <si>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</si>
  <si>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</si>
  <si>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</si>
  <si>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</si>
  <si>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</si>
  <si>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</si>
  <si>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</si>
  <si>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</si>
  <si>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</si>
  <si>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</si>
  <si>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</si>
  <si>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</si>
  <si>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</si>
  <si>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</si>
  <si>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</si>
  <si>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</si>
  <si>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</si>
  <si>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</si>
  <si>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</si>
  <si>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</si>
  <si>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</si>
  <si>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</si>
  <si>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</si>
  <si>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</si>
  <si>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</si>
  <si>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</si>
  <si>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</si>
  <si>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</si>
  <si>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</si>
  <si>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</si>
  <si>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</si>
  <si>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</si>
  <si>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</si>
  <si>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</si>
  <si>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</si>
  <si>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</si>
  <si>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</si>
  <si>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</si>
  <si>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</si>
  <si>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</si>
  <si>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</si>
  <si>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</si>
  <si>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</si>
  <si>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</si>
  <si>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</si>
  <si>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</si>
  <si>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</si>
  <si>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</si>
  <si>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</si>
  <si>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</si>
  <si>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</si>
  <si>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</si>
  <si>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</si>
  <si>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</si>
  <si>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</si>
  <si>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</si>
  <si>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</si>
  <si>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</si>
  <si>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</si>
  <si>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</si>
  <si>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</si>
  <si>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</si>
  <si>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</si>
  <si>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</si>
  <si>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</si>
  <si>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</si>
  <si>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</si>
  <si>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</si>
  <si>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</si>
  <si>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</si>
  <si>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</si>
  <si>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</si>
  <si>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</si>
  <si>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</si>
  <si>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</si>
  <si>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</si>
  <si>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</si>
  <si>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</si>
  <si>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</si>
  <si>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</si>
  <si>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</si>
  <si>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</si>
  <si>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</si>
  <si>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</si>
  <si>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</si>
  <si>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</si>
  <si>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</si>
  <si>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</si>
  <si>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</si>
  <si>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</si>
  <si>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</si>
  <si>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</si>
  <si>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</si>
  <si>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</si>
  <si>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</si>
  <si>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</si>
  <si>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</si>
  <si>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</si>
  <si>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</si>
  <si>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</si>
  <si>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</si>
  <si>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</si>
  <si>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</si>
  <si>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</si>
  <si>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</si>
  <si>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</si>
  <si>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</si>
  <si>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</si>
  <si>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</si>
  <si>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</si>
  <si>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</si>
  <si>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</si>
  <si>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</si>
  <si>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</si>
  <si>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</si>
  <si>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</si>
  <si>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</si>
  <si>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</si>
  <si>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</si>
  <si>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</si>
  <si>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</si>
  <si>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</si>
  <si>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</si>
  <si>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</si>
  <si>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</si>
  <si>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</si>
  <si>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</si>
  <si>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</si>
  <si>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</si>
  <si>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</si>
  <si>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</si>
  <si>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</si>
  <si>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</si>
  <si>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</si>
  <si>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</si>
  <si>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</si>
  <si>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</si>
  <si>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</si>
  <si>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</si>
  <si>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</si>
  <si>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</si>
  <si>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</si>
  <si>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</si>
  <si>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</si>
  <si>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</si>
  <si>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</si>
  <si>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</si>
  <si>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</si>
  <si>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</si>
  <si>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</si>
  <si>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</si>
  <si>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</si>
  <si>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</si>
  <si>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</si>
  <si>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</si>
  <si>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</si>
  <si>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</si>
  <si>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</si>
  <si>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</si>
  <si>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</si>
  <si>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</si>
  <si>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</si>
  <si>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</si>
  <si>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</si>
  <si>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</si>
  <si>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</si>
  <si>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</si>
  <si>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</si>
  <si>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</si>
  <si>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</si>
  <si>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</si>
  <si>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</si>
  <si>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</si>
  <si>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</si>
  <si>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</si>
  <si>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</si>
  <si>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</si>
  <si>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</si>
  <si>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</si>
  <si>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</si>
  <si>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</si>
  <si>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</si>
  <si>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</si>
  <si>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</si>
  <si>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</si>
  <si>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</si>
  <si>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</si>
  <si>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</si>
  <si>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</si>
  <si>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</si>
  <si>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</si>
  <si>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</si>
  <si>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</si>
  <si>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</si>
  <si>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</si>
  <si>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</si>
  <si>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</si>
  <si>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</si>
  <si>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</si>
  <si>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</si>
  <si>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</si>
  <si>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</si>
  <si>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</si>
  <si>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</si>
  <si>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</si>
  <si>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</si>
  <si>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</si>
  <si>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</si>
  <si>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</si>
  <si>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</si>
  <si>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</si>
  <si>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</si>
  <si>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</si>
  <si>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</si>
  <si>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</si>
  <si>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</si>
  <si>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</si>
  <si>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</si>
  <si>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</si>
  <si>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</si>
  <si>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</si>
  <si>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</si>
  <si>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</si>
  <si>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</si>
  <si>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</si>
  <si>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</si>
  <si>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</si>
  <si>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</si>
  <si>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</si>
  <si>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</si>
  <si>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</si>
  <si>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</si>
  <si>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</si>
  <si>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</si>
  <si>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</si>
  <si>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</si>
  <si>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</si>
  <si>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</si>
  <si>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</si>
  <si>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</si>
  <si>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</si>
  <si>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</si>
  <si>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</si>
  <si>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</si>
  <si>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</si>
  <si>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</si>
  <si>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</si>
  <si>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</si>
  <si>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</si>
  <si>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</si>
  <si>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</si>
  <si>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</si>
  <si>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</si>
  <si>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</si>
  <si>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</si>
  <si>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</si>
  <si>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</si>
  <si>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</si>
  <si>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</si>
  <si>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</si>
  <si>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</si>
  <si>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</si>
  <si>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</si>
  <si>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</si>
  <si>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</si>
  <si>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</si>
  <si>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</si>
  <si>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</si>
  <si>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</si>
  <si>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</si>
  <si>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</si>
  <si>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</si>
  <si>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</si>
  <si>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</si>
  <si>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</si>
  <si>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</si>
  <si>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</si>
  <si>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</si>
  <si>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</si>
  <si>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</si>
  <si>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</si>
  <si>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</si>
  <si>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</si>
  <si>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</si>
  <si>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</si>
  <si>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</si>
  <si>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</si>
  <si>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</si>
  <si>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</si>
  <si>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</si>
  <si>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</si>
  <si>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</si>
  <si>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</si>
  <si>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</si>
  <si>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</si>
  <si>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</si>
  <si>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</si>
  <si>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</si>
  <si>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</si>
  <si>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</si>
  <si>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</si>
  <si>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</si>
  <si>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</si>
  <si>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</si>
  <si>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</si>
  <si>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</si>
  <si>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</si>
  <si>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</si>
  <si>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</si>
  <si>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</si>
  <si>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</si>
  <si>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</si>
  <si>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</si>
  <si>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</si>
  <si>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</si>
  <si>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</si>
  <si>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</si>
  <si>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</si>
  <si>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</si>
  <si>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</si>
  <si>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</si>
  <si>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</si>
  <si>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</si>
  <si>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</si>
  <si>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</si>
  <si>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</si>
  <si>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</si>
  <si>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</si>
  <si>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</si>
  <si>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</si>
  <si>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</si>
  <si>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</si>
  <si>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</si>
  <si>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</si>
  <si>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</si>
  <si>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</si>
  <si>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</si>
  <si>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</si>
  <si>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</si>
  <si>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</si>
  <si>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</si>
  <si>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</si>
  <si>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</si>
  <si>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</si>
  <si>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</si>
  <si>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</si>
  <si>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</si>
  <si>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</si>
  <si>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</si>
  <si>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</si>
  <si>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</si>
  <si>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</si>
  <si>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</si>
  <si>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</si>
  <si>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</si>
  <si>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</si>
  <si>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</si>
  <si>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</si>
  <si>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</si>
  <si>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</si>
  <si>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</si>
  <si>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</si>
  <si>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</si>
  <si>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</si>
  <si>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</si>
  <si>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</si>
  <si>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</si>
  <si>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</si>
  <si>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</si>
  <si>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</si>
  <si>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</si>
  <si>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</si>
  <si>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</si>
  <si>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</si>
  <si>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</si>
  <si>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</si>
  <si>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</si>
  <si>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</si>
  <si>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</si>
  <si>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</si>
  <si>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</si>
  <si>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</si>
  <si>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</si>
  <si>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</si>
  <si>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</si>
  <si>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</si>
  <si>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</si>
  <si>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</si>
  <si>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</si>
  <si>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</si>
  <si>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</si>
  <si>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</si>
  <si>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</si>
  <si>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</si>
  <si>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</si>
  <si>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</si>
  <si>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</si>
  <si>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</si>
  <si>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</si>
  <si>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</si>
  <si>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</si>
  <si>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</si>
  <si>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</si>
  <si>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</si>
  <si>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</si>
  <si>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</si>
  <si>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</si>
  <si>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</si>
  <si>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</si>
  <si>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</si>
  <si>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</si>
  <si>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</si>
  <si>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</si>
  <si>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</si>
  <si>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</si>
  <si>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</si>
  <si>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</si>
  <si>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</si>
  <si>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</si>
  <si>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</si>
  <si>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</si>
  <si>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</si>
  <si>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</si>
  <si>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</si>
  <si>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</si>
  <si>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</si>
  <si>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</si>
  <si>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</si>
  <si>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</si>
  <si>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</si>
  <si>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</si>
  <si>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</si>
  <si>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</si>
  <si>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</si>
  <si>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</si>
  <si>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</si>
  <si>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</si>
  <si>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</si>
  <si>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</si>
  <si>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</si>
  <si>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</si>
  <si>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</si>
  <si>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</si>
  <si>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</si>
  <si>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</si>
  <si>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</si>
  <si>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</si>
  <si>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</si>
  <si>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</si>
  <si>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</si>
  <si>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</si>
  <si>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</si>
  <si>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</si>
  <si>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</si>
  <si>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</si>
  <si>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</si>
  <si>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</si>
  <si>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</si>
  <si>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</si>
  <si>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</si>
  <si>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</si>
  <si>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</si>
  <si>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</si>
  <si>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</si>
  <si>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</si>
  <si>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</si>
  <si>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</si>
  <si>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</si>
  <si>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</si>
  <si>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</si>
  <si>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</si>
  <si>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</si>
  <si>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</si>
  <si>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</si>
  <si>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</si>
  <si>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</si>
  <si>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</si>
  <si>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</si>
  <si>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</si>
  <si>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</si>
  <si>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</si>
  <si>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</si>
  <si>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</si>
  <si>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</si>
  <si>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</si>
  <si>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</si>
  <si>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</si>
  <si>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</si>
  <si>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</si>
  <si>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</si>
  <si>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</si>
  <si>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</si>
  <si>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</si>
  <si>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</si>
  <si>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</si>
  <si>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</si>
  <si>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</si>
  <si>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</si>
  <si>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</si>
  <si>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</si>
  <si>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</si>
  <si>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</si>
  <si>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</si>
  <si>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</si>
  <si>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</si>
  <si>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</si>
  <si>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</si>
  <si>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</si>
  <si>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</si>
  <si>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</si>
  <si>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</si>
  <si>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</si>
  <si>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</si>
  <si>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</si>
  <si>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</si>
  <si>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</si>
  <si>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</si>
  <si>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</si>
  <si>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</si>
  <si>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</si>
  <si>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</si>
  <si>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</si>
  <si>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</si>
  <si>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</si>
  <si>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</si>
  <si>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</si>
  <si>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</si>
  <si>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</si>
  <si>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</si>
  <si>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</si>
  <si>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</si>
  <si>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</si>
  <si>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</si>
  <si>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</si>
  <si>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</si>
  <si>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</si>
  <si>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</si>
  <si>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</si>
  <si>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</si>
  <si>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</si>
  <si>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</si>
  <si>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</si>
  <si>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</si>
  <si>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</si>
  <si>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</si>
  <si>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</si>
  <si>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</si>
  <si>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</si>
  <si>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</si>
  <si>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</si>
  <si>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</si>
  <si>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</si>
  <si>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</si>
  <si>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</si>
  <si>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</si>
  <si>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</si>
  <si>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</si>
  <si>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</si>
  <si>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</si>
  <si>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</si>
  <si>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</si>
  <si>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</si>
  <si>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</si>
  <si>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</si>
  <si>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</si>
  <si>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</si>
  <si>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</si>
  <si>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</si>
  <si>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</si>
  <si>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</si>
  <si>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</si>
  <si>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</si>
  <si>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</si>
  <si>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</si>
  <si>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</si>
  <si>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</si>
  <si>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</si>
  <si>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</si>
  <si>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</si>
  <si>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</si>
  <si>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</si>
  <si>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</si>
  <si>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</si>
  <si>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</si>
  <si>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</si>
  <si>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</si>
  <si>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</si>
  <si>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</si>
  <si>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</si>
  <si>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</si>
  <si>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</si>
  <si>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</si>
  <si>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</si>
  <si>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</si>
  <si>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</si>
  <si>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</si>
  <si>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</si>
  <si>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</si>
  <si>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</si>
  <si>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</si>
  <si>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</si>
  <si>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</si>
  <si>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</si>
  <si>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</si>
  <si>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</si>
  <si>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</si>
  <si>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</si>
  <si>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</si>
  <si>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</si>
  <si>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</si>
  <si>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</si>
  <si>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</si>
  <si>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</si>
  <si>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</si>
  <si>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</si>
  <si>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</si>
  <si>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</si>
  <si>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</si>
  <si>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</si>
  <si>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</si>
  <si>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</si>
  <si>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</si>
  <si>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</si>
  <si>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</si>
  <si>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</si>
  <si>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</si>
  <si>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</si>
  <si>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</si>
  <si>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</si>
  <si>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</si>
  <si>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</si>
  <si>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</si>
  <si>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</si>
  <si>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</si>
  <si>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</si>
  <si>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</si>
  <si>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</si>
  <si>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</si>
  <si>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</si>
  <si>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</si>
  <si>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</si>
  <si>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</si>
  <si>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</si>
  <si>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</si>
  <si>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</si>
  <si>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</si>
  <si>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</si>
  <si>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</si>
  <si>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</si>
  <si>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</si>
  <si>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</si>
  <si>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</si>
  <si>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</si>
  <si>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</si>
  <si>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</si>
  <si>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</si>
  <si>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</si>
  <si>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</si>
  <si>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</si>
  <si>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</si>
  <si>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</si>
  <si>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</si>
  <si>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</si>
  <si>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</si>
  <si>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</si>
  <si>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</si>
  <si>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</si>
  <si>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</si>
  <si>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</si>
  <si>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</si>
  <si>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</si>
  <si>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</si>
  <si>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</si>
  <si>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</si>
  <si>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</si>
  <si>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</si>
  <si>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</si>
  <si>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</si>
  <si>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</si>
  <si>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</si>
  <si>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</si>
  <si>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</si>
  <si>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</si>
  <si>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</si>
  <si>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</si>
  <si>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</si>
  <si>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</si>
  <si>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</si>
  <si>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</si>
  <si>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</si>
  <si>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</si>
  <si>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</si>
  <si>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</si>
  <si>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</si>
  <si>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</si>
  <si>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</si>
  <si>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</si>
  <si>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</si>
  <si>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</si>
  <si>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</si>
  <si>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</si>
  <si>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</si>
  <si>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</si>
  <si>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</si>
  <si>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</si>
  <si>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</si>
  <si>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</si>
  <si>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</si>
  <si>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</si>
  <si>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</si>
  <si>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</si>
  <si>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</si>
  <si>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</si>
  <si>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</si>
  <si>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</si>
  <si>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</si>
  <si>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</si>
  <si>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</si>
  <si>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</si>
  <si>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</si>
  <si>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</si>
  <si>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</si>
  <si>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</si>
  <si>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</si>
  <si>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</si>
  <si>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</si>
  <si>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</si>
  <si>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</si>
  <si>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</si>
  <si>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</si>
  <si>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</si>
  <si>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</si>
  <si>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</si>
  <si>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</si>
  <si>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</si>
  <si>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</si>
  <si>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</si>
  <si>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</si>
  <si>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</si>
  <si>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</si>
  <si>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</si>
  <si>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</si>
  <si>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</si>
  <si>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</si>
  <si>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</si>
  <si>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</si>
  <si>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</si>
  <si>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</si>
  <si>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</si>
  <si>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</si>
  <si>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</si>
  <si>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</si>
  <si>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</si>
  <si>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</si>
  <si>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</si>
  <si>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</si>
  <si>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</si>
  <si>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</si>
  <si>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</si>
  <si>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</si>
  <si>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</si>
  <si>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</si>
  <si>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</si>
  <si>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</si>
  <si>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</si>
  <si>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</si>
  <si>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</si>
  <si>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</si>
  <si>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</si>
  <si>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</si>
  <si>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</si>
  <si>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</si>
  <si>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</si>
  <si>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</si>
  <si>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</si>
  <si>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</si>
  <si>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</si>
  <si>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</si>
  <si>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</si>
  <si>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</si>
  <si>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</si>
  <si>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</si>
  <si>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</si>
  <si>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</si>
  <si>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</si>
  <si>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</si>
  <si>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</si>
  <si>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</si>
  <si>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</si>
  <si>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</si>
  <si>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</si>
  <si>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</si>
  <si>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</si>
  <si>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</si>
  <si>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</si>
  <si>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</si>
  <si>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</si>
  <si>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</si>
  <si>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</si>
  <si>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</si>
  <si>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</si>
  <si>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</si>
  <si>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</si>
  <si>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</si>
  <si>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</si>
  <si>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</si>
  <si>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</si>
  <si>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</si>
  <si>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</si>
  <si>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</si>
  <si>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</si>
  <si>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</si>
  <si>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</si>
  <si>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</si>
  <si>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</si>
  <si>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</si>
  <si>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</si>
  <si>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</si>
  <si>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</si>
  <si>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</si>
  <si>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</si>
  <si>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</si>
  <si>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</si>
  <si>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</si>
  <si>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</si>
  <si>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</si>
  <si>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</si>
  <si>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</si>
  <si>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</si>
  <si>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</si>
  <si>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</si>
  <si>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</si>
  <si>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</si>
  <si>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</si>
  <si>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</si>
  <si>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</si>
  <si>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</si>
  <si>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</si>
  <si>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</si>
  <si>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</si>
  <si>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</si>
  <si>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</si>
  <si>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</si>
  <si>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</si>
  <si>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</si>
  <si>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</si>
  <si>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</si>
  <si>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</si>
  <si>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</si>
  <si>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</si>
  <si>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</si>
  <si>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</si>
  <si>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</si>
  <si>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</si>
  <si>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</si>
  <si>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</si>
  <si>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</si>
  <si>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</si>
  <si>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</si>
  <si>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</si>
  <si>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</si>
  <si>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</si>
  <si>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</si>
  <si>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</si>
  <si>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</si>
  <si>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</si>
  <si>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</si>
  <si>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</si>
  <si>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</si>
  <si>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</si>
  <si>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</si>
  <si>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</si>
  <si>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</si>
  <si>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</si>
  <si>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</si>
  <si>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</si>
  <si>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</si>
  <si>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</si>
  <si>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</si>
  <si>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</si>
  <si>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</si>
  <si>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</si>
  <si>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</si>
  <si>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</si>
  <si>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</si>
  <si>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</si>
  <si>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</si>
  <si>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</si>
  <si>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</si>
  <si>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</si>
  <si>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</si>
  <si>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</si>
  <si>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</si>
  <si>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</si>
  <si>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</si>
  <si>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</si>
  <si>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</si>
  <si>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</si>
  <si>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</si>
  <si>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</si>
  <si>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</si>
  <si>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</si>
  <si>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</si>
  <si>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</si>
  <si>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</si>
  <si>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</si>
  <si>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</si>
  <si>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</si>
  <si>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</si>
  <si>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</si>
  <si>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</si>
  <si>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</si>
  <si>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</si>
  <si>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</si>
  <si>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</si>
  <si>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</si>
  <si>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</si>
  <si>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</si>
  <si>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</si>
  <si>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</si>
  <si>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</si>
  <si>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</si>
  <si>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</si>
  <si>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</si>
  <si>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</si>
  <si>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</si>
  <si>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</si>
  <si>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</si>
  <si>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</si>
  <si>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</si>
  <si>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</si>
  <si>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</si>
  <si>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</si>
  <si>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</si>
  <si>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</si>
  <si>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</si>
  <si>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</si>
  <si>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</si>
  <si>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</si>
  <si>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</si>
  <si>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</si>
  <si>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</si>
  <si>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</si>
  <si>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</si>
  <si>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</si>
  <si>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</si>
  <si>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</si>
  <si>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</si>
  <si>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</si>
  <si>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</si>
  <si>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</si>
  <si>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</si>
  <si>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</si>
  <si>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</si>
  <si>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</si>
  <si>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</si>
  <si>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</si>
  <si>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</si>
  <si>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</si>
  <si>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</si>
  <si>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</si>
  <si>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</si>
  <si>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</si>
  <si>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</si>
  <si>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</si>
  <si>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</si>
  <si>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</si>
  <si>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</si>
  <si>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</si>
  <si>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</si>
  <si>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</si>
  <si>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</si>
  <si>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</si>
  <si>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</si>
  <si>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</si>
  <si>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</si>
  <si>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</si>
  <si>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</si>
  <si>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</si>
  <si>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</si>
  <si>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</si>
  <si>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</si>
  <si>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</si>
  <si>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</si>
  <si>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</si>
  <si>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</si>
  <si>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</si>
  <si>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</si>
  <si>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</si>
  <si>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</si>
  <si>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</si>
  <si>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</si>
  <si>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</si>
  <si>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</si>
  <si>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</si>
  <si>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</si>
  <si>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</si>
  <si>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</si>
  <si>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</si>
  <si>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</si>
  <si>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</si>
  <si>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</si>
  <si>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</si>
  <si>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</si>
  <si>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</si>
  <si>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</si>
  <si>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</si>
  <si>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</si>
  <si>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</si>
  <si>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</si>
  <si>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</si>
  <si>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</si>
  <si>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</si>
  <si>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</si>
  <si>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</si>
  <si>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</si>
  <si>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</si>
  <si>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</si>
  <si>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</si>
  <si>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</si>
  <si>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</si>
  <si>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</si>
  <si>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</si>
  <si>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</si>
  <si>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</si>
  <si>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</si>
  <si>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</si>
  <si>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</si>
  <si>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</si>
  <si>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</si>
  <si>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</si>
  <si>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</si>
  <si>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</si>
  <si>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</si>
  <si>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</si>
  <si>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</si>
  <si>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</si>
  <si>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</si>
  <si>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</si>
  <si>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</si>
  <si>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</si>
  <si>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</si>
  <si>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</si>
  <si>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</si>
  <si>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</si>
  <si>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</si>
  <si>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</si>
  <si>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</si>
  <si>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</si>
  <si>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</si>
  <si>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</si>
  <si>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</si>
  <si>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</si>
  <si>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</si>
  <si>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</si>
  <si>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</si>
  <si>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</si>
  <si>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</si>
  <si>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</si>
  <si>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</si>
  <si>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</si>
  <si>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</si>
  <si>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</si>
  <si>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</si>
  <si>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</si>
  <si>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</si>
  <si>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</si>
  <si>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</si>
  <si>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</si>
  <si>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</si>
  <si>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</si>
  <si>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</si>
  <si>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</si>
  <si>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</si>
  <si>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</si>
  <si>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</si>
  <si>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</si>
  <si>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</si>
  <si>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</si>
  <si>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</si>
  <si>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</si>
  <si>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</si>
  <si>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</si>
  <si>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</si>
  <si>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</si>
  <si>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</si>
  <si>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</si>
  <si>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</si>
  <si>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</si>
  <si>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</si>
  <si>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</si>
  <si>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</si>
  <si>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</si>
  <si>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</si>
  <si>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</si>
  <si>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</si>
  <si>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</si>
  <si>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</si>
  <si>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</si>
  <si>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</si>
  <si>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</si>
  <si>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</si>
  <si>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</si>
  <si>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</si>
  <si>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</si>
  <si>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</si>
  <si>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</si>
  <si>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</si>
  <si>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</si>
  <si>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</si>
  <si>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</si>
  <si>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</si>
  <si>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</si>
  <si>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</si>
  <si>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</si>
  <si>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</si>
  <si>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</si>
  <si>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</si>
  <si>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</si>
  <si>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</si>
  <si>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</si>
  <si>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</si>
  <si>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</si>
  <si>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</si>
  <si>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</si>
  <si>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</si>
  <si>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</si>
  <si>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</si>
  <si>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</si>
  <si>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</si>
  <si>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</si>
  <si>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</si>
  <si>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</si>
  <si>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</si>
  <si>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</si>
  <si>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</si>
  <si>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</si>
  <si>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</si>
  <si>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</si>
  <si>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</si>
  <si>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</si>
  <si>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</si>
  <si>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</si>
  <si>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</si>
  <si>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</si>
  <si>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</si>
  <si>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</si>
  <si>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</si>
  <si>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</si>
  <si>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</si>
  <si>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</si>
  <si>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</si>
  <si>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</si>
  <si>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</si>
  <si>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</si>
  <si>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</si>
  <si>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</si>
  <si>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</si>
  <si>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</si>
  <si>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</si>
  <si>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</si>
  <si>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</si>
  <si>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</si>
  <si>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</si>
  <si>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</si>
  <si>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</si>
  <si>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</si>
  <si>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</si>
  <si>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</si>
  <si>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</si>
  <si>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</si>
  <si>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</si>
  <si>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</si>
  <si>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</si>
  <si>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</si>
  <si>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</si>
  <si>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</si>
  <si>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</si>
  <si>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</si>
  <si>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</si>
  <si>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</si>
  <si>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</si>
  <si>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</si>
  <si>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</si>
  <si>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</si>
  <si>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</si>
  <si>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</si>
  <si>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</si>
  <si>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</si>
  <si>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</si>
  <si>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</si>
  <si>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</si>
  <si>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</si>
  <si>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</si>
  <si>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</si>
  <si>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</si>
  <si>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</si>
  <si>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</si>
  <si>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</si>
  <si>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</si>
  <si>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</si>
  <si>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</si>
  <si>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</si>
  <si>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</si>
  <si>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</si>
  <si>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</si>
  <si>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</si>
  <si>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</si>
  <si>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</si>
  <si>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</si>
  <si>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</si>
  <si>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</si>
  <si>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</si>
  <si>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</si>
  <si>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</si>
  <si>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</si>
  <si>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</si>
  <si>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</si>
  <si>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</si>
  <si>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</si>
  <si>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</si>
  <si>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</si>
  <si>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</si>
  <si>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</si>
  <si>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</si>
  <si>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</si>
  <si>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</si>
  <si>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</si>
  <si>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</si>
  <si>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</si>
  <si>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</si>
  <si>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</si>
  <si>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</si>
  <si>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</si>
  <si>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</si>
  <si>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</si>
  <si>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</si>
  <si>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</si>
  <si>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</si>
  <si>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</si>
  <si>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</si>
  <si>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</si>
  <si>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</si>
  <si>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</si>
  <si>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</si>
  <si>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</si>
  <si>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</si>
  <si>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</si>
  <si>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</si>
  <si>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</si>
  <si>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</si>
  <si>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</si>
  <si>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</si>
  <si>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</si>
  <si>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</si>
  <si>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</si>
  <si>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</si>
  <si>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</si>
  <si>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</si>
  <si>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</si>
  <si>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</si>
  <si>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</si>
  <si>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</si>
  <si>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</si>
  <si>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</si>
  <si>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</si>
  <si>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</si>
  <si>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</si>
  <si>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</si>
  <si>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</si>
  <si>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</si>
  <si>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</si>
  <si>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</si>
  <si>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</si>
  <si>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</si>
  <si>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</si>
  <si>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</si>
  <si>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</si>
  <si>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</si>
  <si>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</si>
  <si>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</si>
  <si>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</si>
  <si>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</si>
  <si>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</si>
  <si>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</si>
  <si>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</si>
  <si>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</si>
  <si>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</si>
  <si>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</si>
  <si>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</si>
  <si>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</si>
  <si>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</si>
  <si>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</si>
  <si>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</si>
  <si>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</si>
  <si>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</si>
  <si>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</si>
  <si>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</si>
  <si>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</si>
  <si>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</si>
  <si>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</si>
  <si>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</si>
  <si>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</si>
  <si>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</si>
  <si>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</si>
  <si>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</si>
  <si>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</si>
  <si>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</si>
  <si>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</si>
  <si>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</si>
  <si>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</si>
  <si>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</si>
  <si>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</si>
  <si>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</si>
  <si>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</si>
  <si>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</si>
  <si>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</si>
  <si>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</si>
  <si>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</si>
  <si>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</si>
  <si>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</si>
  <si>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</si>
  <si>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</si>
  <si>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</si>
  <si>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</si>
  <si>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</si>
  <si>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</si>
  <si>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</si>
  <si>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</si>
  <si>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</si>
  <si>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</si>
  <si>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</si>
  <si>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</si>
  <si>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</si>
  <si>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</si>
  <si>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</si>
  <si>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</si>
  <si>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</si>
  <si>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</si>
  <si>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</si>
  <si>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</si>
  <si>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</si>
  <si>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</si>
  <si>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</si>
  <si>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</si>
  <si>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</si>
  <si>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</si>
  <si>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</si>
  <si>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</si>
  <si>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</si>
  <si>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</si>
  <si>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</si>
  <si>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</si>
  <si>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</si>
  <si>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</si>
  <si>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</si>
  <si>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</si>
  <si>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</si>
  <si>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</si>
  <si>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</si>
  <si>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</si>
  <si>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</si>
  <si>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</si>
  <si>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</si>
  <si>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</si>
  <si>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</si>
  <si>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</si>
  <si>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</si>
  <si>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</si>
  <si>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</si>
  <si>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</si>
  <si>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</si>
  <si>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</si>
  <si>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</si>
  <si>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</si>
  <si>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</si>
  <si>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</si>
  <si>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</si>
  <si>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</si>
  <si>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</si>
  <si>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</si>
  <si>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</si>
  <si>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</si>
  <si>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</si>
  <si>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</si>
  <si>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</si>
  <si>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</si>
  <si>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</si>
  <si>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</si>
  <si>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</si>
  <si>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</si>
  <si>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</si>
  <si>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</si>
  <si>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</si>
  <si>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</si>
  <si>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</si>
  <si>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</si>
  <si>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</si>
  <si>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</si>
  <si>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</si>
  <si>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</si>
  <si>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</si>
  <si>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</si>
  <si>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</si>
  <si>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</si>
  <si>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</si>
  <si>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</si>
  <si>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</si>
  <si>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</si>
  <si>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</si>
  <si>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</si>
  <si>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</si>
  <si>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</si>
  <si>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</si>
  <si>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</si>
  <si>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</si>
  <si>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</si>
  <si>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</si>
  <si>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</si>
  <si>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</si>
  <si>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</si>
  <si>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</si>
  <si>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</si>
  <si>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</si>
  <si>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</si>
  <si>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</si>
  <si>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</si>
  <si>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</si>
  <si>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</si>
  <si>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</si>
  <si>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</si>
  <si>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</si>
  <si>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</si>
  <si>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</si>
  <si>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</si>
  <si>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</si>
  <si>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</si>
  <si>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</si>
  <si>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</si>
  <si>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</si>
  <si>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</si>
  <si>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</si>
  <si>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</si>
  <si>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</si>
  <si>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</si>
  <si>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</si>
  <si>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</si>
  <si>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</si>
  <si>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</si>
  <si>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</si>
  <si>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</si>
  <si>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</si>
  <si>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</si>
  <si>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</si>
  <si>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</si>
  <si>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</si>
  <si>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</si>
  <si>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</si>
  <si>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</si>
  <si>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</si>
  <si>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</si>
  <si>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</si>
  <si>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</si>
  <si>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</si>
  <si>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</si>
  <si>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</si>
  <si>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</si>
  <si>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</si>
  <si>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</si>
  <si>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</si>
  <si>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</si>
  <si>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</si>
  <si>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</si>
  <si>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</si>
  <si>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</si>
  <si>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</si>
  <si>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</si>
  <si>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</si>
  <si>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</si>
  <si>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</si>
  <si>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</si>
  <si>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</si>
  <si>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</si>
  <si>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</si>
  <si>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</si>
  <si>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</si>
  <si>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</si>
  <si>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</si>
  <si>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</si>
  <si>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</si>
  <si>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</si>
  <si>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</si>
  <si>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</si>
  <si>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</si>
  <si>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</si>
  <si>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</si>
  <si>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</si>
  <si>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</si>
  <si>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</si>
  <si>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</si>
  <si>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</si>
  <si>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</si>
  <si>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</si>
  <si>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</si>
  <si>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</si>
  <si>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</si>
  <si>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</si>
  <si>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</si>
  <si>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</si>
  <si>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</si>
  <si>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</si>
  <si>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</si>
  <si>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</si>
  <si>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</si>
  <si>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</si>
  <si>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</si>
  <si>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</si>
  <si>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</si>
  <si>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</si>
  <si>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</si>
  <si>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</si>
  <si>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</si>
  <si>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</si>
  <si>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</si>
  <si>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</si>
  <si>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</si>
  <si>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</si>
  <si>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</si>
  <si>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</si>
  <si>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</si>
  <si>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</si>
  <si>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</si>
  <si>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</si>
  <si>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</si>
  <si>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</si>
  <si>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</si>
  <si>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</si>
  <si>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</si>
  <si>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</si>
  <si>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</si>
  <si>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</si>
  <si>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</si>
  <si>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</si>
  <si>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</si>
  <si>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</si>
  <si>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</si>
  <si>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</si>
  <si>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</si>
  <si>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</si>
  <si>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</si>
  <si>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</si>
  <si>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</si>
  <si>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</si>
  <si>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</si>
  <si>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</si>
  <si>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</si>
  <si>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</si>
  <si>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</si>
  <si>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</si>
  <si>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</si>
  <si>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</si>
  <si>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</si>
  <si>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</si>
  <si>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</si>
  <si>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</si>
  <si>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</si>
  <si>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</si>
  <si>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</si>
  <si>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</si>
  <si>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</si>
  <si>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</si>
  <si>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</si>
  <si>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</si>
  <si>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</si>
  <si>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</si>
  <si>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</si>
  <si>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</si>
  <si>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</si>
  <si>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</si>
  <si>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</si>
  <si>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</si>
  <si>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</si>
  <si>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</si>
  <si>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</si>
  <si>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</si>
  <si>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</si>
  <si>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</si>
  <si>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</si>
  <si>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</si>
  <si>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</si>
  <si>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</si>
  <si>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</si>
  <si>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</si>
  <si>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</si>
  <si>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</si>
  <si>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</si>
  <si>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</si>
  <si>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</si>
  <si>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</si>
  <si>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</si>
  <si>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</si>
  <si>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</si>
  <si>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</si>
  <si>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</si>
  <si>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</si>
  <si>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</si>
  <si>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</si>
  <si>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</si>
  <si>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</si>
  <si>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</si>
  <si>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</si>
  <si>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</si>
  <si>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</si>
  <si>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</si>
  <si>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</si>
  <si>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</si>
  <si>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</si>
  <si>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</si>
  <si>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</si>
  <si>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</si>
  <si>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</si>
  <si>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</si>
  <si>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</si>
  <si>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</si>
  <si>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</si>
  <si>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</si>
  <si>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</si>
  <si>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</si>
  <si>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</si>
  <si>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</si>
  <si>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</si>
  <si>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</si>
  <si>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</si>
  <si>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</si>
  <si>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</si>
  <si>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</si>
  <si>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</si>
  <si>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</si>
  <si>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</si>
  <si>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</si>
  <si>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</si>
  <si>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</si>
  <si>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</si>
  <si>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</si>
  <si>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</si>
  <si>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</si>
  <si>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</si>
  <si>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</si>
  <si>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</si>
  <si>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</si>
  <si>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</si>
  <si>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</si>
  <si>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</si>
  <si>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</si>
  <si>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</si>
  <si>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</si>
  <si>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</si>
  <si>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</si>
  <si>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</si>
  <si>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</si>
  <si>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</si>
  <si>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</si>
  <si>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</si>
  <si>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</si>
  <si>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</si>
  <si>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</si>
  <si>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</si>
  <si>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</si>
  <si>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</si>
  <si>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</si>
  <si>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</si>
  <si>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</si>
  <si>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</si>
  <si>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</si>
  <si>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</si>
  <si>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</si>
  <si>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</si>
  <si>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</si>
  <si>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</si>
  <si>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</si>
  <si>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</si>
  <si>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</si>
  <si>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</si>
  <si>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</si>
  <si>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</si>
  <si>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</si>
  <si>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</si>
  <si>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</si>
  <si>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</si>
  <si>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</si>
  <si>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</si>
  <si>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</si>
  <si>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</si>
  <si>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</si>
  <si>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</si>
  <si>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</si>
  <si>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</si>
  <si>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</si>
  <si>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</si>
  <si>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</si>
  <si>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</si>
  <si>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</si>
  <si>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</si>
  <si>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</si>
  <si>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</si>
  <si>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</si>
  <si>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</si>
  <si>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</si>
  <si>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</si>
  <si>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</si>
  <si>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</si>
  <si>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</si>
  <si>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</si>
  <si>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</si>
  <si>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</si>
  <si>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</si>
  <si>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</si>
  <si>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</si>
  <si>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</si>
  <si>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</si>
  <si>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</si>
  <si>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</si>
  <si>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</si>
  <si>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</si>
  <si>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</si>
  <si>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</si>
  <si>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</si>
  <si>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</si>
  <si>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</si>
  <si>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</si>
  <si>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</si>
  <si>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</si>
  <si>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</si>
  <si>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</si>
  <si>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</si>
  <si>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</si>
  <si>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</si>
  <si>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</si>
  <si>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</si>
  <si>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</si>
  <si>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</si>
  <si>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</si>
  <si>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</si>
  <si>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</si>
  <si>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</si>
  <si>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</si>
  <si>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</si>
  <si>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</si>
  <si>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</si>
  <si>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</si>
  <si>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</si>
  <si>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</si>
  <si>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</si>
  <si>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</si>
  <si>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</si>
  <si>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</si>
  <si>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</si>
  <si>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</si>
  <si>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</si>
  <si>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</si>
  <si>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</si>
  <si>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</si>
  <si>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</si>
  <si>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</si>
  <si>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</si>
  <si>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</si>
  <si>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</si>
  <si>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</si>
  <si>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</si>
  <si>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</si>
  <si>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</si>
  <si>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</si>
  <si>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</si>
  <si>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</si>
  <si>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</si>
  <si>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</si>
  <si>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</si>
  <si>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</si>
  <si>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</si>
  <si>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</si>
  <si>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</si>
  <si>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</si>
  <si>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</si>
  <si>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</si>
  <si>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</si>
  <si>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</si>
  <si>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</si>
  <si>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</si>
  <si>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</si>
  <si>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</si>
  <si>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</si>
  <si>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</si>
  <si>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</si>
  <si>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</si>
  <si>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</si>
  <si>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</si>
  <si>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</si>
  <si>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</si>
  <si>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</si>
  <si>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</si>
  <si>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</si>
  <si>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</si>
  <si>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</si>
  <si>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</si>
  <si>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</si>
  <si>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</si>
  <si>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</si>
  <si>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</si>
  <si>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</si>
  <si>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</si>
  <si>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</si>
  <si>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</si>
  <si>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</si>
  <si>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</si>
  <si>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</si>
  <si>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</si>
  <si>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</si>
  <si>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</si>
  <si>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</si>
  <si>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</si>
  <si>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</si>
  <si>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</si>
  <si>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</si>
  <si>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</si>
  <si>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</si>
  <si>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</si>
  <si>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</si>
  <si>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</si>
  <si>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</si>
  <si>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</si>
  <si>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</si>
  <si>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</si>
  <si>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</si>
  <si>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</si>
  <si>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</si>
  <si>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</si>
  <si>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</si>
  <si>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</si>
  <si>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</si>
  <si>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</si>
  <si>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</si>
  <si>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</si>
  <si>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</si>
  <si>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</si>
  <si>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</si>
  <si>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</si>
  <si>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</si>
  <si>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</si>
  <si>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</si>
  <si>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</si>
  <si>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</si>
  <si>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</si>
  <si>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</si>
  <si>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</si>
  <si>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</si>
  <si>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</si>
  <si>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</si>
  <si>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</si>
  <si>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</si>
  <si>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</si>
  <si>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</si>
  <si>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</si>
  <si>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</si>
  <si>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</si>
  <si>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</si>
  <si>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</si>
  <si>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</si>
  <si>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</si>
  <si>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</si>
  <si>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</si>
  <si>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</si>
  <si>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</si>
  <si>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</si>
  <si>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</si>
  <si>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</si>
  <si>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</si>
  <si>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</si>
  <si>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</si>
  <si>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</si>
  <si>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</si>
  <si>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</si>
  <si>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</si>
  <si>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</si>
  <si>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</si>
  <si>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</si>
  <si>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</si>
  <si>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</si>
  <si>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</si>
  <si>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</si>
  <si>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</si>
  <si>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</si>
  <si>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</si>
  <si>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</si>
  <si>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</si>
  <si>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</si>
  <si>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</si>
  <si>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</si>
  <si>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</si>
  <si>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</si>
  <si>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</si>
  <si>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</si>
  <si>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</si>
  <si>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</si>
  <si>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</si>
  <si>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</si>
  <si>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</si>
  <si>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</si>
  <si>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</si>
  <si>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</si>
  <si>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</si>
  <si>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</si>
  <si>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</si>
  <si>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</si>
  <si>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</si>
  <si>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</si>
  <si>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</si>
  <si>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</si>
  <si>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</si>
  <si>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</si>
  <si>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</si>
  <si>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</si>
  <si>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</si>
  <si>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</si>
  <si>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</si>
  <si>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</si>
  <si>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</si>
  <si>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</si>
  <si>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</si>
  <si>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</si>
  <si>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</si>
  <si>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</si>
  <si>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</si>
  <si>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</si>
  <si>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</si>
  <si>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</si>
  <si>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</si>
  <si>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</si>
  <si>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</si>
  <si>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</si>
  <si>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</si>
  <si>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</si>
  <si>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</si>
  <si>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</si>
  <si>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</si>
  <si>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</si>
  <si>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</si>
  <si>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</si>
  <si>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</si>
  <si>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</si>
  <si>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</si>
  <si>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</si>
  <si>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</si>
  <si>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</si>
  <si>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</si>
  <si>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</si>
  <si>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</si>
  <si>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</si>
  <si>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</si>
  <si>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</si>
  <si>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</si>
  <si>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</si>
  <si>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</si>
  <si>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</si>
  <si>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</si>
  <si>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</si>
  <si>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</si>
  <si>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</si>
  <si>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</si>
  <si>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</si>
  <si>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</si>
  <si>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</si>
  <si>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</si>
  <si>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</si>
  <si>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</si>
  <si>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</si>
  <si>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</si>
  <si>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</si>
  <si>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</si>
  <si>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</si>
  <si>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</si>
  <si>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</si>
  <si>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</si>
  <si>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</si>
  <si>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</si>
  <si>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</si>
  <si>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</si>
  <si>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</si>
  <si>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</si>
  <si>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</si>
  <si>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</si>
  <si>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</si>
  <si>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</si>
  <si>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</si>
  <si>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</si>
  <si>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</si>
  <si>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</si>
  <si>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</si>
  <si>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</si>
  <si>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</si>
  <si>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</si>
  <si>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</si>
  <si>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</si>
  <si>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</si>
  <si>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</si>
  <si>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</si>
  <si>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</si>
  <si>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</si>
  <si>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</si>
  <si>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</si>
  <si>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</si>
  <si>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</si>
  <si>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</si>
  <si>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</si>
  <si>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</si>
  <si>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</si>
  <si>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</si>
  <si>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</si>
  <si>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</si>
  <si>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</si>
  <si>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</si>
  <si>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</si>
  <si>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</si>
  <si>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</si>
  <si>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</si>
  <si>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</si>
  <si>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</si>
  <si>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</si>
  <si>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</si>
  <si>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</si>
  <si>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</si>
  <si>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</si>
  <si>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</si>
  <si>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</si>
  <si>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</si>
  <si>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</si>
  <si>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</si>
  <si>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</si>
  <si>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</si>
  <si>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</si>
  <si>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</si>
  <si>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</si>
  <si>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</si>
  <si>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</si>
  <si>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</si>
  <si>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</si>
  <si>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</si>
  <si>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</si>
  <si>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</si>
  <si>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</si>
  <si>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</si>
  <si>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</si>
  <si>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</si>
  <si>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</si>
  <si>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</si>
  <si>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</si>
  <si>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</si>
  <si>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</si>
  <si>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</si>
  <si>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</si>
  <si>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</si>
  <si>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</si>
  <si>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</si>
  <si>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</si>
  <si>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</si>
  <si>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</si>
  <si>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</si>
  <si>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</si>
  <si>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</si>
  <si>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</si>
  <si>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</si>
  <si>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</si>
  <si>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</si>
  <si>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</si>
  <si>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</si>
  <si>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</si>
  <si>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</si>
  <si>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</si>
  <si>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</si>
  <si>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</si>
  <si>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</si>
  <si>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</si>
  <si>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</si>
  <si>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</si>
  <si>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</si>
  <si>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</si>
  <si>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</si>
  <si>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</si>
  <si>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</si>
  <si>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</si>
  <si>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</si>
  <si>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</si>
  <si>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</si>
  <si>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</si>
  <si>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</si>
  <si>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</si>
  <si>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</si>
  <si>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</si>
  <si>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</si>
  <si>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</si>
  <si>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</si>
  <si>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</si>
  <si>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</si>
  <si>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</si>
  <si>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</si>
  <si>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</si>
  <si>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</si>
  <si>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</si>
  <si>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</si>
  <si>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</si>
  <si>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</si>
  <si>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</si>
  <si>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</si>
  <si>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</si>
  <si>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</si>
  <si>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</si>
  <si>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</si>
  <si>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</si>
  <si>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</si>
  <si>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</si>
  <si>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</si>
  <si>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</si>
  <si>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</si>
  <si>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</si>
  <si>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</si>
  <si>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</si>
  <si>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</si>
  <si>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</si>
  <si>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</si>
  <si>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</si>
  <si>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</si>
  <si>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</si>
  <si>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</si>
  <si>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</si>
  <si>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</si>
  <si>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</si>
  <si>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</si>
  <si>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</si>
  <si>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</si>
  <si>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</si>
  <si>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</si>
  <si>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</si>
  <si>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</si>
  <si>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</si>
  <si>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</si>
  <si>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</si>
  <si>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</si>
  <si>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</si>
  <si>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</si>
  <si>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</si>
  <si>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</si>
  <si>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</si>
  <si>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</si>
  <si>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</si>
  <si>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</si>
  <si>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</si>
  <si>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</si>
  <si>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</si>
  <si>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</si>
  <si>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</si>
  <si>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</si>
  <si>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</si>
  <si>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</si>
  <si>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</si>
  <si>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</si>
  <si>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</si>
  <si>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</si>
  <si>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</si>
  <si>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</si>
  <si>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</si>
  <si>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</si>
  <si>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</si>
  <si>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</si>
  <si>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</si>
  <si>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</si>
  <si>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</si>
  <si>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</si>
  <si>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</si>
  <si>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</si>
  <si>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</si>
  <si>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</si>
  <si>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</si>
  <si>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</si>
  <si>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</si>
  <si>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</si>
  <si>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</si>
  <si>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</si>
  <si>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</si>
  <si>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</si>
  <si>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</si>
  <si>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</si>
  <si>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</si>
  <si>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</si>
  <si>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</si>
  <si>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</si>
  <si>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</si>
  <si>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</si>
  <si>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</si>
  <si>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</si>
  <si>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</si>
  <si>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</si>
  <si>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</si>
  <si>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</si>
  <si>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</si>
  <si>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</si>
  <si>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</si>
  <si>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</si>
  <si>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</si>
  <si>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</si>
  <si>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</si>
  <si>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</si>
  <si>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</si>
  <si>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</si>
  <si>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</si>
  <si>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</si>
  <si>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</si>
  <si>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</si>
  <si>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</si>
  <si>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</si>
  <si>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</si>
  <si>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</si>
  <si>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</si>
  <si>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</si>
  <si>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</si>
  <si>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</si>
  <si>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</si>
  <si>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</si>
  <si>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</si>
  <si>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</si>
  <si>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</si>
  <si>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</si>
  <si>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</si>
  <si>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</si>
  <si>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</si>
  <si>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</si>
  <si>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</si>
  <si>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</si>
  <si>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</si>
  <si>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</si>
  <si>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</si>
  <si>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</si>
  <si>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</si>
  <si>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</si>
  <si>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</si>
  <si>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</si>
  <si>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</si>
  <si>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</si>
  <si>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</si>
  <si>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</si>
  <si>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</si>
  <si>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</si>
  <si>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</si>
  <si>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</si>
  <si>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</si>
  <si>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</si>
  <si>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</si>
  <si>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</si>
  <si>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</si>
  <si>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</si>
  <si>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</si>
  <si>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</si>
  <si>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</si>
  <si>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</si>
  <si>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</si>
  <si>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</si>
  <si>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</si>
  <si>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</si>
  <si>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</si>
  <si>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</si>
  <si>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</si>
  <si>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</si>
  <si>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</si>
  <si>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</si>
  <si>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</si>
  <si>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</si>
  <si>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</si>
  <si>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</si>
  <si>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</si>
  <si>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</si>
  <si>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</si>
  <si>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</si>
  <si>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</si>
  <si>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</si>
  <si>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</si>
  <si>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</si>
  <si>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</si>
  <si>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</si>
  <si>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</si>
  <si>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</si>
  <si>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</si>
  <si>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</si>
  <si>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</si>
  <si>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</si>
  <si>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</si>
  <si>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</si>
  <si>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</si>
  <si>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</si>
  <si>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</si>
  <si>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</si>
  <si>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</si>
  <si>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</si>
  <si>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</si>
  <si>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</si>
  <si>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</si>
  <si>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</si>
  <si>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</si>
  <si>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</si>
  <si>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</si>
  <si>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</si>
  <si>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</si>
  <si>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</si>
  <si>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</si>
  <si>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</si>
  <si>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</si>
  <si>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</si>
  <si>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</si>
  <si>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</si>
  <si>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</si>
  <si>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</si>
  <si>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</si>
  <si>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</si>
  <si>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</si>
  <si>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</si>
  <si>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</si>
  <si>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</si>
  <si>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</si>
  <si>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</si>
  <si>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</si>
  <si>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</si>
  <si>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</si>
  <si>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</si>
  <si>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</si>
  <si>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</si>
  <si>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</si>
  <si>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</si>
  <si>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</si>
  <si>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</si>
  <si>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</si>
  <si>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</si>
  <si>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</si>
  <si>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</si>
  <si>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</si>
  <si>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</si>
  <si>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</si>
  <si>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</si>
  <si>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</si>
  <si>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</si>
  <si>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</si>
  <si>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</si>
  <si>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</si>
  <si>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</si>
  <si>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</si>
  <si>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</si>
  <si>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</si>
  <si>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</si>
  <si>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</si>
  <si>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</si>
  <si>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</si>
  <si>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</si>
  <si>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</si>
  <si>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</si>
  <si>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</si>
  <si>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</si>
  <si>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</si>
  <si>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</si>
  <si>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</si>
  <si>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</si>
  <si>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</si>
  <si>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</si>
  <si>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</si>
  <si>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</si>
  <si>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</si>
  <si>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</si>
  <si>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</si>
  <si>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</si>
  <si>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</si>
  <si>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</si>
  <si>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</si>
  <si>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</si>
  <si>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</si>
  <si>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</si>
  <si>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</si>
  <si>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</si>
  <si>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</si>
  <si>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</si>
  <si>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</si>
  <si>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</si>
  <si>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</si>
  <si>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</si>
  <si>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</si>
  <si>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</si>
  <si>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</si>
  <si>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</si>
  <si>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</si>
  <si>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</si>
  <si>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</si>
  <si>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</si>
  <si>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</si>
  <si>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</si>
  <si>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</si>
  <si>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</si>
  <si>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</si>
  <si>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</si>
  <si>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</si>
  <si>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</si>
  <si>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</si>
  <si>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</si>
  <si>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</si>
  <si>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</si>
  <si>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</si>
  <si>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</si>
  <si>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</si>
  <si>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</si>
  <si>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</si>
  <si>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</si>
  <si>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</si>
  <si>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</si>
  <si>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</si>
  <si>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</si>
  <si>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</si>
  <si>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</si>
  <si>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</si>
  <si>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</si>
  <si>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</si>
  <si>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</si>
  <si>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</si>
  <si>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</si>
  <si>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</si>
  <si>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</si>
  <si>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</si>
  <si>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</si>
  <si>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</si>
  <si>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</si>
  <si>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</si>
  <si>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</si>
  <si>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</si>
  <si>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</si>
  <si>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</si>
  <si>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</si>
  <si>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</si>
  <si>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</si>
  <si>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</si>
  <si>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</si>
  <si>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</si>
  <si>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</si>
  <si>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</si>
  <si>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</si>
  <si>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</si>
  <si>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</si>
  <si>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</si>
  <si>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</si>
  <si>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</si>
  <si>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</si>
  <si>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</si>
  <si>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</si>
  <si>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</si>
  <si>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</si>
  <si>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</si>
  <si>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</si>
  <si>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</si>
  <si>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</si>
  <si>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</si>
  <si>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</si>
  <si>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</si>
  <si>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</si>
  <si>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</si>
  <si>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</si>
  <si>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</si>
  <si>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</si>
  <si>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</si>
  <si>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</si>
  <si>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</si>
  <si>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</si>
  <si>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</si>
  <si>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</si>
  <si>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</si>
  <si>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</si>
  <si>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</si>
  <si>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</si>
  <si>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</si>
  <si>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</si>
  <si>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</si>
  <si>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</si>
  <si>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</si>
  <si>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</si>
  <si>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</si>
  <si>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</si>
  <si>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</si>
  <si>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</si>
  <si>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</si>
  <si>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</si>
  <si>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</si>
  <si>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</si>
  <si>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</si>
  <si>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</si>
  <si>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</si>
  <si>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</si>
  <si>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</si>
  <si>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</si>
  <si>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</si>
  <si>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</si>
  <si>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</si>
  <si>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</si>
  <si>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</si>
  <si>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</si>
  <si>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</si>
  <si>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</si>
  <si>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</si>
  <si>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</si>
  <si>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</si>
  <si>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</si>
  <si>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</si>
  <si>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</si>
  <si>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</si>
  <si>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</si>
  <si>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</si>
  <si>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</si>
  <si>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</si>
  <si>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</si>
  <si>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</si>
  <si>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</si>
  <si>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</si>
  <si>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</si>
  <si>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</si>
  <si>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</si>
  <si>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</si>
  <si>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</si>
  <si>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</si>
  <si>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</si>
  <si>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</si>
  <si>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</si>
  <si>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</si>
  <si>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</si>
  <si>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</si>
  <si>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</si>
  <si>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</si>
  <si>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</si>
  <si>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</si>
  <si>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</si>
  <si>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</si>
  <si>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</si>
  <si>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</si>
  <si>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</si>
  <si>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</si>
  <si>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</si>
  <si>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</si>
  <si>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</si>
  <si>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</si>
  <si>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</si>
  <si>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</si>
  <si>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</si>
  <si>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</si>
  <si>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</si>
  <si>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</si>
  <si>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</si>
  <si>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</si>
  <si>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</si>
  <si>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</si>
  <si>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</si>
  <si>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</si>
  <si>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</si>
  <si>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</si>
  <si>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</si>
  <si>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</si>
  <si>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</si>
  <si>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</si>
  <si>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</si>
  <si>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</si>
  <si>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</si>
  <si>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</si>
  <si>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</si>
  <si>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</si>
  <si>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</si>
  <si>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</si>
  <si>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</si>
  <si>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</si>
  <si>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</si>
  <si>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</si>
  <si>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</si>
  <si>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</si>
  <si>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</si>
  <si>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</si>
  <si>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</si>
  <si>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</si>
  <si>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</si>
  <si>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</si>
  <si>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</si>
  <si>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</si>
  <si>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</si>
  <si>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</si>
  <si>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</si>
  <si>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</si>
  <si>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</si>
  <si>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</si>
  <si>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</si>
  <si>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</si>
  <si>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</si>
  <si>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</si>
  <si>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</si>
  <si>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</si>
  <si>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</si>
  <si>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</si>
  <si>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</si>
  <si>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</si>
  <si>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</si>
  <si>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</si>
  <si>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</si>
  <si>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</si>
  <si>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</si>
  <si>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</si>
  <si>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</si>
  <si>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</si>
  <si>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</si>
  <si>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</si>
  <si>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</si>
  <si>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</si>
  <si>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</si>
  <si>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</si>
  <si>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</si>
  <si>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</si>
  <si>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</si>
  <si>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</si>
  <si>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</si>
  <si>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</si>
  <si>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</si>
  <si>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</si>
  <si>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</si>
  <si>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</si>
  <si>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</si>
  <si>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</si>
  <si>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</si>
  <si>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</si>
  <si>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</si>
  <si>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</si>
  <si>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</si>
  <si>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</si>
  <si>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</si>
  <si>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</si>
  <si>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</si>
  <si>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</si>
  <si>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</si>
  <si>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</si>
  <si>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</si>
  <si>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</si>
  <si>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</si>
  <si>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</si>
  <si>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</si>
  <si>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</si>
  <si>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</si>
  <si>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</si>
  <si>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</si>
  <si>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</si>
  <si>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</si>
  <si>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</si>
  <si>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</si>
  <si>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</si>
  <si>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</si>
  <si>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</si>
  <si>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</si>
  <si>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</si>
  <si>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</si>
  <si>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</si>
  <si>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</si>
  <si>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</si>
  <si>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</si>
  <si>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</si>
  <si>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</si>
  <si>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</si>
  <si>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</si>
  <si>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</si>
  <si>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</si>
  <si>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</si>
  <si>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</si>
  <si>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</si>
  <si>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</si>
  <si>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</si>
  <si>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</si>
  <si>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</si>
  <si>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</si>
  <si>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</si>
  <si>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</si>
  <si>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</si>
  <si>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</si>
  <si>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</si>
  <si>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</si>
  <si>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</si>
  <si>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</si>
  <si>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</si>
  <si>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</si>
  <si>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</si>
  <si>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</si>
  <si>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</si>
  <si>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</si>
  <si>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</si>
  <si>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</si>
  <si>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</si>
  <si>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</si>
  <si>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</si>
  <si>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</si>
  <si>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</si>
  <si>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</si>
  <si>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</si>
  <si>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</si>
  <si>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</si>
  <si>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</si>
  <si>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</si>
  <si>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</si>
  <si>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</si>
  <si>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</si>
  <si>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</si>
  <si>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</si>
  <si>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</si>
  <si>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</si>
  <si>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</si>
  <si>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</si>
  <si>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</si>
  <si>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</si>
  <si>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</si>
  <si>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</si>
  <si>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</si>
  <si>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</si>
  <si>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</si>
  <si>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</si>
  <si>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</si>
  <si>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</si>
  <si>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</si>
  <si>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</si>
  <si>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</si>
  <si>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</si>
  <si>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</si>
  <si>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</si>
  <si>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</si>
  <si>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</si>
  <si>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</si>
  <si>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</si>
  <si>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</si>
  <si>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</si>
  <si>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</si>
  <si>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</si>
  <si>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</si>
  <si>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</si>
  <si>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</si>
  <si>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</si>
  <si>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</si>
  <si>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</si>
  <si>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</si>
  <si>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</si>
  <si>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</si>
  <si>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</si>
  <si>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</si>
  <si>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</si>
  <si>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</si>
  <si>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</si>
  <si>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</si>
  <si>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</si>
  <si>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</si>
  <si>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</si>
  <si>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</si>
  <si>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</si>
  <si>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</si>
  <si>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</si>
  <si>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</si>
  <si>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</si>
  <si>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</si>
  <si>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</si>
  <si>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</si>
  <si>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</si>
  <si>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</si>
  <si>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</si>
  <si>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</si>
  <si>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</si>
  <si>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</si>
  <si>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</si>
  <si>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</si>
  <si>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</si>
  <si>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</si>
  <si>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</si>
  <si>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</si>
  <si>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</si>
  <si>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</si>
  <si>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</si>
  <si>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</si>
  <si>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</si>
  <si>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</si>
  <si>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</si>
  <si>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</si>
  <si>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</si>
  <si>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</si>
  <si>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</si>
  <si>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</si>
  <si>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</si>
  <si>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</si>
  <si>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</si>
  <si>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</si>
  <si>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</si>
  <si>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</si>
  <si>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</si>
  <si>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</si>
  <si>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</si>
  <si>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</si>
  <si>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</si>
  <si>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</si>
  <si>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</si>
  <si>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</si>
  <si>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</si>
  <si>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</si>
  <si>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</si>
  <si>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</si>
  <si>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</si>
  <si>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</si>
  <si>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</si>
  <si>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</si>
  <si>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</si>
  <si>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</si>
  <si>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</si>
  <si>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</si>
  <si>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</si>
  <si>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</si>
  <si>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</si>
  <si>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</si>
  <si>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</si>
  <si>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</si>
  <si>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</si>
  <si>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</si>
  <si>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</si>
  <si>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</si>
  <si>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</si>
  <si>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</si>
  <si>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</si>
  <si>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</si>
  <si>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</si>
  <si>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</si>
  <si>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</si>
  <si>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</si>
  <si>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</si>
  <si>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</si>
  <si>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</si>
  <si>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</si>
  <si>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</si>
  <si>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</si>
  <si>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</si>
  <si>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</si>
  <si>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</si>
  <si>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</si>
  <si>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</si>
  <si>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</si>
  <si>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自用</t>
  </si>
  <si>
    <t>自用</t>
    <phoneticPr fontId="7" type="noConversion"/>
  </si>
  <si>
    <t>出租</t>
    <phoneticPr fontId="7" type="noConversion"/>
  </si>
  <si>
    <t>成新度</t>
  </si>
  <si>
    <t>押一</t>
  </si>
  <si>
    <t>钢混</t>
  </si>
  <si>
    <t>非生产用房</t>
  </si>
  <si>
    <t>按租金收入计税</t>
  </si>
  <si>
    <t>售价</t>
  </si>
  <si>
    <t>康得大厦</t>
    <phoneticPr fontId="3" type="noConversion"/>
  </si>
  <si>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</si>
  <si>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</si>
  <si>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</si>
  <si>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</si>
  <si>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</si>
  <si>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</si>
  <si>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</si>
  <si>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</si>
  <si>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</si>
  <si>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20-30（含）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</si>
  <si>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</si>
  <si>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</si>
  <si>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</si>
  <si>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</si>
  <si>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</si>
  <si>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</si>
  <si>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</si>
  <si>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</si>
  <si>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</si>
  <si>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</si>
  <si>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</si>
  <si>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</si>
  <si>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</si>
  <si>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</si>
  <si>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</si>
  <si>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</si>
  <si>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</si>
  <si>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</si>
  <si>
    <t>普通</t>
    <phoneticPr fontId="32" type="noConversion"/>
  </si>
  <si>
    <t>五通</t>
  </si>
  <si>
    <t>四通</t>
  </si>
  <si>
    <t>三通</t>
  </si>
  <si>
    <t>独栋工业用房</t>
    <phoneticPr fontId="3" type="noConversion"/>
  </si>
  <si>
    <t>盈创动力大厦</t>
    <phoneticPr fontId="3" type="noConversion"/>
  </si>
  <si>
    <t>观察成新</t>
    <phoneticPr fontId="143" type="noConversion"/>
  </si>
  <si>
    <t>直线成新</t>
    <phoneticPr fontId="143" type="noConversion"/>
  </si>
  <si>
    <t>比较法-工业</t>
  </si>
  <si>
    <t>30-40（含）</t>
  </si>
  <si>
    <t>收益法-自用</t>
  </si>
  <si>
    <t>收益法-自用</t>
    <phoneticPr fontId="16" type="noConversion"/>
  </si>
  <si>
    <t>收益法-出租</t>
  </si>
  <si>
    <t>收益法-出租</t>
    <phoneticPr fontId="16" type="noConversion"/>
  </si>
  <si>
    <t>出租</t>
  </si>
  <si>
    <t>收益法（汇总）</t>
  </si>
  <si>
    <t>附楼租金情况</t>
    <phoneticPr fontId="143" type="noConversion"/>
  </si>
  <si>
    <t>天数</t>
    <phoneticPr fontId="143" type="noConversion"/>
  </si>
  <si>
    <r>
      <t>6</t>
    </r>
    <r>
      <rPr>
        <sz val="11"/>
        <color theme="1"/>
        <rFont val="宋体"/>
        <family val="3"/>
        <charset val="134"/>
        <scheme val="minor"/>
      </rPr>
      <t>108租金情况</t>
    </r>
    <phoneticPr fontId="143" type="noConversion"/>
  </si>
  <si>
    <t>康得投资集团有限公司</t>
    <phoneticPr fontId="6" type="noConversion"/>
  </si>
  <si>
    <r>
      <rPr>
        <sz val="12"/>
        <color theme="9" tint="-0.249977111117893"/>
        <rFont val="宋体"/>
        <family val="3"/>
        <charset val="134"/>
      </rPr>
      <t>海淀区上地六街</t>
    </r>
    <r>
      <rPr>
        <sz val="12"/>
        <color theme="9" tint="-0.249977111117893"/>
        <rFont val="Arial"/>
        <family val="2"/>
      </rPr>
      <t>17</t>
    </r>
    <r>
      <rPr>
        <sz val="12"/>
        <color theme="9" tint="-0.249977111117893"/>
        <rFont val="宋体"/>
        <family val="3"/>
        <charset val="134"/>
      </rPr>
      <t>号全部工业用房</t>
    </r>
    <phoneticPr fontId="6" type="noConversion"/>
  </si>
  <si>
    <t>2018-1-0664-P01DYGJ1</t>
    <phoneticPr fontId="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</si>
  <si>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</si>
  <si>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</si>
  <si>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</si>
  <si>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</si>
  <si>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</si>
  <si>
    <t>单层工业用房</t>
    <phoneticPr fontId="32" type="noConversion"/>
  </si>
  <si>
    <t>独栋工业用房</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</si>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</sst>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14" fontId="0" fillId="0" borderId="0" xfId="0" applyNumberFormat="1">
      <alignment vertical="center"/>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lignment vertical="center"/>
    </xf>
    <xf numFmtId="0" fontId="101" fillId="0" borderId="0" xfId="0" applyFont="1" applyAlignment="1">
      <alignment horizontal="center" vertical="center"/>
    </xf>
    <xf numFmtId="0" fontId="101" fillId="5" borderId="0" xfId="0" applyFont="1" applyFill="1">
      <alignment vertical="center"/>
    </xf>
    <xf numFmtId="14" fontId="99" fillId="0" borderId="0" xfId="0" applyNumberFormat="1" applyFont="1" applyAlignment="1">
      <alignment horizontal="center" vertical="center"/>
    </xf>
    <xf numFmtId="0" fontId="101" fillId="9" borderId="0" xfId="0" applyFont="1" applyFill="1">
      <alignment vertical="center"/>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427742</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6667" cy="5847619"/>
        </a:xfrm>
        <a:prstGeom prst="rect">
          <a:avLst/>
        </a:prstGeom>
      </xdr:spPr>
    </xdr:pic>
    <xdr:clientData/>
  </xdr:twoCellAnchor>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3"/>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4114800"/>
          <a:ext cx="4580953" cy="2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北京市海淀区上地六街17号全部工业用房房地产抵押价值预评估</v>
      </c>
    </row>
    <row r="3" spans="1:2" s="1596" customFormat="1">
      <c r="A3" s="1594" t="s">
        <v>1221</v>
      </c>
      <c r="B3" s="1595" t="str">
        <f>'预评函-封皮'!B40</f>
        <v>康得投资集团有限公司</v>
      </c>
    </row>
    <row r="4" spans="1:2" s="1596" customFormat="1">
      <c r="A4" s="1594" t="s">
        <v>1222</v>
      </c>
      <c r="B4" s="1595" t="str">
        <f ca="1">'预评函-封皮'!B46</f>
        <v>王鹏（注册号：1120050019)、崔锴（注册号：1120100036)</v>
      </c>
    </row>
    <row r="5" spans="1:2" s="1590" customFormat="1" ht="15" thickBot="1">
      <c r="A5" s="1597" t="s">
        <v>1223</v>
      </c>
      <c r="B5" s="1598" t="str">
        <f>'预评函-封皮'!B49</f>
        <v>康正预评字2018-1-0664-P01DYGJ1号</v>
      </c>
    </row>
    <row r="6" spans="1:2" s="1593" customFormat="1" ht="15" thickTop="1">
      <c r="A6" s="1591" t="s">
        <v>1224</v>
      </c>
      <c r="B6" s="1592" t="str">
        <f>'预评函-1'!A4</f>
        <v>受贵公司委托，我公司对北京市海淀区上地六街17号全部工业用房房地产抵押价值进行了预评估。</v>
      </c>
    </row>
    <row r="7" spans="1:2" s="1596" customFormat="1">
      <c r="A7" s="1594" t="s">
        <v>1264</v>
      </c>
      <c r="B7" s="1595" t="str">
        <f>'预评函-1'!A7</f>
        <v>估价对象为北京市海淀区上地六街17号全部工业用房房地产，为康得投资集团有限公司所有。根据《国有土地使用证》[京海国用（2010出）第5041号]，估价对象（分摊）出让国有建设用地使用权面积为9282.25平方米。根据《房屋所有权证》[京房权证海其更字第0111273号]，估价对象建筑面积为18037.4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上地六街17号全部工业用房房地产,属康得投资集团有限公司开发建设的工业项目，该项目尚在开发建设中。根据《国有土地使用证》[京海国用（2010出）第5041号]，估价对象（分摊）出让国有建设用地使用权面积为9282.25平方米。根据《房屋所有权证》[京房权证海其更字第0111273号]，估价对象规划建筑面积为18037.4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为估价委托人在向昆仑信托有限责任公司办理贷款手续过程中，确定房地产抵押贷款额度提供参考依据而评估房地产抵押价值。</v>
      </c>
    </row>
    <row r="12" spans="1:2" s="1596" customFormat="1">
      <c r="A12" s="1594" t="s">
        <v>1226</v>
      </c>
      <c r="B12" s="1595" t="str">
        <f>'预评函-1'!A15</f>
        <v>2018年9月20日（评估专业人员实地查勘之日）</v>
      </c>
    </row>
    <row r="13" spans="1:2" s="1596" customFormat="1">
      <c r="A13" s="1594" t="s">
        <v>1227</v>
      </c>
      <c r="B13" s="1595" t="str">
        <f>'预评函-1'!A18</f>
        <v>本次估价的“房地产价值”是指在正常市场情况下，在价值时点2018年9月20日，估价对象规划用途为工业，土地取得方式为出让，出让国有建设用地使用权剩余土地使用年限为29.98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60028</v>
      </c>
    </row>
    <row r="21" spans="1:2" s="1596" customFormat="1">
      <c r="A21" s="1594" t="s">
        <v>1235</v>
      </c>
      <c r="B21" s="1595">
        <f ca="1">'预评函-2'!D7</f>
        <v>33280</v>
      </c>
    </row>
    <row r="22" spans="1:2" s="1596" customFormat="1">
      <c r="A22" s="1594" t="s">
        <v>1236</v>
      </c>
      <c r="B22" s="1595" t="str">
        <f ca="1">'预评函-2'!D6</f>
        <v>陆亿零贰拾捌万元整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60028</v>
      </c>
    </row>
    <row r="35" spans="1:2" s="1596" customFormat="1">
      <c r="A35" s="1594" t="s">
        <v>1275</v>
      </c>
      <c r="B35" s="1595">
        <f ca="1">'预评函-2'!D18</f>
        <v>33280</v>
      </c>
    </row>
    <row r="36" spans="1:2" s="1596" customFormat="1">
      <c r="A36" s="1594" t="s">
        <v>1242</v>
      </c>
      <c r="B36" s="1595" t="str">
        <f ca="1">'预评函-2'!D17</f>
        <v>陆亿零贰拾捌万元整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北京市海淀区上地六街17号全部工业用房房地产</v>
      </c>
    </row>
    <row r="42" spans="1:2" s="1596" customFormat="1">
      <c r="A42" s="1594" t="s">
        <v>1288</v>
      </c>
      <c r="B42" s="1595" t="str">
        <f>'预评函-3'!B2</f>
        <v>建筑面积</v>
      </c>
    </row>
    <row r="43" spans="1:2" s="1596" customFormat="1">
      <c r="A43" s="1594" t="s">
        <v>1289</v>
      </c>
      <c r="B43" s="1595">
        <f>'预评函-3'!B4</f>
        <v>18037.400000000001</v>
      </c>
    </row>
    <row r="44" spans="1:2" s="1596" customFormat="1">
      <c r="A44" s="1594" t="s">
        <v>1273</v>
      </c>
      <c r="B44" s="1595" t="str">
        <f>'预评函-3'!C2</f>
        <v>(分摊)土地面积</v>
      </c>
    </row>
    <row r="45" spans="1:2" s="1596" customFormat="1">
      <c r="A45" s="1594" t="s">
        <v>1245</v>
      </c>
      <c r="B45" s="1595">
        <f>'预评函-3'!C4</f>
        <v>9282.25</v>
      </c>
    </row>
    <row r="46" spans="1:2" s="1596" customFormat="1">
      <c r="A46" s="1594" t="s">
        <v>1271</v>
      </c>
      <c r="B46" s="1595" t="str">
        <f>'预评函-3'!D2</f>
        <v>出让国有建设用地使用权价值</v>
      </c>
    </row>
    <row r="47" spans="1:2" s="1596" customFormat="1">
      <c r="A47" s="1594" t="s">
        <v>1246</v>
      </c>
      <c r="B47" s="1595">
        <f ca="1">'预评函-3'!D4</f>
        <v>53028</v>
      </c>
    </row>
    <row r="48" spans="1:2" s="1596" customFormat="1">
      <c r="A48" s="1594" t="s">
        <v>1247</v>
      </c>
      <c r="B48" s="1595">
        <f ca="1">'预评函-3'!E4</f>
        <v>29399</v>
      </c>
    </row>
    <row r="49" spans="1:2" s="1596" customFormat="1">
      <c r="A49" s="1594" t="s">
        <v>1248</v>
      </c>
      <c r="B49" s="1595" t="str">
        <f ca="1">'预评函-3'!D5</f>
        <v>伍亿叁仟零贰拾捌万元整</v>
      </c>
    </row>
    <row r="50" spans="1:2" s="1596" customFormat="1">
      <c r="A50" s="1594" t="s">
        <v>1272</v>
      </c>
      <c r="B50" s="1595" t="str">
        <f>'预评函-3'!F2</f>
        <v>建筑物价值</v>
      </c>
    </row>
    <row r="51" spans="1:2" s="1596" customFormat="1">
      <c r="A51" s="1594" t="s">
        <v>1249</v>
      </c>
      <c r="B51" s="1595">
        <f ca="1">'预评函-3'!F4</f>
        <v>7000</v>
      </c>
    </row>
    <row r="52" spans="1:2" s="1596" customFormat="1">
      <c r="A52" s="1594" t="s">
        <v>1250</v>
      </c>
      <c r="B52" s="1595">
        <f ca="1">'预评函-3'!G4</f>
        <v>3881</v>
      </c>
    </row>
    <row r="53" spans="1:2" s="1596" customFormat="1">
      <c r="A53" s="1594" t="s">
        <v>1278</v>
      </c>
      <c r="B53" s="1595" t="str">
        <f ca="1">'预评函-3'!F5</f>
        <v>柒仟万元整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3116</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3118</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康得投资集团有限公司拟使用北京市海淀区上地六街17号全部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3" sqref="O13"/>
    </sheetView>
  </sheetViews>
  <sheetFormatPr defaultColWidth="10" defaultRowHeight="18" customHeight="1"/>
  <cols>
    <col min="1" max="1" width="14.875" style="2035" customWidth="1"/>
    <col min="2" max="2" width="11.87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22" t="str">
        <f>IF(B10="北京市","北京市",C10)&amp;F10&amp;IF(结果表!G1="在建","出让国有建设用地使用权及在建建筑物",IF(结果表!G1="土地","出让国有建设用地使用权",))&amp;B9&amp;"预评估"</f>
        <v>北京市海淀区上地六街17号全部工业用房房地产抵押价值预评估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北京市海淀区上地六街17号全部工业用房房地产抵押价值</v>
      </c>
    </row>
    <row r="2" spans="1:19" ht="18" customHeight="1">
      <c r="A2" s="2029" t="s">
        <v>1776</v>
      </c>
      <c r="B2" s="1042" t="s">
        <v>3126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北京市海淀区上地六街17号全部工业用房房地产</v>
      </c>
    </row>
    <row r="3" spans="1:19" ht="18" customHeight="1">
      <c r="A3" s="2038" t="s">
        <v>1777</v>
      </c>
      <c r="B3" s="2039">
        <v>43363</v>
      </c>
      <c r="C3" s="2040" t="s">
        <v>1778</v>
      </c>
      <c r="D3" s="2039">
        <f>B3</f>
        <v>43363</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1120050019</v>
      </c>
      <c r="D4" s="2042" t="s">
        <v>3048</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王鹏（注册号：1120050019)、崔锴（注册号：1120100036)</v>
      </c>
      <c r="L4" s="2031"/>
      <c r="M4" s="2031"/>
      <c r="N4" s="2032"/>
      <c r="O4" s="2033"/>
      <c r="P4" s="2032"/>
      <c r="Q4" s="2032"/>
      <c r="R4" s="2032"/>
      <c r="S4" s="2034"/>
    </row>
    <row r="5" spans="1:19" ht="18" customHeight="1" thickTop="1">
      <c r="A5" s="2047" t="s">
        <v>1780</v>
      </c>
      <c r="B5" s="2954" t="s">
        <v>3124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77" t="s">
        <v>3127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康得投资集团有限公司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3049</v>
      </c>
      <c r="C8" s="2057"/>
      <c r="D8" s="3025" t="s">
        <v>1784</v>
      </c>
      <c r="E8" s="2058" t="s">
        <v>3128</v>
      </c>
      <c r="F8" s="2059"/>
      <c r="G8" s="2029"/>
      <c r="H8" s="2029"/>
      <c r="I8" s="2029"/>
      <c r="J8" s="2045"/>
      <c r="K8" s="2046"/>
      <c r="L8" s="2031"/>
      <c r="M8" s="2031"/>
      <c r="N8" s="2032"/>
      <c r="O8" s="2033"/>
      <c r="P8" s="2032"/>
      <c r="Q8" s="2032"/>
      <c r="R8" s="2032"/>
    </row>
    <row r="9" spans="1:19" ht="18" customHeight="1" thickBot="1">
      <c r="A9" s="2043" t="s">
        <v>1785</v>
      </c>
      <c r="B9" s="2060" t="s">
        <v>3050</v>
      </c>
      <c r="C9" s="2061"/>
      <c r="D9" s="3026"/>
      <c r="E9" s="2060"/>
      <c r="F9" s="2062"/>
      <c r="G9" s="2063"/>
      <c r="H9" s="2063"/>
      <c r="I9" s="2063"/>
      <c r="J9" s="2045"/>
      <c r="K9" s="2055"/>
      <c r="L9" s="2031"/>
      <c r="M9" s="2031"/>
      <c r="N9" s="2032"/>
      <c r="O9" s="2033"/>
      <c r="P9" s="2032"/>
      <c r="Q9" s="2032"/>
      <c r="R9" s="2032"/>
    </row>
    <row r="10" spans="1:19" ht="18" customHeight="1" thickTop="1">
      <c r="A10" s="2064" t="s">
        <v>1786</v>
      </c>
      <c r="B10" s="2065" t="s">
        <v>3051</v>
      </c>
      <c r="C10" s="2066"/>
      <c r="D10" s="2049"/>
      <c r="E10" s="2067" t="s">
        <v>1787</v>
      </c>
      <c r="F10" s="2068" t="s">
        <v>3125</v>
      </c>
      <c r="G10" s="2069"/>
      <c r="H10" s="2070"/>
      <c r="I10" s="2049"/>
      <c r="J10" s="2045"/>
      <c r="K10" s="2055"/>
      <c r="L10" s="2031"/>
      <c r="M10" s="2031"/>
      <c r="N10" s="2032"/>
      <c r="O10" s="2033"/>
      <c r="P10" s="2032"/>
      <c r="Q10" s="2032"/>
      <c r="R10" s="2032"/>
    </row>
    <row r="11" spans="1:19" ht="18" customHeight="1">
      <c r="A11" s="2071" t="s">
        <v>1788</v>
      </c>
      <c r="B11" s="2072" t="s">
        <v>3052</v>
      </c>
      <c r="C11" s="2073" t="str">
        <f>B5</f>
        <v>康得投资集团有限公司</v>
      </c>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3053</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54309</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40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29.98</v>
      </c>
      <c r="J15" s="2045"/>
      <c r="K15" s="2084"/>
      <c r="L15" s="2085"/>
      <c r="M15" s="2085"/>
      <c r="N15" s="2086"/>
      <c r="O15" s="2085"/>
      <c r="P15" s="2086"/>
      <c r="Q15" s="2032"/>
      <c r="R15" s="2032"/>
    </row>
    <row r="16" spans="1:19" ht="30.75" customHeight="1">
      <c r="A16" s="2067" t="s">
        <v>1800</v>
      </c>
      <c r="B16" s="3032" t="s">
        <v>3078</v>
      </c>
      <c r="C16" s="3033"/>
      <c r="D16" s="3034"/>
      <c r="E16" s="2087" t="s">
        <v>1801</v>
      </c>
      <c r="F16" s="3035" t="s">
        <v>3079</v>
      </c>
      <c r="G16" s="3036"/>
      <c r="H16" s="3036"/>
      <c r="I16" s="3037"/>
      <c r="J16" s="2032"/>
      <c r="K16" s="2084"/>
      <c r="L16" s="2085"/>
      <c r="M16" s="2085"/>
      <c r="N16" s="2086"/>
      <c r="O16" s="2085"/>
      <c r="P16" s="2086"/>
      <c r="Q16" s="2032"/>
      <c r="R16" s="2032"/>
    </row>
    <row r="17" spans="1:22" ht="18" customHeight="1">
      <c r="A17" s="2088" t="s">
        <v>1802</v>
      </c>
      <c r="B17" s="2038" t="s">
        <v>1803</v>
      </c>
      <c r="C17" s="1057">
        <f>'数据-汇总表'!E3</f>
        <v>18037.400000000001</v>
      </c>
      <c r="D17" s="2089" t="s">
        <v>1804</v>
      </c>
      <c r="E17" s="3038" t="s">
        <v>3130</v>
      </c>
      <c r="F17" s="3039"/>
      <c r="G17" s="3039"/>
      <c r="H17" s="3039"/>
      <c r="I17" s="3040"/>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9282.25</v>
      </c>
      <c r="D18" s="2092" t="s">
        <v>1804</v>
      </c>
      <c r="E18" s="3041" t="s">
        <v>3054</v>
      </c>
      <c r="F18" s="3042"/>
      <c r="G18" s="3042"/>
      <c r="H18" s="3042"/>
      <c r="I18" s="3043"/>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3055</v>
      </c>
      <c r="D19" s="2094" t="s">
        <v>1808</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28" t="s">
        <v>1810</v>
      </c>
      <c r="C20" s="3029"/>
      <c r="D20" s="3030" t="s">
        <v>1811</v>
      </c>
      <c r="E20" s="3031"/>
      <c r="F20" s="2099" t="s">
        <v>1812</v>
      </c>
      <c r="G20" s="2045"/>
      <c r="H20" s="2045"/>
      <c r="I20" s="2045"/>
      <c r="J20" s="2045"/>
      <c r="K20" s="302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1815</v>
      </c>
      <c r="D21" s="2102" t="s">
        <v>1816</v>
      </c>
      <c r="E21" s="2103" t="s">
        <v>1815</v>
      </c>
      <c r="F21" s="2104"/>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1817</v>
      </c>
      <c r="C22" s="2101" t="s">
        <v>1818</v>
      </c>
      <c r="D22" s="2029"/>
      <c r="E22" s="2029"/>
      <c r="F22" s="2106"/>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45" t="s">
        <v>1825</v>
      </c>
      <c r="B27" s="2064" t="s">
        <v>1826</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45"/>
      <c r="B28" s="2038" t="s">
        <v>1827</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45"/>
      <c r="B29" s="2038" t="s">
        <v>1828</v>
      </c>
      <c r="C29" s="2126" t="s">
        <v>3055</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46"/>
      <c r="B30" s="2038" t="s">
        <v>1829</v>
      </c>
      <c r="C30" s="3047"/>
      <c r="D30" s="304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49" t="s">
        <v>1830</v>
      </c>
      <c r="B31" s="2128" t="s">
        <v>3058</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50"/>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50"/>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5" t="s">
        <v>3059</v>
      </c>
      <c r="C34" s="2135" t="s">
        <v>3060</v>
      </c>
      <c r="D34" s="2135" t="s">
        <v>3061</v>
      </c>
      <c r="E34" s="2135" t="s">
        <v>3062</v>
      </c>
      <c r="F34" s="2135" t="s">
        <v>3063</v>
      </c>
      <c r="G34" s="2135" t="s">
        <v>3077</v>
      </c>
      <c r="H34" s="2135"/>
      <c r="I34" s="2045"/>
      <c r="J34" s="2045"/>
      <c r="K34" s="1798">
        <f>COUNTIF(B34:H34,"——")</f>
        <v>0</v>
      </c>
      <c r="L34" s="2076" t="s">
        <v>1832</v>
      </c>
      <c r="M34" s="2076" t="s">
        <v>1833</v>
      </c>
      <c r="N34" s="2076" t="s">
        <v>1834</v>
      </c>
      <c r="O34" s="2076" t="s">
        <v>1835</v>
      </c>
      <c r="P34" s="2076" t="s">
        <v>1836</v>
      </c>
      <c r="Q34" s="2076" t="s">
        <v>1837</v>
      </c>
      <c r="R34" s="2076" t="s">
        <v>1838</v>
      </c>
      <c r="S34" s="3044" t="s">
        <v>1839</v>
      </c>
      <c r="T34" s="2136" t="str">
        <f>NUMBERSTRING(7-K34,1)&amp;"通"</f>
        <v>七通</v>
      </c>
      <c r="U34" s="2032"/>
      <c r="V34" s="2032"/>
    </row>
    <row r="35" spans="1:22" ht="18" customHeight="1">
      <c r="A35" s="2137"/>
      <c r="B35" s="3051" t="s">
        <v>1840</v>
      </c>
      <c r="C35" s="3051"/>
      <c r="D35" s="3051"/>
      <c r="E35" s="305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32"/>
      <c r="V35" s="2032"/>
    </row>
    <row r="36" spans="1:22" ht="18" customHeight="1">
      <c r="A36" s="2139"/>
      <c r="B36" s="2138" t="s">
        <v>1841</v>
      </c>
      <c r="C36" s="2138" t="s">
        <v>1842</v>
      </c>
      <c r="D36" s="2138" t="s">
        <v>1843</v>
      </c>
      <c r="E36" s="2138" t="s">
        <v>1844</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1845</v>
      </c>
      <c r="B37" s="2142"/>
      <c r="C37" s="2142"/>
      <c r="D37" s="2142"/>
      <c r="E37" s="2142" t="s">
        <v>523</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1846</v>
      </c>
      <c r="B38" s="2144"/>
      <c r="C38" s="2144"/>
      <c r="D38" s="2144"/>
      <c r="E38" s="2144" t="s">
        <v>3080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9282.25</v>
      </c>
      <c r="B3" s="14">
        <f>IF(C3="否",G5-AT5,G5)</f>
        <v>18037.400000000001</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6"/>
      <c r="C5" s="1806"/>
      <c r="D5" s="1809"/>
      <c r="E5" s="16" t="s">
        <v>1</v>
      </c>
      <c r="F5" s="16">
        <f>SUM(F13:F587)</f>
        <v>0</v>
      </c>
      <c r="G5" s="16">
        <f>SUM(G13:G587)</f>
        <v>18037.400000000001</v>
      </c>
      <c r="H5" s="16">
        <f t="shared" ref="H5:AT5" si="0">SUM(H13:H656)</f>
        <v>18037.400000000001</v>
      </c>
      <c r="I5" s="16">
        <f t="shared" si="0"/>
        <v>18037.400000000001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18037.400000000001</v>
      </c>
      <c r="BA5" s="18">
        <f t="shared" si="1"/>
        <v>18037.400000000001</v>
      </c>
      <c r="BB5" s="18">
        <f t="shared" si="1"/>
        <v>18037.400000000001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9282.25</v>
      </c>
      <c r="F6" s="16" t="s">
        <v>1</v>
      </c>
      <c r="G6" s="16" t="s">
        <v>2</v>
      </c>
      <c r="H6" s="20">
        <f>SUMIF(I$12:AB$12,"总值",I6:AB6)</f>
        <v>9282.25</v>
      </c>
      <c r="I6" s="16">
        <f t="shared" ref="I6:AB6" si="2">ROUND($A$3*I5/$B$3,2)</f>
        <v>9282.25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9282.25</v>
      </c>
      <c r="AZ6" s="16" t="s">
        <v>3</v>
      </c>
      <c r="BA6" s="16">
        <f>ROUND($AY$6*BA5/$AZ$5,2)</f>
        <v>9282.25</v>
      </c>
      <c r="BB6" s="16">
        <f>ROUND($AY$6*BB5/$AZ$5,2)</f>
        <v>9282.25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1896</v>
      </c>
      <c r="I9" s="2193" t="s">
        <v>3065</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3066</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3064</v>
      </c>
      <c r="E13" s="16">
        <f>IF($C$3="是",ROUND($A$3*G13/$B$3,2),ROUND($A$3*(G13-AT13)/$B$3,2))</f>
        <v>9282.25</v>
      </c>
      <c r="F13" s="32"/>
      <c r="G13" s="33">
        <f>H13+AC13+AT13</f>
        <v>18037.400000000001</v>
      </c>
      <c r="H13" s="20">
        <f>SUMIF(I$12:AB$12,"总值",I13:AB13)</f>
        <v>18037.400000000001</v>
      </c>
      <c r="I13" s="2216">
        <v>18037.400000000001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9282.25</v>
      </c>
      <c r="AZ13" s="16">
        <f>BA13+BL13</f>
        <v>18037.400000000001</v>
      </c>
      <c r="BA13" s="16">
        <f>SUM(BB13:BK13)</f>
        <v>18037.400000000001</v>
      </c>
      <c r="BB13" s="16">
        <f>IF($D13="是",I13-J13,0)</f>
        <v>18037.400000000001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5"/>
      <c r="C1" s="1395"/>
      <c r="D1" s="1395"/>
      <c r="E1" s="1395"/>
      <c r="F1" s="1395"/>
      <c r="G1" s="1395"/>
      <c r="H1" s="1395"/>
      <c r="I1" s="1395"/>
      <c r="J1" s="1395"/>
      <c r="K1" s="1395"/>
      <c r="L1" s="1395"/>
      <c r="M1" s="1395"/>
      <c r="N1" s="1395"/>
      <c r="O1" s="1395"/>
      <c r="P1" s="1395"/>
    </row>
    <row r="2" spans="1:16" ht="15">
      <c r="A2" s="3063" t="s">
        <v>1936</v>
      </c>
      <c r="B2" s="3063"/>
      <c r="C2" s="3063"/>
      <c r="D2" s="970" t="s">
        <v>1912</v>
      </c>
      <c r="E2" s="2229" t="s">
        <v>1913</v>
      </c>
      <c r="F2" s="1395"/>
      <c r="G2" s="2230"/>
      <c r="H2" s="2231"/>
      <c r="I2" s="2232" t="s">
        <v>1937</v>
      </c>
      <c r="J2" s="1395"/>
      <c r="K2" s="1395"/>
      <c r="L2" s="1395"/>
      <c r="M2" s="1395"/>
      <c r="N2" s="1430"/>
      <c r="O2" s="1395"/>
      <c r="P2" s="1395"/>
    </row>
    <row r="3" spans="1:16" ht="15.75" thickBot="1">
      <c r="A3" s="3064" t="s">
        <v>1910</v>
      </c>
      <c r="B3" s="3064"/>
      <c r="C3" s="3064"/>
      <c r="D3" s="46">
        <f>'数据-基础表'!AY6</f>
        <v>9282.25</v>
      </c>
      <c r="E3" s="46">
        <f>'数据-基础表'!AZ5</f>
        <v>18037.400000000001</v>
      </c>
      <c r="F3" s="1395"/>
      <c r="G3" s="1402"/>
      <c r="H3" s="1250" t="s">
        <v>1911</v>
      </c>
      <c r="I3" s="55">
        <f>ROUND('数据-基础表'!B3/'数据-基础表'!A3,2)</f>
        <v>1.94</v>
      </c>
      <c r="J3" s="1395"/>
      <c r="K3" s="1395"/>
      <c r="L3" s="1395"/>
      <c r="M3" s="1395"/>
      <c r="N3" s="1430"/>
      <c r="O3" s="1395"/>
      <c r="P3" s="1395"/>
    </row>
    <row r="4" spans="1:16" ht="15">
      <c r="A4" s="3065"/>
      <c r="B4" s="3066"/>
      <c r="C4" s="3067"/>
      <c r="D4" s="2233" t="s">
        <v>1912</v>
      </c>
      <c r="E4" s="2234" t="s">
        <v>1913</v>
      </c>
      <c r="F4" s="1395"/>
      <c r="G4" s="2235" t="s">
        <v>1938</v>
      </c>
      <c r="H4" s="1250" t="s">
        <v>1918</v>
      </c>
      <c r="I4" s="55">
        <f>ROUND(SUMIF('数据-基础表'!I9:AS9,"地上",'数据-基础表'!I5:AS5)/'数据-基础表'!A3,2)</f>
        <v>1.94</v>
      </c>
      <c r="J4" s="1395"/>
      <c r="K4" s="1395"/>
      <c r="L4" s="1395"/>
      <c r="M4" s="1395"/>
      <c r="N4" s="1430"/>
      <c r="O4" s="1395"/>
      <c r="P4" s="1395"/>
    </row>
    <row r="5" spans="1:16">
      <c r="A5" s="47" t="s">
        <v>1914</v>
      </c>
      <c r="B5" s="3068" t="s">
        <v>1915</v>
      </c>
      <c r="C5" s="3068"/>
      <c r="D5" s="48">
        <f>ROUND($D$3*E5/$E$3,2)</f>
        <v>0</v>
      </c>
      <c r="E5" s="49">
        <f>SUMIF('数据-基础表'!$11:$11,"住宅",'数据-基础表'!$5:$5)</f>
        <v>0</v>
      </c>
      <c r="F5" s="1395"/>
      <c r="G5" s="1402"/>
      <c r="H5" s="1250" t="s">
        <v>1911</v>
      </c>
      <c r="I5" s="55">
        <f>ROUND(E31/D31,2)</f>
        <v>1.94</v>
      </c>
      <c r="J5" s="1395"/>
      <c r="K5" s="1395"/>
      <c r="L5" s="1395"/>
      <c r="M5" s="1395"/>
      <c r="N5" s="1395"/>
      <c r="O5" s="1395"/>
      <c r="P5" s="1395"/>
    </row>
    <row r="6" spans="1:16" ht="15" thickBot="1">
      <c r="A6" s="2236"/>
      <c r="B6" s="3068" t="s">
        <v>1916</v>
      </c>
      <c r="C6" s="3068"/>
      <c r="D6" s="48">
        <f>ROUND($D$3*E6/$E$3,2)</f>
        <v>9282.25</v>
      </c>
      <c r="E6" s="49">
        <f>E3-E5</f>
        <v>18037.400000000001</v>
      </c>
      <c r="F6" s="1395"/>
      <c r="G6" s="2237" t="s">
        <v>1917</v>
      </c>
      <c r="H6" s="1402" t="s">
        <v>1918</v>
      </c>
      <c r="I6" s="942">
        <f>ROUND(F31/D31,2)</f>
        <v>1.94</v>
      </c>
      <c r="J6" s="1395"/>
      <c r="K6" s="1395"/>
      <c r="L6" s="1395"/>
      <c r="M6" s="1395"/>
      <c r="N6" s="1395"/>
      <c r="O6" s="1395"/>
      <c r="P6" s="1395"/>
    </row>
    <row r="7" spans="1:16" ht="15">
      <c r="A7" s="3060"/>
      <c r="B7" s="3061"/>
      <c r="C7" s="3062"/>
      <c r="D7" s="2233" t="s">
        <v>1912</v>
      </c>
      <c r="E7" s="2238" t="s">
        <v>1919</v>
      </c>
      <c r="F7" s="1395"/>
      <c r="G7" s="2230" t="s">
        <v>1920</v>
      </c>
      <c r="H7" s="64"/>
      <c r="I7" s="420"/>
      <c r="J7" s="1395"/>
      <c r="K7" s="1395"/>
      <c r="L7" s="1395"/>
      <c r="M7" s="1395"/>
      <c r="N7" s="1395"/>
      <c r="O7" s="1395"/>
      <c r="P7" s="1395"/>
    </row>
    <row r="8" spans="1:16">
      <c r="A8" s="47" t="s">
        <v>1921</v>
      </c>
      <c r="B8" s="50" t="s">
        <v>1922</v>
      </c>
      <c r="C8" s="48" t="s">
        <v>1923</v>
      </c>
      <c r="D8" s="48">
        <f t="shared" ref="D8:D15" si="0">ROUND($D$3*E8/$E$3,2)</f>
        <v>9282.25</v>
      </c>
      <c r="E8" s="51">
        <f>SUMIF('数据-基础表'!BB10:BK10,"地上",'数据-基础表'!BB5:BK5)</f>
        <v>18037.400000000001</v>
      </c>
      <c r="F8" s="1395"/>
      <c r="G8" s="2239"/>
      <c r="H8" s="2239"/>
      <c r="I8" s="1395"/>
      <c r="J8" s="1395"/>
      <c r="K8" s="1395"/>
      <c r="L8" s="1395"/>
      <c r="M8" s="1395"/>
      <c r="N8" s="1395"/>
      <c r="O8" s="1395"/>
      <c r="P8" s="1395"/>
    </row>
    <row r="9" spans="1:16">
      <c r="A9" s="2240"/>
      <c r="B9" s="2241"/>
      <c r="C9" s="48" t="s">
        <v>1924</v>
      </c>
      <c r="D9" s="48">
        <f t="shared" si="0"/>
        <v>0</v>
      </c>
      <c r="E9" s="52">
        <v>0</v>
      </c>
      <c r="F9" s="1395"/>
      <c r="G9" s="2239"/>
      <c r="H9" s="2239"/>
      <c r="I9" s="1395"/>
      <c r="J9" s="1395"/>
      <c r="K9" s="1395"/>
      <c r="L9" s="1395"/>
      <c r="M9" s="1395"/>
      <c r="N9" s="1395"/>
      <c r="O9" s="1395"/>
      <c r="P9" s="1395"/>
    </row>
    <row r="10" spans="1:16">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1928</v>
      </c>
      <c r="D16" s="50">
        <f>SUM(D8:D15)</f>
        <v>9282.25</v>
      </c>
      <c r="E16" s="53">
        <f>SUM(E8:E15)</f>
        <v>18037.400000000001</v>
      </c>
      <c r="F16" s="1395"/>
      <c r="G16" s="2239"/>
      <c r="H16" s="2242" t="s">
        <v>1940</v>
      </c>
      <c r="I16" s="2243"/>
      <c r="J16" s="1395"/>
      <c r="K16" s="3057" t="s">
        <v>1940</v>
      </c>
      <c r="L16" s="3058"/>
      <c r="M16" s="3058"/>
      <c r="N16" s="3058"/>
      <c r="O16" s="3058"/>
      <c r="P16" s="3059"/>
    </row>
    <row r="17" spans="1:19" ht="15">
      <c r="A17" s="2244" t="s">
        <v>1941</v>
      </c>
      <c r="B17" s="2245" t="s">
        <v>1942</v>
      </c>
      <c r="C17" s="2246" t="s">
        <v>1943</v>
      </c>
      <c r="D17" s="2247" t="s">
        <v>1931</v>
      </c>
      <c r="E17" s="2248" t="s">
        <v>1932</v>
      </c>
      <c r="F17" s="2249"/>
      <c r="G17" s="2250"/>
      <c r="H17" s="2251" t="s">
        <v>1944</v>
      </c>
      <c r="I17" s="2252" t="s">
        <v>1929</v>
      </c>
      <c r="J17" s="1395"/>
      <c r="K17" s="3054" t="s">
        <v>1945</v>
      </c>
      <c r="L17" s="3055"/>
      <c r="M17" s="3056"/>
      <c r="N17" s="3054" t="s">
        <v>1946</v>
      </c>
      <c r="O17" s="3055"/>
      <c r="P17" s="3056"/>
      <c r="R17" s="2230" t="s">
        <v>1947</v>
      </c>
      <c r="S17" s="64"/>
    </row>
    <row r="18" spans="1:19" ht="15">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c r="A19" s="2261"/>
      <c r="B19" s="50" t="s">
        <v>1930</v>
      </c>
      <c r="C19" s="2955" t="s">
        <v>3068</v>
      </c>
      <c r="D19" s="48">
        <f>ROUND($D$3*E19/$E$3,2)</f>
        <v>6633.55</v>
      </c>
      <c r="E19" s="56">
        <f t="shared" ref="E19:E26" si="1">SUM(F19:G19)</f>
        <v>12890.400000000001</v>
      </c>
      <c r="F19" s="2956">
        <f>E6-F20</f>
        <v>12890.400000000001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6633.55</v>
      </c>
      <c r="S19" s="1251">
        <f t="shared" si="5"/>
        <v>12890.400000000001</v>
      </c>
    </row>
    <row r="20" spans="1:19">
      <c r="A20" s="2265"/>
      <c r="B20" s="50" t="s">
        <v>1958</v>
      </c>
      <c r="C20" s="2955" t="s">
        <v>3069</v>
      </c>
      <c r="D20" s="48">
        <f t="shared" ref="D20:D26" si="6">ROUND($D$3*E20/$E$3,2)</f>
        <v>2648.7</v>
      </c>
      <c r="E20" s="56">
        <f t="shared" si="1"/>
        <v>5147</v>
      </c>
      <c r="F20" s="57">
        <f>4600+547</f>
        <v>5147</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2648.7</v>
      </c>
      <c r="S20" s="1251">
        <f t="shared" si="5"/>
        <v>5147</v>
      </c>
    </row>
    <row r="21" spans="1:19">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1959</v>
      </c>
      <c r="D27" s="1396">
        <f>SUM(D19:D26)</f>
        <v>9282.25</v>
      </c>
      <c r="E27" s="1397">
        <f>IF(SUM(E19:E26)='数据-基础表'!BA5,SUM(E19:E26),IF(F27="地上面积有误","面积有误","地下面积有误"))</f>
        <v>18037.400000000001</v>
      </c>
      <c r="F27" s="1396">
        <f>IF(SUM(F19:F26)=E8,SUM(F19:F26),"地上面积有误")</f>
        <v>18037.400000000001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9282.25</v>
      </c>
      <c r="S27" s="1250">
        <f>IF(SUM(S19:S26)=$E$3,SUM(S19:S26),SUM(S19:S26)&amp;"误差"&amp;ROUND(SUM(S19:S26)-E3,2))</f>
        <v>18037.400000000001</v>
      </c>
    </row>
    <row r="28" spans="1:19">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1963</v>
      </c>
      <c r="D31" s="729">
        <f>D27+D30</f>
        <v>9282.25</v>
      </c>
      <c r="E31" s="729">
        <f>E27+E30</f>
        <v>18037.400000000001</v>
      </c>
      <c r="F31" s="730">
        <f>F27+F30</f>
        <v>18037.400000000001</v>
      </c>
      <c r="G31" s="731">
        <f>G27+G30</f>
        <v>0</v>
      </c>
      <c r="H31" s="1395"/>
      <c r="I31" s="1395"/>
      <c r="J31" s="1395"/>
      <c r="K31" s="1395"/>
      <c r="L31" s="1395"/>
      <c r="M31" s="1395"/>
      <c r="N31" s="1395"/>
      <c r="O31" s="1395"/>
      <c r="P31" s="1395"/>
    </row>
    <row r="32" spans="1:19">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1966</v>
      </c>
      <c r="B2" s="1269">
        <f>项目基本情况!D3</f>
        <v>43363</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3070</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自用</v>
      </c>
      <c r="B6" s="2309" t="str">
        <f>IF(A6=0,"","经营性")</f>
        <v>经营性</v>
      </c>
      <c r="C6" s="2310" t="s">
        <v>6</v>
      </c>
      <c r="D6" s="1054">
        <f>SUMIF(项目基本情况!D$12:I$12,C6,项目基本情况!D$14:I$14)</f>
        <v>40</v>
      </c>
      <c r="E6" s="1051">
        <f>IF(B6="","",SUMIF(项目基本情况!D$12:I$12,C6,项目基本情况!D$13:I$13))</f>
        <v>54309</v>
      </c>
      <c r="F6" s="72">
        <f>SUMIF(项目基本情况!D$12:I$12,C6,项目基本情况!D$15:I$15)</f>
        <v>29.98</v>
      </c>
      <c r="G6" s="73">
        <f>IF(ISERROR(ROUND(POWER(1+H6,D6-F6)*(POWER(1+H6,F6)-1)/(POWER(1+H6,D6)-1),3)),0,ROUND(POWER(1+H6,D6-F6)*(POWER(1+H6,F6)-1)/(POWER(1+H6,D6)-1),3))</f>
        <v>0.89600000000000002</v>
      </c>
      <c r="H6" s="802">
        <v>0.05</v>
      </c>
      <c r="I6" s="802">
        <v>5.5E-2</v>
      </c>
      <c r="J6" s="74">
        <v>0.08</v>
      </c>
      <c r="K6" s="1254">
        <f>SUMIF('数据-汇总表'!C$19:C$33,A6,'数据-汇总表'!E$19:E$33)</f>
        <v>12890.400000000001</v>
      </c>
      <c r="L6" s="803">
        <v>3500</v>
      </c>
      <c r="M6" s="75">
        <f t="shared" ref="M6:M14" si="0">ROUND(K6*L6/10000,0)</f>
        <v>4512</v>
      </c>
      <c r="N6" s="801">
        <f>Sheet1!B39</f>
        <v>0.76</v>
      </c>
      <c r="O6" s="75" t="str">
        <f>IF($N$5="成新度","——",ROUND(M6*N6,0))</f>
        <v>——</v>
      </c>
      <c r="P6" s="76" t="str">
        <f>IF($N$5="成新度","——",M6-O6)</f>
        <v>——</v>
      </c>
      <c r="Q6" s="804">
        <v>0.15</v>
      </c>
      <c r="R6" s="77">
        <f ca="1">SUMIF('数据-汇总表'!C$19:C$33,A6,'数据-汇总表'!R$19:R$27)</f>
        <v>6633.55</v>
      </c>
      <c r="S6" s="54">
        <f>IF('数据-汇总表'!$I$17="按面积比例",SUMIF('数据-汇总表'!C$19:C$33,A6,'数据-汇总表'!K$19:K$33),SUMIF('数据-汇总表'!C$19:C$33,A6,'数据-汇总表'!N$19:N$33))</f>
        <v>0</v>
      </c>
      <c r="T6" s="1446">
        <f>ROUND($L$14*S6/10000,0)</f>
        <v>0</v>
      </c>
      <c r="U6" s="78">
        <v>5</v>
      </c>
      <c r="V6" s="79">
        <v>2.5000000000000001E-2</v>
      </c>
      <c r="W6" s="79">
        <v>0.1</v>
      </c>
      <c r="X6" s="1264"/>
      <c r="Y6" s="80">
        <f>N6</f>
        <v>0.76</v>
      </c>
      <c r="Z6" s="81"/>
      <c r="AA6" s="74"/>
      <c r="AB6" s="74"/>
      <c r="AC6" s="1264"/>
      <c r="AD6" s="82"/>
      <c r="AE6" s="1265">
        <f ca="1">IF(AN6="",0,SUMIF(INDIRECT("'"&amp;AN6&amp;"'"&amp;"!E:E"),$AE$5,INDIRECT("'"&amp;AN6&amp;"'"&amp;"!F:F")))</f>
        <v>29.98</v>
      </c>
      <c r="AF6" s="1807"/>
      <c r="AG6" s="147">
        <f>IF(AF6="",0,AE6-AF6)</f>
        <v>0</v>
      </c>
      <c r="AH6" s="83"/>
      <c r="AI6" s="85">
        <v>365</v>
      </c>
      <c r="AJ6" s="86"/>
      <c r="AK6" s="87">
        <v>1.4999999999999999E-2</v>
      </c>
      <c r="AL6" s="88">
        <v>1.5E-3</v>
      </c>
      <c r="AM6" s="89">
        <v>0.01</v>
      </c>
      <c r="AN6" s="2311" t="s">
        <v>3115</v>
      </c>
      <c r="AO6" s="55">
        <f ca="1">SUMIF(INDIRECT("'"&amp;AN6&amp;"'"&amp;"!A:A"),"总价",INDIRECT("'"&amp;AN6&amp;"'"&amp;"!B:B"))</f>
        <v>31318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出租</v>
      </c>
      <c r="B7" s="2309" t="str">
        <f t="shared" ref="B7:B13" si="1">IF(A7=0,"","经营性")</f>
        <v>经营性</v>
      </c>
      <c r="C7" s="2310" t="s">
        <v>6</v>
      </c>
      <c r="D7" s="1054">
        <f>SUMIF(项目基本情况!D$12:I$12,C7,项目基本情况!D$14:I$14)</f>
        <v>40</v>
      </c>
      <c r="E7" s="1051">
        <f>IF(B7="","",SUMIF(项目基本情况!D$12:I$12,C7,项目基本情况!D$13:I$13))</f>
        <v>54309</v>
      </c>
      <c r="F7" s="72">
        <f>SUMIF(项目基本情况!D$12:I$12,C7,项目基本情况!D$15:I$15)</f>
        <v>29.98</v>
      </c>
      <c r="G7" s="73">
        <f t="shared" ref="G7:G11" si="2">IF(ISERROR(ROUND(POWER(1+H7,D7-F7)*(POWER(1+H7,F7)-1)/(POWER(1+H7,D7)-1),3)),0,ROUND(POWER(1+H7,D7-F7)*(POWER(1+H7,F7)-1)/(POWER(1+H7,D7)-1),3))</f>
        <v>0.89600000000000002</v>
      </c>
      <c r="H7" s="802">
        <v>0.05</v>
      </c>
      <c r="I7" s="802">
        <v>5.5E-2</v>
      </c>
      <c r="J7" s="74">
        <v>0.08</v>
      </c>
      <c r="K7" s="1254">
        <f>SUMIF('数据-汇总表'!C$19:C$33,A7,'数据-汇总表'!E$19:E$33)</f>
        <v>5147</v>
      </c>
      <c r="L7" s="803">
        <v>3500</v>
      </c>
      <c r="M7" s="75">
        <f t="shared" si="0"/>
        <v>1801</v>
      </c>
      <c r="N7" s="801">
        <f>Sheet1!B39</f>
        <v>0.76</v>
      </c>
      <c r="O7" s="75" t="str">
        <f t="shared" ref="O7:O14" si="3">IF($N$5="成新度","——",ROUND(M7*N7,0))</f>
        <v>——</v>
      </c>
      <c r="P7" s="76" t="str">
        <f t="shared" ref="P7:P14" si="4">IF($N$5="成新度","——",M7-O7)</f>
        <v>——</v>
      </c>
      <c r="Q7" s="804">
        <v>0.15</v>
      </c>
      <c r="R7" s="77">
        <f ca="1">SUMIF('数据-汇总表'!C$19:C$33,A7,'数据-汇总表'!R$19:R$27)</f>
        <v>2648.7</v>
      </c>
      <c r="S7" s="54">
        <f>IF('数据-汇总表'!$I$17="按面积比例",SUMIF('数据-汇总表'!C$19:C$33,A7,'数据-汇总表'!K$19:K$33),SUMIF('数据-汇总表'!C$19:C$33,A7,'数据-汇总表'!N$19:N$33))</f>
        <v>0</v>
      </c>
      <c r="T7" s="1446">
        <f t="shared" ref="T7:T13" si="5">ROUND($L$14*S7/10000,0)</f>
        <v>0</v>
      </c>
      <c r="U7" s="78">
        <f>Sheet1!A54</f>
        <v>3.6</v>
      </c>
      <c r="V7" s="79">
        <v>0</v>
      </c>
      <c r="W7" s="79">
        <v>0</v>
      </c>
      <c r="X7" s="1264"/>
      <c r="Y7" s="80">
        <f>N7</f>
        <v>0.76</v>
      </c>
      <c r="Z7" s="81">
        <f>ROUND(U6*(1+AA7)^AF7,1)</f>
        <v>6.6</v>
      </c>
      <c r="AA7" s="74">
        <v>2.5000000000000001E-2</v>
      </c>
      <c r="AB7" s="74">
        <v>0.1</v>
      </c>
      <c r="AC7" s="1264"/>
      <c r="AD7" s="82">
        <f>Sheet1!E39</f>
        <v>0.64</v>
      </c>
      <c r="AE7" s="1265">
        <f t="shared" ref="AE7:AE13" ca="1" si="6">IF(AN7="",0,SUMIF(INDIRECT("'"&amp;AN7&amp;"'"&amp;"!E:E"),$AE$5,INDIRECT("'"&amp;AN7&amp;"'"&amp;"!F:F")))</f>
        <v>29.98</v>
      </c>
      <c r="AF7" s="1807">
        <v>11.32</v>
      </c>
      <c r="AG7" s="147">
        <f t="shared" ref="AG7:AG13" ca="1" si="7">IF(AF7="",0,AE7-AF7)</f>
        <v>18.66</v>
      </c>
      <c r="AH7" s="83"/>
      <c r="AI7" s="85">
        <v>365</v>
      </c>
      <c r="AJ7" s="86"/>
      <c r="AK7" s="87">
        <v>1.4999999999999999E-2</v>
      </c>
      <c r="AL7" s="88">
        <v>1.5E-3</v>
      </c>
      <c r="AM7" s="89">
        <v>0.01</v>
      </c>
      <c r="AN7" s="2311" t="s">
        <v>3117</v>
      </c>
      <c r="AO7" s="55">
        <f t="shared" ref="AO7:AO13" ca="1" si="8">SUMIF(INDIRECT("'"&amp;AN7&amp;"'"&amp;"!A:A"),"总价",INDIRECT("'"&amp;AN7&amp;"'"&amp;"!B:B"))</f>
        <v>10783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2014</v>
      </c>
      <c r="B16" s="97"/>
      <c r="C16" s="1008"/>
      <c r="D16" s="2316"/>
      <c r="E16" s="97"/>
      <c r="F16" s="97"/>
      <c r="G16" s="98">
        <f>ROUND(SUMPRODUCT(G6:G13,K6:K13)/SUMPRODUCT((G6:G13&gt;0)*(K6:K13)),3)</f>
        <v>0.89600000000000002</v>
      </c>
      <c r="H16" s="99">
        <f>ROUND(SUMPRODUCT(H6:H13,K6:K13)/SUMPRODUCT((H6:H13&gt;0)*(K6:K13)),3)</f>
        <v>0.05</v>
      </c>
      <c r="I16" s="100"/>
      <c r="J16" s="100"/>
      <c r="K16" s="101">
        <f>SUM(K6:K15)</f>
        <v>18037.400000000001</v>
      </c>
      <c r="L16" s="102">
        <f>ROUND(M16*10000/SUM(K6:K14),0)</f>
        <v>3500</v>
      </c>
      <c r="M16" s="102">
        <f>SUM(M6:M14)</f>
        <v>6313</v>
      </c>
      <c r="N16" s="103">
        <f>ROUND(SUMPRODUCT(M6:M14,N6:N14)/M16,3)</f>
        <v>0.76</v>
      </c>
      <c r="O16" s="102">
        <f>SUM(O6:O14)</f>
        <v>0</v>
      </c>
      <c r="P16" s="102">
        <f>SUM(P6:P14)</f>
        <v>0</v>
      </c>
      <c r="Q16" s="104">
        <f>ROUND(SUMPRODUCT(Q6:Q13,K6:K13)/SUMPRODUCT((Q6:Q13&gt;0)*(K6:K13)),2)</f>
        <v>0.15</v>
      </c>
      <c r="R16" s="1258">
        <f ca="1">SUM(R6:R13)</f>
        <v>9282.25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2016</v>
      </c>
      <c r="B19" s="112">
        <v>0</v>
      </c>
      <c r="C19" s="2279" t="s">
        <v>2017</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2018</v>
      </c>
      <c r="B20" s="113">
        <v>2</v>
      </c>
      <c r="C20" s="2279" t="s">
        <v>2019</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2020</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2021</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2022</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2027</v>
      </c>
      <c r="B27" s="116">
        <v>160</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f>ROUND(B28*K16/10000,0)</f>
        <v>361</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2046</v>
      </c>
      <c r="B38" s="122">
        <v>0.02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2050</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2052</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2053</v>
      </c>
      <c r="B44" s="128">
        <v>7.0000000000000007E-2</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2067</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2068</v>
      </c>
      <c r="B53" s="2338" t="s">
        <v>523</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2071</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2072</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2073</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2074</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2075</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69" t="s">
        <v>2081</v>
      </c>
      <c r="B1" s="3070"/>
      <c r="C1" s="3070"/>
      <c r="D1" s="3070"/>
      <c r="E1" s="3070"/>
      <c r="F1" s="3070"/>
      <c r="G1" s="307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1" t="s">
        <v>2085</v>
      </c>
      <c r="C3" s="2372" t="s">
        <v>2086</v>
      </c>
      <c r="D3" s="2373"/>
      <c r="E3" s="431" t="s">
        <v>2084</v>
      </c>
      <c r="F3" s="2374" t="s">
        <v>2087</v>
      </c>
      <c r="G3" s="2958" t="s">
        <v>3088</v>
      </c>
      <c r="H3" s="2370"/>
      <c r="I3" s="2370"/>
      <c r="J3" s="2370"/>
      <c r="K3" s="2370"/>
      <c r="L3" s="2370"/>
      <c r="M3" s="2370"/>
      <c r="N3" s="2370"/>
      <c r="O3" s="2370"/>
      <c r="P3" s="2370"/>
      <c r="Q3" s="2370"/>
      <c r="R3" s="2370"/>
    </row>
    <row r="4" spans="1:29" ht="54">
      <c r="A4" s="431"/>
      <c r="B4" s="1798" t="s">
        <v>2088</v>
      </c>
      <c r="C4" s="2375" t="s">
        <v>2089</v>
      </c>
      <c r="D4" s="2373"/>
      <c r="E4" s="2376"/>
      <c r="F4" s="42" t="s">
        <v>2090</v>
      </c>
      <c r="G4" s="2959" t="s">
        <v>3089</v>
      </c>
      <c r="H4" s="2370"/>
      <c r="I4" s="2370"/>
      <c r="J4" s="2370"/>
      <c r="K4" s="2370"/>
      <c r="L4" s="2370"/>
      <c r="M4" s="2370"/>
      <c r="N4" s="2370"/>
      <c r="O4" s="2370"/>
      <c r="P4" s="2370"/>
      <c r="Q4" s="2370"/>
      <c r="R4" s="2370"/>
    </row>
    <row r="5" spans="1:29" ht="41.25">
      <c r="A5" s="431"/>
      <c r="B5" s="1798" t="s">
        <v>2092</v>
      </c>
      <c r="C5" s="2375" t="s">
        <v>2093</v>
      </c>
      <c r="D5" s="2373"/>
      <c r="E5" s="2376"/>
      <c r="F5" s="1798" t="s">
        <v>2094</v>
      </c>
      <c r="G5" s="2959" t="s">
        <v>3094</v>
      </c>
      <c r="H5" s="2370"/>
      <c r="I5" s="2370"/>
      <c r="J5" s="2370"/>
      <c r="K5" s="2370"/>
      <c r="L5" s="2370"/>
      <c r="M5" s="2370"/>
      <c r="N5" s="2370"/>
      <c r="O5" s="2370"/>
      <c r="P5" s="2370"/>
      <c r="Q5" s="2370"/>
      <c r="R5" s="2370"/>
    </row>
    <row r="6" spans="1:29" ht="54">
      <c r="A6" s="431"/>
      <c r="B6" s="1798" t="s">
        <v>2096</v>
      </c>
      <c r="C6" s="2377" t="s">
        <v>2091</v>
      </c>
      <c r="D6" s="2373"/>
      <c r="E6" s="2376"/>
      <c r="F6" s="1798" t="s">
        <v>2097</v>
      </c>
      <c r="G6" s="2959" t="s">
        <v>3090</v>
      </c>
      <c r="H6" s="2370"/>
      <c r="I6" s="2370"/>
      <c r="J6" s="2370"/>
      <c r="K6" s="2370"/>
      <c r="L6" s="2370"/>
      <c r="M6" s="2370"/>
      <c r="N6" s="2370"/>
      <c r="O6" s="2370"/>
      <c r="P6" s="2370"/>
      <c r="Q6" s="2370"/>
      <c r="R6" s="2370"/>
    </row>
    <row r="7" spans="1:29" ht="41.25" thickBot="1">
      <c r="A7" s="431"/>
      <c r="B7" s="1798" t="s">
        <v>2094</v>
      </c>
      <c r="C7" s="2377" t="s">
        <v>2095</v>
      </c>
      <c r="D7" s="2378"/>
      <c r="E7" s="2379"/>
      <c r="F7" s="2380" t="s">
        <v>2099</v>
      </c>
      <c r="G7" s="2960" t="s">
        <v>3087</v>
      </c>
      <c r="H7" s="2370"/>
      <c r="I7" s="2370"/>
      <c r="J7" s="2370"/>
      <c r="K7" s="2370"/>
      <c r="L7" s="2370"/>
      <c r="M7" s="2370"/>
      <c r="N7" s="2370"/>
      <c r="O7" s="2370"/>
      <c r="P7" s="2370"/>
      <c r="Q7" s="2370"/>
      <c r="R7" s="2370"/>
    </row>
    <row r="8" spans="1:29" ht="27">
      <c r="A8" s="431"/>
      <c r="B8" s="1798" t="s">
        <v>2097</v>
      </c>
      <c r="C8" s="2377" t="s">
        <v>2098</v>
      </c>
      <c r="D8" s="2378"/>
      <c r="E8" s="2378"/>
      <c r="F8" s="1136"/>
      <c r="G8" s="1136"/>
      <c r="H8" s="2370"/>
      <c r="I8" s="2370"/>
      <c r="J8" s="2370"/>
      <c r="K8" s="2370"/>
      <c r="L8" s="2370"/>
      <c r="M8" s="2370"/>
      <c r="N8" s="2370"/>
      <c r="O8" s="2370"/>
      <c r="P8" s="2370"/>
      <c r="Q8" s="2370"/>
      <c r="R8" s="2370"/>
    </row>
    <row r="9" spans="1:29" ht="27">
      <c r="A9" s="431"/>
      <c r="B9" s="1798" t="s">
        <v>2100</v>
      </c>
      <c r="C9" s="2375" t="s">
        <v>2101</v>
      </c>
      <c r="D9" s="2373"/>
      <c r="E9" s="2378"/>
      <c r="F9" s="1136"/>
      <c r="G9" s="1136"/>
      <c r="H9" s="2370"/>
      <c r="I9" s="2370"/>
      <c r="J9" s="2370"/>
      <c r="K9" s="2370"/>
      <c r="L9" s="2370"/>
      <c r="M9" s="2370"/>
      <c r="N9" s="2370"/>
      <c r="O9" s="2370"/>
      <c r="P9" s="2370"/>
      <c r="Q9" s="2370"/>
      <c r="R9" s="2370"/>
    </row>
    <row r="10" spans="1:29" s="117" customFormat="1" ht="15.75" thickBot="1">
      <c r="A10" s="2381"/>
      <c r="B10" s="2382" t="s">
        <v>2102</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2103</v>
      </c>
      <c r="B13" s="2388"/>
      <c r="C13" s="2388"/>
      <c r="D13" s="2395"/>
      <c r="E13" s="2388"/>
      <c r="F13" s="2388"/>
      <c r="G13" s="2388"/>
    </row>
    <row r="14" spans="1:29" ht="15.75" thickBot="1">
      <c r="A14" s="2399"/>
      <c r="B14" s="2400"/>
      <c r="C14" s="2401" t="s">
        <v>2104</v>
      </c>
      <c r="D14" s="2373"/>
      <c r="E14" s="2402"/>
      <c r="F14" s="2402"/>
      <c r="G14" s="2367" t="s">
        <v>2105</v>
      </c>
    </row>
    <row r="15" spans="1:29" ht="57">
      <c r="A15" s="68" t="s">
        <v>2106</v>
      </c>
      <c r="B15" s="1270" t="s">
        <v>2085</v>
      </c>
      <c r="C15" s="2403" t="str">
        <f>C3</f>
        <v>估价对象周边居住用地比例、居住小区规模和社区发展完善程度，综合评价居住社区成熟度一般</v>
      </c>
      <c r="D15" s="2373"/>
      <c r="E15" s="2404" t="s">
        <v>2107</v>
      </c>
      <c r="F15" s="1270" t="s">
        <v>2108</v>
      </c>
      <c r="G15" s="135" t="str">
        <f>G3</f>
        <v>估价对象位于海淀区上地园区，园区建设成熟度较好，产业集聚程度较好</v>
      </c>
    </row>
    <row r="16" spans="1:29" ht="57">
      <c r="A16" s="645"/>
      <c r="B16" s="2405" t="s">
        <v>2088</v>
      </c>
      <c r="C16" s="2406" t="str">
        <f>C4</f>
        <v>估价对象位于XX商圈，周边商业氛围成熟，人流量大，商业繁华度好</v>
      </c>
      <c r="D16" s="2373"/>
      <c r="E16" s="2407"/>
      <c r="F16" s="2408" t="s">
        <v>2090</v>
      </c>
      <c r="G16" s="136" t="str">
        <f>G4</f>
        <v>估价对象周边道路状况较好、公共交通通达情况较好、停车便捷程度较好，综合评价交通便捷度较好</v>
      </c>
    </row>
    <row r="17" spans="1:18" ht="42.75">
      <c r="A17" s="645"/>
      <c r="B17" s="2405" t="s">
        <v>2092</v>
      </c>
      <c r="C17" s="2406" t="str">
        <f>C5</f>
        <v>估价对象位于XX商圈，周边办公楼项目较多，入驻率高，办公集聚程度较好</v>
      </c>
      <c r="D17" s="2378"/>
      <c r="E17" s="2407"/>
      <c r="F17" s="2408" t="s">
        <v>2109</v>
      </c>
      <c r="G17" s="1572"/>
    </row>
    <row r="18" spans="1:18" ht="57">
      <c r="A18" s="645"/>
      <c r="B18" s="2408" t="s">
        <v>2096</v>
      </c>
      <c r="C18" s="136" t="str">
        <f>C6</f>
        <v>估价对象周边道路状况、公共交通通达情况、停车便捷程度，综合评价交通便捷度较好</v>
      </c>
      <c r="D18" s="2378"/>
      <c r="E18" s="2407"/>
      <c r="F18" s="2408" t="s">
        <v>2099</v>
      </c>
      <c r="G18" s="136" t="str">
        <f>G7</f>
        <v>该园区内无污染型企业，绿化较好，卫生条件良好，整体环境状况较好</v>
      </c>
    </row>
    <row r="19" spans="1:18" ht="28.5">
      <c r="A19" s="645"/>
      <c r="B19" s="2408" t="s">
        <v>2110</v>
      </c>
      <c r="C19" s="1572"/>
      <c r="D19" s="2373"/>
      <c r="E19" s="2407"/>
      <c r="F19" s="1798" t="s">
        <v>2094</v>
      </c>
      <c r="G19" s="136" t="str">
        <f>G5</f>
        <v>估价对象所在区域公共配套设施齐备情况好</v>
      </c>
    </row>
    <row r="20" spans="1:18" ht="28.5">
      <c r="A20" s="645"/>
      <c r="B20" s="2408" t="s">
        <v>2111</v>
      </c>
      <c r="C20" s="2406" t="str">
        <f>C9</f>
        <v>区域自然环境：；人文环境；综合评价环境状况一般</v>
      </c>
      <c r="D20" s="2378"/>
      <c r="E20" s="2407"/>
      <c r="F20" s="1798" t="s">
        <v>2112</v>
      </c>
      <c r="G20" s="136" t="str">
        <f>G6</f>
        <v>估价对象所在区域基础设施水平较好</v>
      </c>
    </row>
    <row r="21" spans="1:18" ht="28.5">
      <c r="A21" s="645"/>
      <c r="B21" s="1798" t="s">
        <v>2094</v>
      </c>
      <c r="C21" s="136" t="str">
        <f>C7</f>
        <v>估价对象所在区域公共配套设施齐备情况</v>
      </c>
      <c r="D21" s="2373"/>
      <c r="E21" s="2407"/>
      <c r="F21" s="2408" t="s">
        <v>2113</v>
      </c>
      <c r="G21" s="2409"/>
    </row>
    <row r="22" spans="1:18" ht="13.5" customHeight="1">
      <c r="A22" s="645"/>
      <c r="B22" s="1798" t="s">
        <v>2097</v>
      </c>
      <c r="C22" s="136" t="str">
        <f>C8</f>
        <v>估价对象所在区域基础设施水平</v>
      </c>
      <c r="D22" s="2373"/>
      <c r="E22" s="2407"/>
      <c r="F22" s="2408" t="s">
        <v>2102</v>
      </c>
      <c r="G22" s="1572"/>
    </row>
    <row r="23" spans="1:18" s="2370"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70"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18037.400000000001</v>
      </c>
      <c r="C1" s="1745"/>
      <c r="D1" s="1745"/>
      <c r="E1" s="1745"/>
      <c r="F1" s="1745"/>
      <c r="G1" s="1743"/>
    </row>
    <row r="2" spans="1:10" ht="16.5">
      <c r="A2" s="1746" t="s">
        <v>1353</v>
      </c>
      <c r="B2" s="1746">
        <f>SUM(C14:C23)</f>
        <v>9282.25</v>
      </c>
      <c r="C2" s="1745"/>
      <c r="D2" s="1745"/>
      <c r="E2" s="1745"/>
      <c r="F2" s="1745"/>
      <c r="G2" s="1743"/>
    </row>
    <row r="3" spans="1:10" ht="16.5">
      <c r="A3" s="1746" t="s">
        <v>1362</v>
      </c>
      <c r="B3" s="1747">
        <f>项目基本情况!D3</f>
        <v>43363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60028</v>
      </c>
      <c r="C5" s="1746">
        <f ca="1">ROUND(B5*10000/$B$1,0)</f>
        <v>33280</v>
      </c>
      <c r="D5" s="1746">
        <f ca="1">ROUND(B5*10000/$B$2,0)</f>
        <v>64670</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60028</v>
      </c>
      <c r="C7" s="1746">
        <f ca="1">ROUND(B7*10000/$B$1,0)</f>
        <v>33280</v>
      </c>
      <c r="D7" s="1746">
        <f ca="1">ROUND(B7*10000/$B$2,0)</f>
        <v>64670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18037.400000000001</v>
      </c>
      <c r="C14" s="1744">
        <f>结果表!C118</f>
        <v>9282.25</v>
      </c>
      <c r="D14" s="1744">
        <f ca="1">结果表!H118</f>
        <v>60028</v>
      </c>
      <c r="E14" s="1744">
        <f ca="1">ROUND(D14*10000/B14,0)</f>
        <v>33280</v>
      </c>
      <c r="F14" s="1744">
        <f ca="1">ROUND(D14*10000/C14,0)</f>
        <v>64670</v>
      </c>
      <c r="G14" s="1744" t="str">
        <f>结果表!D122</f>
        <v>——</v>
      </c>
      <c r="H14" s="1744">
        <f ca="1">结果表!D124</f>
        <v>60028</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2116</v>
      </c>
      <c r="B1" s="2419"/>
      <c r="C1" s="2420"/>
      <c r="D1" s="2419"/>
      <c r="E1" s="2419"/>
      <c r="F1" s="2421" t="s">
        <v>2117</v>
      </c>
      <c r="G1" s="2072" t="s">
        <v>3058</v>
      </c>
      <c r="H1" s="2422" t="str">
        <f>IF(G1="现房","——","估价对象范围")</f>
        <v>——</v>
      </c>
      <c r="I1" s="2423"/>
    </row>
    <row r="2" spans="1:12" ht="21.75" customHeight="1" thickBot="1">
      <c r="A2" s="3143" t="str">
        <f>项目基本情况!S2</f>
        <v>北京市海淀区上地六街17号全部工业用房房地产</v>
      </c>
      <c r="B2" s="3144"/>
      <c r="C2" s="3144"/>
      <c r="D2" s="3144"/>
      <c r="E2" s="3144"/>
      <c r="F2" s="3144"/>
      <c r="G2" s="3144"/>
      <c r="H2" s="3144"/>
      <c r="I2" s="3145"/>
    </row>
    <row r="3" spans="1:12" ht="12.75">
      <c r="A3" s="3146" t="s">
        <v>2118</v>
      </c>
      <c r="B3" s="3147"/>
      <c r="C3" s="3147"/>
      <c r="D3" s="3147"/>
      <c r="E3" s="3147"/>
      <c r="F3" s="3147"/>
      <c r="G3" s="3147"/>
      <c r="H3" s="3147"/>
      <c r="I3" s="3147"/>
    </row>
    <row r="4" spans="1:12" ht="14.25">
      <c r="A4" s="2426" t="s">
        <v>2119</v>
      </c>
      <c r="B4" s="2427" t="s">
        <v>2120</v>
      </c>
      <c r="C4" s="2428" t="s">
        <v>3120</v>
      </c>
      <c r="D4" s="2428" t="s">
        <v>3113</v>
      </c>
      <c r="E4" s="3127" t="s">
        <v>2121</v>
      </c>
      <c r="F4" s="3140"/>
      <c r="G4" s="3140"/>
      <c r="H4" s="3140"/>
      <c r="I4" s="3128"/>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18" t="s">
        <v>2122</v>
      </c>
      <c r="B5" s="3044">
        <v>25</v>
      </c>
      <c r="C5" s="3148"/>
      <c r="D5" s="3136"/>
      <c r="E5" s="140" t="s">
        <v>2123</v>
      </c>
      <c r="F5" s="2430"/>
      <c r="G5" s="2430"/>
      <c r="H5" s="2430"/>
      <c r="I5" s="1834"/>
    </row>
    <row r="6" spans="1:12" ht="12.75">
      <c r="A6" s="3118"/>
      <c r="B6" s="3044"/>
      <c r="C6" s="3150"/>
      <c r="D6" s="3136"/>
      <c r="E6" s="140" t="s">
        <v>2124</v>
      </c>
      <c r="F6" s="2430"/>
      <c r="G6" s="2430"/>
      <c r="H6" s="2430"/>
      <c r="I6" s="1834"/>
    </row>
    <row r="7" spans="1:12" ht="12.75">
      <c r="A7" s="3118"/>
      <c r="B7" s="3044"/>
      <c r="C7" s="3149"/>
      <c r="D7" s="3136"/>
      <c r="E7" s="140" t="s">
        <v>2125</v>
      </c>
      <c r="F7" s="2430"/>
      <c r="G7" s="2430"/>
      <c r="H7" s="2430"/>
      <c r="I7" s="1834"/>
    </row>
    <row r="8" spans="1:12" ht="12.75">
      <c r="A8" s="3118" t="s">
        <v>2126</v>
      </c>
      <c r="B8" s="3044">
        <v>15</v>
      </c>
      <c r="C8" s="3148"/>
      <c r="D8" s="3136"/>
      <c r="E8" s="140" t="s">
        <v>2127</v>
      </c>
      <c r="F8" s="2430"/>
      <c r="G8" s="2430"/>
      <c r="H8" s="2430"/>
      <c r="I8" s="1834"/>
    </row>
    <row r="9" spans="1:12" ht="12.75">
      <c r="A9" s="3118"/>
      <c r="B9" s="3044"/>
      <c r="C9" s="3149"/>
      <c r="D9" s="3136"/>
      <c r="E9" s="140" t="s">
        <v>2128</v>
      </c>
      <c r="F9" s="2430"/>
      <c r="G9" s="2430"/>
      <c r="H9" s="2430"/>
      <c r="I9" s="1834"/>
    </row>
    <row r="10" spans="1:12" ht="12.75">
      <c r="A10" s="3118" t="s">
        <v>2129</v>
      </c>
      <c r="B10" s="3044">
        <v>15</v>
      </c>
      <c r="C10" s="3148"/>
      <c r="D10" s="3136"/>
      <c r="E10" s="140" t="s">
        <v>2130</v>
      </c>
      <c r="F10" s="2430"/>
      <c r="G10" s="2430"/>
      <c r="H10" s="2430"/>
      <c r="I10" s="1834"/>
    </row>
    <row r="11" spans="1:12" ht="12.75">
      <c r="A11" s="3118"/>
      <c r="B11" s="3044"/>
      <c r="C11" s="3149"/>
      <c r="D11" s="3136"/>
      <c r="E11" s="140" t="s">
        <v>2131</v>
      </c>
      <c r="F11" s="2430"/>
      <c r="G11" s="2430"/>
      <c r="H11" s="2430"/>
      <c r="I11" s="1834"/>
    </row>
    <row r="12" spans="1:12" ht="12.75">
      <c r="A12" s="3118" t="s">
        <v>2132</v>
      </c>
      <c r="B12" s="3044">
        <v>15</v>
      </c>
      <c r="C12" s="3148"/>
      <c r="D12" s="3136"/>
      <c r="E12" s="140" t="s">
        <v>2133</v>
      </c>
      <c r="F12" s="2430"/>
      <c r="G12" s="2430"/>
      <c r="H12" s="2430"/>
      <c r="I12" s="1834"/>
    </row>
    <row r="13" spans="1:12" ht="12.75">
      <c r="A13" s="3118"/>
      <c r="B13" s="3044"/>
      <c r="C13" s="3149"/>
      <c r="D13" s="3136"/>
      <c r="E13" s="140" t="s">
        <v>2134</v>
      </c>
      <c r="F13" s="2430"/>
      <c r="G13" s="2430"/>
      <c r="H13" s="2430"/>
      <c r="I13" s="1834"/>
    </row>
    <row r="14" spans="1:12" ht="12.75">
      <c r="A14" s="3118" t="s">
        <v>2135</v>
      </c>
      <c r="B14" s="3044">
        <v>30</v>
      </c>
      <c r="C14" s="3148">
        <v>3</v>
      </c>
      <c r="D14" s="3136">
        <v>7</v>
      </c>
      <c r="E14" s="140" t="s">
        <v>2136</v>
      </c>
      <c r="F14" s="2430"/>
      <c r="G14" s="2430"/>
      <c r="H14" s="2430"/>
      <c r="I14" s="1834"/>
    </row>
    <row r="15" spans="1:12" ht="12.75">
      <c r="A15" s="3118"/>
      <c r="B15" s="3044"/>
      <c r="C15" s="3150"/>
      <c r="D15" s="3136"/>
      <c r="E15" s="140" t="s">
        <v>2137</v>
      </c>
      <c r="F15" s="2430"/>
      <c r="G15" s="2430"/>
      <c r="H15" s="2430"/>
      <c r="I15" s="1834"/>
    </row>
    <row r="16" spans="1:12" ht="12.75">
      <c r="A16" s="3118"/>
      <c r="B16" s="3044"/>
      <c r="C16" s="3149"/>
      <c r="D16" s="3136"/>
      <c r="E16" s="140" t="s">
        <v>2138</v>
      </c>
      <c r="F16" s="2430"/>
      <c r="G16" s="2430"/>
      <c r="H16" s="2430"/>
      <c r="I16" s="1834"/>
    </row>
    <row r="17" spans="1:35" ht="15">
      <c r="A17" s="2431" t="s">
        <v>2139</v>
      </c>
      <c r="B17" s="64"/>
      <c r="C17" s="141">
        <f>SUM(C5:C16)</f>
        <v>3</v>
      </c>
      <c r="D17" s="141">
        <f>SUM(D5:D16)</f>
        <v>7</v>
      </c>
      <c r="E17" s="138"/>
      <c r="F17" s="138"/>
      <c r="G17" s="138"/>
      <c r="H17" s="138"/>
      <c r="I17" s="138"/>
      <c r="K17" s="2429"/>
      <c r="L17" s="2432" t="s">
        <v>2140</v>
      </c>
      <c r="M17" s="2432" t="s">
        <v>2141</v>
      </c>
    </row>
    <row r="18" spans="1:35" ht="15.75" thickBot="1">
      <c r="A18" s="2433" t="s">
        <v>2142</v>
      </c>
      <c r="B18" s="2434"/>
      <c r="C18" s="142">
        <f>ROUND(C17/SUM(C17:D17),2)</f>
        <v>0.3</v>
      </c>
      <c r="D18" s="142">
        <f>1-C18</f>
        <v>0.7</v>
      </c>
      <c r="E18" s="138"/>
      <c r="F18" s="138"/>
      <c r="G18" s="138"/>
      <c r="H18" s="138"/>
      <c r="I18" s="138"/>
      <c r="K18" s="2429" t="s">
        <v>2143</v>
      </c>
      <c r="L18" s="2429">
        <f>IF(C1="",'数据-汇总表'!E3,SUMIF(项目类型,C1,'数据-汇总表'!E17:E26)+SUMIF(项目类型,C1,'数据-汇总表'!I17:I26))</f>
        <v>18037.400000000001</v>
      </c>
      <c r="M18" s="2429">
        <f>IF(C1="",'数据-汇总表'!E3,SUMIF(项目类型,C1,'数据-汇总表'!E17:E26))</f>
        <v>18037.400000000001</v>
      </c>
    </row>
    <row r="19" spans="1:35" ht="15">
      <c r="A19" s="2435" t="s">
        <v>2144</v>
      </c>
      <c r="B19" s="2436" t="s">
        <v>2145</v>
      </c>
      <c r="C19" s="143">
        <f ca="1">SUMIF(INDIRECT("'"&amp;C4&amp;"'"&amp;"!A:A"),结果表!B19,INDIRECT("'"&amp;C4&amp;"'"&amp;"!B:B"))</f>
        <v>42101</v>
      </c>
      <c r="D19" s="144">
        <f ca="1">SUMIF(INDIRECT("'"&amp;D4&amp;"'"&amp;"!A:A"),结果表!B19,INDIRECT("'"&amp;D4&amp;"'"&amp;"!B:B"))</f>
        <v>67711</v>
      </c>
      <c r="E19" s="2435" t="s">
        <v>2146</v>
      </c>
      <c r="F19" s="2436" t="s">
        <v>2145</v>
      </c>
      <c r="G19" s="145">
        <f ca="1">ROUND(C19*$C$18+D19*$D$18,0)</f>
        <v>60028</v>
      </c>
      <c r="H19" s="2437" t="s">
        <v>2147</v>
      </c>
      <c r="I19" s="138"/>
      <c r="K19" s="2429" t="s">
        <v>2148</v>
      </c>
      <c r="L19" s="2429">
        <f>IF(C1="",'数据-汇总表'!D3,SUMIF(项目类型,C1,'数据-汇总表'!D17:D26)+SUMIF(项目类型,C1,'数据-汇总表'!H17:H27))</f>
        <v>9282.25</v>
      </c>
      <c r="M19" s="2429">
        <f>IF(C1="",'数据-汇总表'!D3,SUMIF(项目类型,C1,'数据-汇总表'!D17:D26))</f>
        <v>9282.25</v>
      </c>
    </row>
    <row r="20" spans="1:35" ht="15">
      <c r="A20" s="2438"/>
      <c r="B20" s="1250" t="s">
        <v>2149</v>
      </c>
      <c r="C20" s="146">
        <f ca="1">SUMIF(INDIRECT("'"&amp;C4&amp;"'"&amp;"!A:A"),结果表!B20,INDIRECT("'"&amp;C4&amp;"'"&amp;"!B:B"))</f>
        <v>23341</v>
      </c>
      <c r="D20" s="147">
        <f ca="1">SUMIF(INDIRECT("'"&amp;D4&amp;"'"&amp;"!A:A"),结果表!B20,INDIRECT("'"&amp;D4&amp;"'"&amp;"!B:B"))</f>
        <v>37539</v>
      </c>
      <c r="E20" s="2438"/>
      <c r="F20" s="1250" t="s">
        <v>2149</v>
      </c>
      <c r="G20" s="148">
        <f ca="1">ROUND(C20*$C$18+D20*$D$18,0)</f>
        <v>33280</v>
      </c>
      <c r="H20" s="983" t="s">
        <v>2150</v>
      </c>
      <c r="I20" s="138"/>
    </row>
    <row r="21" spans="1:35" ht="15" customHeight="1" thickBot="1">
      <c r="A21" s="1003"/>
      <c r="B21" s="2439" t="s">
        <v>2151</v>
      </c>
      <c r="C21" s="789">
        <f ca="1">ROUND(C19*10000/L19,0)</f>
        <v>45356</v>
      </c>
      <c r="D21" s="790">
        <f ca="1">ROUND(D19*10000/L19,0)</f>
        <v>72947</v>
      </c>
      <c r="E21" s="1003"/>
      <c r="F21" s="2439" t="s">
        <v>2151</v>
      </c>
      <c r="G21" s="149">
        <f ca="1">ROUND(G19*10000/L19,0)</f>
        <v>64670</v>
      </c>
      <c r="H21" s="2440" t="s">
        <v>2150</v>
      </c>
      <c r="I21" s="138"/>
    </row>
    <row r="22" spans="1:35" ht="15" thickBot="1">
      <c r="A22" s="2283" t="s">
        <v>2152</v>
      </c>
      <c r="B22" s="2441"/>
      <c r="C22" s="2442"/>
      <c r="D22" s="791">
        <f ca="1">IF(C19&lt;D19,D19/C19-1,C19/D19-1)</f>
        <v>0.60829909028289109</v>
      </c>
      <c r="E22" s="138"/>
      <c r="F22" s="138"/>
      <c r="G22" s="138"/>
      <c r="H22" s="138"/>
      <c r="I22" s="138"/>
    </row>
    <row r="23" spans="1:35" ht="13.5" thickBot="1">
      <c r="A23" s="2419"/>
      <c r="B23" s="2419"/>
      <c r="C23" s="2419"/>
      <c r="D23" s="2419"/>
      <c r="E23" s="138"/>
      <c r="F23" s="138"/>
      <c r="G23" s="138"/>
      <c r="H23" s="138"/>
      <c r="I23" s="138"/>
    </row>
    <row r="24" spans="1:35" ht="14.25">
      <c r="A24" s="3157" t="s">
        <v>2153</v>
      </c>
      <c r="B24" s="2436" t="s">
        <v>2145</v>
      </c>
      <c r="C24" s="145">
        <f>IF(B30=0,0,D30)</f>
        <v>0</v>
      </c>
      <c r="D24" s="2443"/>
      <c r="E24" s="138"/>
      <c r="F24" s="138"/>
      <c r="G24" s="138"/>
      <c r="H24" s="138"/>
      <c r="I24" s="138"/>
    </row>
    <row r="25" spans="1:35" ht="14.25">
      <c r="A25" s="3158"/>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60028</v>
      </c>
      <c r="D32" s="2450" t="s">
        <v>2160</v>
      </c>
      <c r="E32" s="138"/>
      <c r="F32" s="138"/>
      <c r="G32" s="138"/>
      <c r="H32" s="138"/>
      <c r="I32" s="138"/>
    </row>
    <row r="33" spans="1:15" ht="15">
      <c r="A33" s="960" t="s">
        <v>2161</v>
      </c>
      <c r="B33" s="2451"/>
      <c r="C33" s="2452" t="s">
        <v>3134</v>
      </c>
      <c r="D33" s="2453"/>
      <c r="E33" s="2454" t="s">
        <v>2162</v>
      </c>
      <c r="F33" s="2455" t="str">
        <f>IF(D32="楼面单价","取值（单价）","取值（总价）")</f>
        <v>取值（总价）</v>
      </c>
      <c r="G33" s="138"/>
      <c r="H33" s="138"/>
      <c r="I33" s="138"/>
    </row>
    <row r="34" spans="1:15" ht="15">
      <c r="A34" s="2456"/>
      <c r="B34" s="2457" t="s">
        <v>2163</v>
      </c>
      <c r="C34" s="157">
        <f ca="1">IF(C33="自定义",F34,C32-C35)</f>
        <v>53028</v>
      </c>
      <c r="D34" s="1058">
        <f ca="1">IF(C33="自定义",ROUND(C34/C32,3),IF(C33="收益比率",SUMIF(INDIRECT("'"&amp;D33&amp;"'"&amp;"!b:b"),"土地收益比率",INDIRECT("'"&amp;D33&amp;"'"&amp;"!c:c")),SUMIF(INDIRECT("'"&amp;D33&amp;"'"&amp;"!b:b"),"土地成本比率",INDIRECT("'"&amp;D33&amp;"'"&amp;"!c:c"))))</f>
        <v>0.88300000000000001</v>
      </c>
      <c r="E34" s="2458" t="s">
        <v>2164</v>
      </c>
      <c r="F34" s="1739">
        <f ca="1">H118-F35</f>
        <v>53028</v>
      </c>
      <c r="G34" s="138"/>
      <c r="H34" s="138"/>
      <c r="I34" s="138"/>
    </row>
    <row r="35" spans="1:15" ht="15.75" thickBot="1">
      <c r="A35" s="2459"/>
      <c r="B35" s="2460" t="s">
        <v>2165</v>
      </c>
      <c r="C35" s="1444">
        <f ca="1">IF(C33="自定义",F35,ROUND(C32*D35,0))</f>
        <v>7000</v>
      </c>
      <c r="D35" s="1445">
        <f ca="1">IF(C33="自定义",ROUND(C35/C32,3),IF(C33="收益比率",SUMIF(INDIRECT("'"&amp;D33&amp;"'"&amp;"!b:b"),"建筑物收益比率",INDIRECT("'"&amp;D33&amp;"'"&amp;"!c:c")),SUMIF(INDIRECT("'"&amp;D33&amp;"'"&amp;"!b:b"),"建筑物成本比率",INDIRECT("'"&amp;D33&amp;"'"&amp;"!c:c"))))</f>
        <v>0.11700000000000001</v>
      </c>
      <c r="E35" s="2461" t="s">
        <v>2166</v>
      </c>
      <c r="F35" s="163">
        <f ca="1">'收益法-出租'!C13+'收益法-自用'!C13</f>
        <v>7000</v>
      </c>
      <c r="G35" s="138"/>
      <c r="H35" s="138"/>
      <c r="I35" s="138"/>
    </row>
    <row r="36" spans="1:15" ht="15.75" thickBot="1">
      <c r="A36" s="3137" t="s">
        <v>2167</v>
      </c>
      <c r="B36" s="2462" t="s">
        <v>2168</v>
      </c>
      <c r="C36" s="154"/>
      <c r="D36" s="2463"/>
      <c r="E36" s="2464"/>
      <c r="F36" s="2465"/>
      <c r="G36" s="138"/>
      <c r="H36" s="138"/>
      <c r="I36" s="138"/>
    </row>
    <row r="37" spans="1:15" ht="15.75" thickBot="1">
      <c r="A37" s="3138"/>
      <c r="B37" s="2269" t="s">
        <v>2169</v>
      </c>
      <c r="C37" s="156"/>
      <c r="D37" s="1395"/>
      <c r="E37" s="1395"/>
      <c r="F37" s="2465"/>
      <c r="G37" s="138"/>
      <c r="H37" s="138"/>
      <c r="I37" s="138"/>
    </row>
    <row r="38" spans="1:15" ht="15.75" thickBot="1">
      <c r="A38" s="3139"/>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54" t="s">
        <v>2181</v>
      </c>
      <c r="B45" s="3155"/>
      <c r="C45" s="3156"/>
      <c r="D45" s="164">
        <f ca="1">ROUND(H101*F45,0)</f>
        <v>60028</v>
      </c>
      <c r="E45" s="165" t="s">
        <v>2182</v>
      </c>
      <c r="F45" s="166">
        <v>1</v>
      </c>
      <c r="G45" s="167" t="s">
        <v>2183</v>
      </c>
      <c r="H45" s="138"/>
      <c r="I45" s="138"/>
      <c r="J45" s="3073" t="s">
        <v>2184</v>
      </c>
      <c r="K45" s="3073"/>
      <c r="L45" s="3073"/>
      <c r="M45" s="3073"/>
      <c r="N45" s="3073"/>
      <c r="O45" s="3073"/>
    </row>
    <row r="46" spans="1:15" ht="14.25" customHeight="1">
      <c r="A46" s="3151" t="s">
        <v>2185</v>
      </c>
      <c r="B46" s="3152"/>
      <c r="C46" s="3152"/>
      <c r="D46" s="3152"/>
      <c r="E46" s="3152"/>
      <c r="F46" s="3152"/>
      <c r="G46" s="3153"/>
      <c r="H46" s="2481"/>
      <c r="I46" s="168"/>
      <c r="J46" s="1812">
        <v>1</v>
      </c>
      <c r="K46" s="3073" t="s">
        <v>2186</v>
      </c>
      <c r="L46" s="3073"/>
      <c r="M46" s="3074"/>
      <c r="N46" s="3074"/>
      <c r="O46" s="3074"/>
    </row>
    <row r="47" spans="1:15" ht="12" customHeight="1">
      <c r="A47" s="169" t="s">
        <v>2187</v>
      </c>
      <c r="B47" s="170"/>
      <c r="C47" s="171"/>
      <c r="D47" s="172" t="s">
        <v>2188</v>
      </c>
      <c r="E47" s="24" t="s">
        <v>2189</v>
      </c>
      <c r="F47" s="173" t="s">
        <v>2190</v>
      </c>
      <c r="G47" s="174" t="s">
        <v>2191</v>
      </c>
      <c r="H47" s="2481"/>
      <c r="I47" s="168"/>
      <c r="J47" s="1812">
        <v>2</v>
      </c>
      <c r="K47" s="3073" t="s">
        <v>2192</v>
      </c>
      <c r="L47" s="3073"/>
      <c r="M47" s="3075">
        <f>'数据-取费表'!B2</f>
        <v>43363</v>
      </c>
      <c r="N47" s="3075"/>
      <c r="O47" s="3075"/>
    </row>
    <row r="48" spans="1:15" ht="25.5">
      <c r="A48" s="3141" t="s">
        <v>2193</v>
      </c>
      <c r="B48" s="3142"/>
      <c r="C48" s="3142"/>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73" t="s">
        <v>2196</v>
      </c>
      <c r="L48" s="3073"/>
      <c r="M48" s="3076">
        <f ca="1">H101</f>
        <v>60028</v>
      </c>
      <c r="N48" s="3076"/>
      <c r="O48" s="3076"/>
    </row>
    <row r="49" spans="1:35" ht="25.5" customHeight="1">
      <c r="A49" s="176" t="s">
        <v>2197</v>
      </c>
      <c r="B49" s="3121" t="s">
        <v>2198</v>
      </c>
      <c r="C49" s="3121"/>
      <c r="D49" s="177">
        <v>0</v>
      </c>
      <c r="E49" s="23" t="s">
        <v>2199</v>
      </c>
      <c r="F49" s="28" t="s">
        <v>34</v>
      </c>
      <c r="G49" s="3102"/>
      <c r="H49" s="138"/>
      <c r="I49" s="2484"/>
      <c r="J49" s="1812">
        <v>4</v>
      </c>
      <c r="K49" s="3073" t="str">
        <f>IF(项目基本情况!E8="房地产抵押价值","房地产抵押价值","抵押担保权已注销时的房地产抵押价值")</f>
        <v>抵押担保权已注销时的房地产抵押价值</v>
      </c>
      <c r="L49" s="3073"/>
      <c r="M49" s="3076">
        <f ca="1">IF(项目基本情况!E8="房地产抵押价值",H107,H109)</f>
        <v>60028</v>
      </c>
      <c r="N49" s="3076"/>
      <c r="O49" s="3076"/>
    </row>
    <row r="50" spans="1:35" ht="25.5" customHeight="1">
      <c r="A50" s="178"/>
      <c r="B50" s="3121" t="s">
        <v>2200</v>
      </c>
      <c r="C50" s="3121"/>
      <c r="D50" s="179"/>
      <c r="E50" s="31"/>
      <c r="F50" s="180"/>
      <c r="G50" s="3103"/>
      <c r="H50" s="138"/>
      <c r="I50" s="2484"/>
      <c r="J50" s="3073" t="s">
        <v>2201</v>
      </c>
      <c r="K50" s="3073"/>
      <c r="L50" s="3073"/>
      <c r="M50" s="3073"/>
      <c r="N50" s="3073"/>
      <c r="O50" s="3073"/>
    </row>
    <row r="51" spans="1:35" ht="12" customHeight="1">
      <c r="A51" s="181"/>
      <c r="B51" s="3121" t="s">
        <v>2202</v>
      </c>
      <c r="C51" s="3121"/>
      <c r="D51" s="182"/>
      <c r="E51" s="30"/>
      <c r="F51" s="180"/>
      <c r="G51" s="3104"/>
      <c r="H51" s="138"/>
      <c r="I51" s="2484"/>
      <c r="J51" s="2485" t="s">
        <v>2203</v>
      </c>
      <c r="K51" s="3073" t="s">
        <v>2204</v>
      </c>
      <c r="L51" s="3073"/>
      <c r="M51" s="2485" t="s">
        <v>2205</v>
      </c>
      <c r="N51" s="2485" t="s">
        <v>2206</v>
      </c>
      <c r="O51" s="2485" t="s">
        <v>2207</v>
      </c>
    </row>
    <row r="52" spans="1:35" ht="24" customHeight="1">
      <c r="A52" s="183" t="s">
        <v>2208</v>
      </c>
      <c r="B52" s="3121" t="s">
        <v>2209</v>
      </c>
      <c r="C52" s="3121"/>
      <c r="D52" s="182">
        <f ca="1">ROUND(D45*'数据-取费表'!B41/(1+'数据-取费表'!C42),0)</f>
        <v>3201</v>
      </c>
      <c r="E52" s="11" t="s">
        <v>2210</v>
      </c>
      <c r="F52" s="184">
        <f>'数据-取费表'!B41</f>
        <v>5.6000000000000001E-2</v>
      </c>
      <c r="G52" s="2486"/>
      <c r="H52" s="138"/>
      <c r="I52" s="2484"/>
      <c r="J52" s="1812">
        <v>1</v>
      </c>
      <c r="K52" s="3096" t="s">
        <v>2211</v>
      </c>
      <c r="L52" s="3096"/>
      <c r="M52" s="1754">
        <f>D48</f>
        <v>0</v>
      </c>
      <c r="N52" s="1812" t="str">
        <f>E48</f>
        <v>销售额×税（费）率</v>
      </c>
      <c r="O52" s="1755" t="str">
        <f>F48</f>
        <v>免征</v>
      </c>
    </row>
    <row r="53" spans="1:35" ht="12" customHeight="1">
      <c r="A53" s="183" t="s">
        <v>2212</v>
      </c>
      <c r="B53" s="3122" t="s">
        <v>2213</v>
      </c>
      <c r="C53" s="3123"/>
      <c r="D53" s="182">
        <f ca="1">ROUND(D45*'数据-取费表'!B41/(1+'数据-取费表'!C42),0)</f>
        <v>3201</v>
      </c>
      <c r="E53" s="11" t="s">
        <v>2210</v>
      </c>
      <c r="F53" s="184">
        <f>'数据-取费表'!B41</f>
        <v>5.6000000000000001E-2</v>
      </c>
      <c r="G53" s="2486"/>
      <c r="H53" s="138"/>
      <c r="I53" s="2484"/>
      <c r="J53" s="1812">
        <v>2</v>
      </c>
      <c r="K53" s="3096" t="s">
        <v>2214</v>
      </c>
      <c r="L53" s="3096"/>
      <c r="M53" s="1754">
        <f t="shared" ref="M53:O54" ca="1" si="0">D55</f>
        <v>30</v>
      </c>
      <c r="N53" s="1812" t="str">
        <f t="shared" si="0"/>
        <v>销售额×税（费）率</v>
      </c>
      <c r="O53" s="1755">
        <f t="shared" si="0"/>
        <v>5.0000000000000001E-4</v>
      </c>
    </row>
    <row r="54" spans="1:35" ht="12" customHeight="1">
      <c r="A54" s="183" t="s">
        <v>2215</v>
      </c>
      <c r="B54" s="3122" t="s">
        <v>2216</v>
      </c>
      <c r="C54" s="3123"/>
      <c r="D54" s="182">
        <f ca="1">C68</f>
        <v>3202</v>
      </c>
      <c r="E54" s="30" t="s">
        <v>2217</v>
      </c>
      <c r="F54" s="184">
        <f>'数据-取费表'!B41</f>
        <v>5.6000000000000001E-2</v>
      </c>
      <c r="G54" s="2486"/>
      <c r="H54" s="2487"/>
      <c r="I54" s="2484"/>
      <c r="J54" s="1812">
        <v>3</v>
      </c>
      <c r="K54" s="3096" t="s">
        <v>2218</v>
      </c>
      <c r="L54" s="3096"/>
      <c r="M54" s="1754">
        <f t="shared" ca="1" si="0"/>
        <v>33976</v>
      </c>
      <c r="N54" s="1812" t="str">
        <f t="shared" si="0"/>
        <v>增值额×税（费）率</v>
      </c>
      <c r="O54" s="1756" t="str">
        <f t="shared" si="0"/>
        <v>——</v>
      </c>
    </row>
    <row r="55" spans="1:35" ht="24" customHeight="1">
      <c r="A55" s="3160" t="s">
        <v>2219</v>
      </c>
      <c r="B55" s="3142"/>
      <c r="C55" s="3142"/>
      <c r="D55" s="185">
        <f ca="1">IF(H55="个人住宅",0,ROUND(D45*I55,0))</f>
        <v>30</v>
      </c>
      <c r="E55" s="11" t="s">
        <v>2220</v>
      </c>
      <c r="F55" s="184">
        <f>IF(H55="正常",I55,"免征")</f>
        <v>5.0000000000000001E-4</v>
      </c>
      <c r="G55" s="2486"/>
      <c r="H55" s="2483" t="s">
        <v>2221</v>
      </c>
      <c r="I55" s="186">
        <f>'数据-取费表'!B49</f>
        <v>5.0000000000000001E-4</v>
      </c>
      <c r="J55" s="1812" t="str">
        <f>IF(H59="非个人房产","",4)</f>
        <v/>
      </c>
      <c r="K55" s="3096" t="str">
        <f>IF(H59="非个人房产","——","个人所得税")</f>
        <v>——</v>
      </c>
      <c r="L55" s="3096"/>
      <c r="M55" s="1757" t="str">
        <f>D59</f>
        <v>——</v>
      </c>
      <c r="N55" s="1810" t="str">
        <f>E59</f>
        <v>——</v>
      </c>
      <c r="O55" s="1758" t="str">
        <f>F59</f>
        <v>——</v>
      </c>
    </row>
    <row r="56" spans="1:35" ht="24.75">
      <c r="A56" s="3160" t="s">
        <v>2222</v>
      </c>
      <c r="B56" s="3142"/>
      <c r="C56" s="3142"/>
      <c r="D56" s="185">
        <f ca="1">IF(H56="个人住宅",D57,D58)</f>
        <v>33976</v>
      </c>
      <c r="E56" s="11" t="s">
        <v>2223</v>
      </c>
      <c r="F56" s="184" t="str">
        <f>IF(H56="正常",F58,"免征")</f>
        <v>——</v>
      </c>
      <c r="G56" s="2488" t="s">
        <v>2224</v>
      </c>
      <c r="H56" s="2489" t="s">
        <v>2221</v>
      </c>
      <c r="I56" s="2490"/>
      <c r="J56" s="1812" t="str">
        <f>IF(项目基本情况!K6="上海银行",IF(J55="",4,J55+1),"")</f>
        <v/>
      </c>
      <c r="K56" s="3079" t="str">
        <f>IF(项目基本情况!K6="上海银行","其他处置费用","")</f>
        <v/>
      </c>
      <c r="L56" s="3080"/>
      <c r="M56" s="1754" t="str">
        <f>IF(项目基本情况!K6="上海银行",M69,"")</f>
        <v/>
      </c>
      <c r="N56" s="3082" t="str">
        <f>IF(项目基本情况!K6="上海银行","包含处置中涉及的律师、诉讼、拍卖、评估等费用","")</f>
        <v/>
      </c>
      <c r="O56" s="3083"/>
    </row>
    <row r="57" spans="1:35" ht="12.75">
      <c r="A57" s="183" t="s">
        <v>2197</v>
      </c>
      <c r="B57" s="3127" t="s">
        <v>2225</v>
      </c>
      <c r="C57" s="3128"/>
      <c r="D57" s="187">
        <v>0</v>
      </c>
      <c r="E57" s="23" t="s">
        <v>2199</v>
      </c>
      <c r="F57" s="155"/>
      <c r="G57" s="2486"/>
      <c r="H57" s="2490"/>
      <c r="I57" s="2490"/>
      <c r="J57" s="3096">
        <f>IF(AND(J55="",J56=""),4,IF(项目基本情况!K6="上海银行",结果表!J56+1,结果表!J55+1))</f>
        <v>4</v>
      </c>
      <c r="K57" s="3096" t="s">
        <v>2226</v>
      </c>
      <c r="L57" s="2491" t="s">
        <v>2227</v>
      </c>
      <c r="M57" s="1759"/>
      <c r="N57" s="1760">
        <f ca="1">SUMIF(M52:M56,"&lt;9e307")</f>
        <v>34006</v>
      </c>
      <c r="O57" s="2492"/>
      <c r="P57" s="1753">
        <f ca="1">N57/M49</f>
        <v>0.5665022989271673</v>
      </c>
    </row>
    <row r="58" spans="1:35" ht="24.75">
      <c r="A58" s="183" t="s">
        <v>2208</v>
      </c>
      <c r="B58" s="3127" t="s">
        <v>2228</v>
      </c>
      <c r="C58" s="3140"/>
      <c r="D58" s="185">
        <f ca="1">IF(H58="转让取得",C81,C97)</f>
        <v>33976</v>
      </c>
      <c r="E58" s="11" t="s">
        <v>2223</v>
      </c>
      <c r="F58" s="24" t="s">
        <v>34</v>
      </c>
      <c r="G58" s="2486"/>
      <c r="H58" s="2489" t="s">
        <v>2229</v>
      </c>
      <c r="I58" s="2490"/>
      <c r="J58" s="3096"/>
      <c r="K58" s="3096"/>
      <c r="L58" s="2491" t="s">
        <v>2230</v>
      </c>
      <c r="M58" s="1761"/>
      <c r="N58" s="2493" t="str">
        <f ca="1">NUMBERSTRING(INT(N57*10000),2)&amp;"元整"</f>
        <v>叁亿肆仟零陆万元整</v>
      </c>
      <c r="O58" s="2494"/>
    </row>
    <row r="59" spans="1:35" ht="24.75" thickBot="1">
      <c r="A59" s="3100" t="s">
        <v>2231</v>
      </c>
      <c r="B59" s="3101"/>
      <c r="C59" s="310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098">
        <f>J57+1</f>
        <v>5</v>
      </c>
      <c r="K59" s="3096" t="s">
        <v>2233</v>
      </c>
      <c r="L59" s="1812" t="s">
        <v>2227</v>
      </c>
      <c r="M59" s="1762"/>
      <c r="N59" s="1763">
        <f ca="1">M49-N57</f>
        <v>26022</v>
      </c>
      <c r="O59" s="2496"/>
    </row>
    <row r="60" spans="1:35" ht="12" customHeight="1">
      <c r="A60" s="2497"/>
      <c r="B60" s="2419"/>
      <c r="C60" s="2419"/>
      <c r="D60" s="2419"/>
      <c r="E60" s="2168"/>
      <c r="F60" s="2490"/>
      <c r="G60" s="2490"/>
      <c r="H60" s="2498"/>
      <c r="I60" s="138"/>
      <c r="J60" s="3099"/>
      <c r="K60" s="3096"/>
      <c r="L60" s="2491" t="s">
        <v>2230</v>
      </c>
      <c r="M60" s="1761"/>
      <c r="N60" s="2493" t="str">
        <f ca="1">NUMBERSTRING(INT(N59*10000),2)&amp;"元整"</f>
        <v>贰亿陆仟零贰拾贰万元整</v>
      </c>
      <c r="O60" s="2494"/>
    </row>
    <row r="61" spans="1:35" ht="13.5" thickBot="1">
      <c r="A61" s="3159" t="s">
        <v>2234</v>
      </c>
      <c r="B61" s="3159"/>
      <c r="C61" s="3159"/>
      <c r="D61" s="3159"/>
      <c r="E61" s="3159"/>
      <c r="F61" s="2490"/>
      <c r="G61" s="2490"/>
      <c r="H61" s="2498"/>
      <c r="I61" s="138"/>
      <c r="J61" s="1812">
        <f>J59+1</f>
        <v>6</v>
      </c>
      <c r="K61" s="3096" t="s">
        <v>2235</v>
      </c>
      <c r="L61" s="3096"/>
      <c r="M61" s="1764"/>
      <c r="N61" s="1765">
        <f ca="1">ROUND(N59*10000/'数据-汇总表'!E3,0)</f>
        <v>14427</v>
      </c>
      <c r="O61" s="2499"/>
    </row>
    <row r="62" spans="1:35" ht="12.75">
      <c r="A62" s="3116" t="s">
        <v>2236</v>
      </c>
      <c r="B62" s="3117"/>
      <c r="C62" s="1804"/>
      <c r="D62" s="1804" t="s">
        <v>2237</v>
      </c>
      <c r="E62" s="192" t="s">
        <v>2238</v>
      </c>
      <c r="F62" s="2490"/>
      <c r="G62" s="2490"/>
      <c r="H62" s="2498"/>
      <c r="I62" s="138"/>
    </row>
    <row r="63" spans="1:35" ht="12.75">
      <c r="A63" s="203" t="s">
        <v>775</v>
      </c>
      <c r="B63" s="193" t="s">
        <v>2239</v>
      </c>
      <c r="C63" s="194">
        <f ca="1">ROUND((C64+C65)/(1+'数据-取费表'!C42),0)</f>
        <v>57170</v>
      </c>
      <c r="D63" s="195"/>
      <c r="E63" s="196"/>
      <c r="F63" s="2490"/>
      <c r="G63" s="2490"/>
      <c r="H63" s="2498"/>
      <c r="I63" s="138"/>
      <c r="J63" s="3081" t="s">
        <v>2240</v>
      </c>
      <c r="K63" s="2500" t="s">
        <v>2241</v>
      </c>
      <c r="L63" s="1752">
        <f ca="1">IF(M49&gt;10000,M49*0.5%,IF(AND(M49&gt;1000,M49&lt;=10000),M49*1%,IF(AND(M49&gt;100,M49&lt;=1000),M49*3%,IF(AND(M49&gt;10,M49&lt;=100),M49*5%,M49*8%))))</f>
        <v>300.14</v>
      </c>
      <c r="M63" s="24">
        <f ca="1">ROUND(L63,1)</f>
        <v>300.10000000000002</v>
      </c>
      <c r="Z63" s="2424"/>
      <c r="AI63" s="2425"/>
    </row>
    <row r="64" spans="1:35" ht="14.25" customHeight="1">
      <c r="A64" s="197" t="s">
        <v>770</v>
      </c>
      <c r="B64" s="198" t="s">
        <v>2242</v>
      </c>
      <c r="C64" s="199">
        <f ca="1">D45</f>
        <v>60028</v>
      </c>
      <c r="D64" s="200" t="s">
        <v>32</v>
      </c>
      <c r="E64" s="201"/>
      <c r="F64" s="2490"/>
      <c r="G64" s="2490"/>
      <c r="H64" s="2498"/>
      <c r="I64" s="138"/>
      <c r="J64" s="3081"/>
      <c r="K64" s="2500" t="s">
        <v>2243</v>
      </c>
      <c r="L64" s="1752">
        <f ca="1">IF(M49&gt;2000,M49*0.5%,IF(AND(M49&gt;1000,M49&lt;=2000),M49*0.6%,IF(AND(M49&gt;500,M49&lt;=1000),M49*0.7%,IF(AND(M49&gt;200,M49&lt;=500),M49*0.8%,IF(AND(M49&gt;100,M49&lt;=200),M49*0.9%,IF(AND(M49&gt;50,M49&lt;=100),M49*1%,IF(AND(M49&gt;20,M49&lt;=50),M49*1.5%,IF(AND(M49&gt;10,M49&lt;=20),M49*2%,IF(AND(M49&gt;1,M49&lt;=10),M49*2.5%)))))))))</f>
        <v>300.14</v>
      </c>
      <c r="M64" s="24">
        <f t="shared" ref="M64:M65" ca="1" si="1">ROUND(L64,1)</f>
        <v>300.10000000000002</v>
      </c>
      <c r="N64" s="138" t="s">
        <v>2244</v>
      </c>
      <c r="Z64" s="2424"/>
      <c r="AI64" s="2425"/>
    </row>
    <row r="65" spans="1:35" ht="14.25" customHeight="1">
      <c r="A65" s="197" t="s">
        <v>771</v>
      </c>
      <c r="B65" s="198" t="s">
        <v>2245</v>
      </c>
      <c r="C65" s="202"/>
      <c r="D65" s="200"/>
      <c r="E65" s="201"/>
      <c r="F65" s="2490"/>
      <c r="G65" s="2490"/>
      <c r="H65" s="2498"/>
      <c r="I65" s="138"/>
      <c r="J65" s="3081"/>
      <c r="K65" s="2500" t="s">
        <v>2246</v>
      </c>
      <c r="L65" s="1752">
        <f ca="1">IF(M49&gt;1000,M49*0.1%,IF(AND(M49&gt;500,M49&lt;=1000),M49*0.5%,IF(AND(M49&gt;50,M49&lt;=500),M49*1%,IF(AND(M49&gt;1,M49&lt;=50),M49*1.5%))))</f>
        <v>60.027999999999999</v>
      </c>
      <c r="M65" s="24">
        <f t="shared" ca="1" si="1"/>
        <v>60</v>
      </c>
      <c r="N65" s="138" t="s">
        <v>2244</v>
      </c>
      <c r="Z65" s="2424"/>
      <c r="AI65" s="2425"/>
    </row>
    <row r="66" spans="1:35" ht="14.25" customHeight="1">
      <c r="A66" s="203" t="s">
        <v>772</v>
      </c>
      <c r="B66" s="204" t="s">
        <v>2247</v>
      </c>
      <c r="C66" s="205"/>
      <c r="D66" s="206" t="s">
        <v>32</v>
      </c>
      <c r="E66" s="1776" t="s">
        <v>1371</v>
      </c>
      <c r="F66" s="2490"/>
      <c r="G66" s="2490"/>
      <c r="H66" s="2498"/>
      <c r="I66" s="138"/>
      <c r="J66" s="3081"/>
      <c r="K66" s="2500" t="s">
        <v>2248</v>
      </c>
      <c r="L66" s="1752">
        <f ca="1">M49*0.5%</f>
        <v>300.14</v>
      </c>
      <c r="M66" s="24">
        <f ca="1">IF(L66&gt;0.5,0.5,ROUND(L66,0))</f>
        <v>0.5</v>
      </c>
      <c r="N66" s="138" t="s">
        <v>2249</v>
      </c>
      <c r="Z66" s="2424"/>
      <c r="AI66" s="2425"/>
    </row>
    <row r="67" spans="1:35" ht="14.25" customHeight="1">
      <c r="A67" s="203" t="s">
        <v>773</v>
      </c>
      <c r="B67" s="204" t="s">
        <v>2250</v>
      </c>
      <c r="C67" s="207">
        <f ca="1">C63-C66</f>
        <v>57170</v>
      </c>
      <c r="D67" s="200" t="s">
        <v>32</v>
      </c>
      <c r="E67" s="201"/>
      <c r="F67" s="2490"/>
      <c r="G67" s="2490"/>
      <c r="H67" s="2498"/>
      <c r="I67" s="138"/>
      <c r="J67" s="3081"/>
      <c r="K67" s="2500" t="s">
        <v>2251</v>
      </c>
      <c r="L67" s="1752">
        <f ca="1">IF(M49&gt;=10000,(8.25+(M49-10000)*0.01%),IF(AND(M49&gt;=8000,M49&lt;10000),(7.85+(M49-8000)*0.02%),IF(AND(M49&gt;=5000,M49&lt;8000),(6.65+(M49-5000)*0.04%),IF(AND(M49&gt;=2000,M49&lt;5000),(4.25+(PM49-2000)*0.08%),IF(AND(M49&gt;=1000,M49&lt;2000),(2.75+(M49-1000)*0.15%),IF(AND(M49&gt;=100,M49&lt;1000),(0.5+(M49-100)*0.25%),IF(AND(M49&gt;0,M49&lt;100),M49*0.5%)))))))</f>
        <v>13.252800000000001</v>
      </c>
      <c r="M67" s="24">
        <f ca="1">ROUND(L67*0.9,1)</f>
        <v>11.9</v>
      </c>
      <c r="Z67" s="2424"/>
      <c r="AI67" s="2425"/>
    </row>
    <row r="68" spans="1:35" ht="14.25" customHeight="1" thickBot="1">
      <c r="A68" s="208" t="s">
        <v>774</v>
      </c>
      <c r="B68" s="209" t="s">
        <v>2252</v>
      </c>
      <c r="C68" s="210">
        <f ca="1">IF(C67&lt;=0,0,ROUND(C67*D68,0))</f>
        <v>3202</v>
      </c>
      <c r="D68" s="211">
        <f>'数据-取费表'!B41</f>
        <v>5.6000000000000001E-2</v>
      </c>
      <c r="E68" s="212"/>
      <c r="F68" s="2490"/>
      <c r="G68" s="2490"/>
      <c r="H68" s="2498"/>
      <c r="I68" s="138"/>
      <c r="J68" s="3081"/>
      <c r="K68" s="2500" t="s">
        <v>2253</v>
      </c>
      <c r="L68" s="1752">
        <f ca="1">IF(M49&gt;10000,M49*0.5%,IF(AND(M49&gt;5000,M49&lt;=10000),M49*1%,IF(AND(M49&gt;1000,M49&lt;=5000),M49*2%,IF(AND(M49&gt;200,M49&lt;=1000),M49*3%,M49*5%))))</f>
        <v>300.14</v>
      </c>
      <c r="M68" s="24">
        <f ca="1">ROUND(L68,1)</f>
        <v>300.10000000000002</v>
      </c>
      <c r="Z68" s="2424"/>
      <c r="AI68" s="2425"/>
    </row>
    <row r="69" spans="1:35" s="2447" customFormat="1" ht="16.5" customHeight="1">
      <c r="A69" s="2501"/>
      <c r="B69" s="2502"/>
      <c r="C69" s="2503"/>
      <c r="D69" s="2504"/>
      <c r="E69" s="2505"/>
      <c r="F69" s="2168"/>
      <c r="G69" s="2168"/>
      <c r="H69" s="2167"/>
      <c r="I69" s="2419"/>
      <c r="J69" s="3081"/>
      <c r="K69" s="2500" t="s">
        <v>2254</v>
      </c>
      <c r="L69" s="2506"/>
      <c r="M69" s="24">
        <f ca="1">ROUND(SUM(M63:M68),0)</f>
        <v>973</v>
      </c>
      <c r="N69" s="1753">
        <f ca="1">M69/M49</f>
        <v>1.6209102418871194E-2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5" t="s">
        <v>2255</v>
      </c>
      <c r="B70" s="3126"/>
      <c r="C70" s="3126"/>
      <c r="D70" s="3126"/>
      <c r="E70" s="3126"/>
      <c r="F70" s="3126"/>
      <c r="G70" s="3126"/>
      <c r="H70" s="312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6" t="s">
        <v>2236</v>
      </c>
      <c r="B71" s="3117"/>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57170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343</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22" t="s">
        <v>2264</v>
      </c>
      <c r="F76" s="3121"/>
      <c r="G76" s="3121"/>
      <c r="H76" s="312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343</v>
      </c>
      <c r="D78" s="226">
        <f>'数据-取费表'!B43</f>
        <v>6.000000000000001E-3</v>
      </c>
      <c r="E78" s="3113" t="s">
        <v>2269</v>
      </c>
      <c r="F78" s="3114"/>
      <c r="G78" s="3114"/>
      <c r="H78" s="311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56827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165.67638483965015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33976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5" t="s">
        <v>2273</v>
      </c>
      <c r="B83" s="3126"/>
      <c r="C83" s="3126"/>
      <c r="D83" s="3126"/>
      <c r="E83" s="3126"/>
      <c r="F83" s="3126"/>
      <c r="G83" s="3126"/>
      <c r="H83" s="312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6" t="s">
        <v>2236</v>
      </c>
      <c r="B84" s="3117"/>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57170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343</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13" t="s">
        <v>2282</v>
      </c>
      <c r="F91" s="3114"/>
      <c r="G91" s="3114"/>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13" t="s">
        <v>2286</v>
      </c>
      <c r="F92" s="3114"/>
      <c r="G92" s="3114"/>
      <c r="H92" s="311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343</v>
      </c>
      <c r="D93" s="226">
        <f>'数据-取费表'!B43</f>
        <v>6.000000000000001E-3</v>
      </c>
      <c r="E93" s="3113" t="s">
        <v>2269</v>
      </c>
      <c r="F93" s="3114"/>
      <c r="G93" s="3114"/>
      <c r="H93" s="311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61" t="s">
        <v>2290</v>
      </c>
      <c r="F94" s="3162"/>
      <c r="G94" s="3162"/>
      <c r="H94" s="316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56827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165.67638483965015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33976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2291</v>
      </c>
      <c r="B99" s="2419"/>
      <c r="C99" s="2419"/>
      <c r="D99" s="2419"/>
      <c r="E99" s="2168"/>
      <c r="F99" s="2168"/>
      <c r="G99" s="2168"/>
      <c r="H99" s="2167"/>
      <c r="I99" s="138"/>
    </row>
    <row r="100" spans="1:35" ht="18.75" customHeight="1">
      <c r="A100" s="3065" t="s">
        <v>2292</v>
      </c>
      <c r="B100" s="3066"/>
      <c r="C100" s="3066"/>
      <c r="D100" s="3097"/>
      <c r="E100" s="3066" t="s">
        <v>2293</v>
      </c>
      <c r="F100" s="3066"/>
      <c r="G100" s="3066"/>
      <c r="H100" s="3097"/>
      <c r="I100" s="138"/>
    </row>
    <row r="101" spans="1:35" ht="18.75" customHeight="1">
      <c r="A101" s="3105" t="s">
        <v>2294</v>
      </c>
      <c r="B101" s="3106"/>
      <c r="C101" s="736" t="str">
        <f>C4</f>
        <v>收益法（汇总）</v>
      </c>
      <c r="D101" s="737" t="str">
        <f>D4</f>
        <v>比较法-工业</v>
      </c>
      <c r="E101" s="3077" t="s">
        <v>2295</v>
      </c>
      <c r="F101" s="3078"/>
      <c r="G101" s="2521" t="s">
        <v>2296</v>
      </c>
      <c r="H101" s="1048">
        <f ca="1">H118</f>
        <v>60028</v>
      </c>
      <c r="I101" s="138"/>
    </row>
    <row r="102" spans="1:35" ht="18.75" customHeight="1">
      <c r="A102" s="3107" t="s">
        <v>2297</v>
      </c>
      <c r="B102" s="2521" t="s">
        <v>2296</v>
      </c>
      <c r="C102" s="736">
        <f ca="1">C19</f>
        <v>42101</v>
      </c>
      <c r="D102" s="737">
        <f ca="1">D19</f>
        <v>67711</v>
      </c>
      <c r="E102" s="3077"/>
      <c r="F102" s="3078"/>
      <c r="G102" s="2521" t="s">
        <v>2298</v>
      </c>
      <c r="H102" s="371">
        <f ca="1">I118</f>
        <v>33280</v>
      </c>
      <c r="I102" s="138"/>
    </row>
    <row r="103" spans="1:35" ht="42.75" customHeight="1">
      <c r="A103" s="3107"/>
      <c r="B103" s="2521" t="s">
        <v>2298</v>
      </c>
      <c r="C103" s="738">
        <f ca="1">C20</f>
        <v>23341</v>
      </c>
      <c r="D103" s="739">
        <f ca="1">D20</f>
        <v>37539</v>
      </c>
      <c r="E103" s="3071" t="s">
        <v>2299</v>
      </c>
      <c r="F103" s="3072"/>
      <c r="G103" s="2522" t="s">
        <v>2300</v>
      </c>
      <c r="H103" s="1048">
        <f>IF(D36="正常操作",H104+H105+H106,H105+H106)</f>
        <v>0</v>
      </c>
      <c r="I103" s="138"/>
    </row>
    <row r="104" spans="1:35" ht="18.75" customHeight="1">
      <c r="A104" s="3107" t="s">
        <v>2301</v>
      </c>
      <c r="B104" s="2523" t="s">
        <v>2296</v>
      </c>
      <c r="C104" s="740">
        <f ca="1">H118</f>
        <v>60028</v>
      </c>
      <c r="D104" s="741"/>
      <c r="E104" s="2269" t="s">
        <v>2302</v>
      </c>
      <c r="F104" s="2260"/>
      <c r="G104" s="2522" t="s">
        <v>2300</v>
      </c>
      <c r="H104" s="1049">
        <f>IF(D36="同一抵押权人同一抵押物续贷",C36&amp;"（未扣减，详见特别提示）",C36)</f>
        <v>0</v>
      </c>
      <c r="I104" s="138"/>
    </row>
    <row r="105" spans="1:35" ht="18.75" customHeight="1" thickBot="1">
      <c r="A105" s="3119"/>
      <c r="B105" s="2524" t="s">
        <v>2298</v>
      </c>
      <c r="C105" s="742">
        <f ca="1">I118</f>
        <v>33280</v>
      </c>
      <c r="D105" s="743"/>
      <c r="E105" s="2269" t="s">
        <v>2303</v>
      </c>
      <c r="F105" s="2260"/>
      <c r="G105" s="2522" t="s">
        <v>2300</v>
      </c>
      <c r="H105" s="1049">
        <f>C37</f>
        <v>0</v>
      </c>
      <c r="I105" s="138"/>
    </row>
    <row r="106" spans="1:35" ht="18.75" customHeight="1">
      <c r="A106" s="2419" t="s">
        <v>2304</v>
      </c>
      <c r="B106" s="2419"/>
      <c r="C106" s="2419"/>
      <c r="D106" s="2419"/>
      <c r="E106" s="2525" t="s">
        <v>2305</v>
      </c>
      <c r="F106" s="2260"/>
      <c r="G106" s="2522" t="s">
        <v>2300</v>
      </c>
      <c r="H106" s="1049">
        <f>C38</f>
        <v>0</v>
      </c>
      <c r="I106" s="138"/>
    </row>
    <row r="107" spans="1:35" ht="18.75" customHeight="1">
      <c r="A107" s="138"/>
      <c r="B107" s="138"/>
      <c r="C107" s="138"/>
      <c r="D107" s="138"/>
      <c r="E107" s="3108" t="str">
        <f>IF(项目基本情况!E8="已注销","——","3.房地产抵押价值")</f>
        <v>——</v>
      </c>
      <c r="F107" s="3078"/>
      <c r="G107" s="2521" t="s">
        <v>2296</v>
      </c>
      <c r="H107" s="1048" t="str">
        <f>IF(E107="——","——",H101-H103)</f>
        <v>——</v>
      </c>
      <c r="I107" s="138"/>
    </row>
    <row r="108" spans="1:35" ht="18.75" customHeight="1">
      <c r="A108" s="138"/>
      <c r="B108" s="138"/>
      <c r="C108" s="138"/>
      <c r="D108" s="138"/>
      <c r="E108" s="3108"/>
      <c r="F108" s="3078"/>
      <c r="G108" s="2521" t="s">
        <v>2298</v>
      </c>
      <c r="H108" s="371" t="e">
        <f>ROUND(H107*10000/'数据-汇总表'!E3,0)</f>
        <v>#VALUE!</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3.抵押担保权已注销时的房地产抵押价值</v>
      </c>
      <c r="F109" s="3078"/>
      <c r="G109" s="2521" t="s">
        <v>2296</v>
      </c>
      <c r="H109" s="348">
        <f ca="1">IF(E109="——","——",H101-H105-H106)</f>
        <v>60028</v>
      </c>
      <c r="I109" s="138"/>
    </row>
    <row r="110" spans="1:35" ht="18.75" customHeight="1">
      <c r="A110" s="138"/>
      <c r="B110" s="138"/>
      <c r="C110" s="138"/>
      <c r="D110" s="138"/>
      <c r="E110" s="3108"/>
      <c r="F110" s="3078"/>
      <c r="G110" s="2521" t="s">
        <v>2298</v>
      </c>
      <c r="H110" s="371">
        <f ca="1">IF(H109="——","——",ROUND(H109*10000/'数据-汇总表'!E3,0))</f>
        <v>33280</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21" t="s">
        <v>2296</v>
      </c>
      <c r="H111" s="1048" t="str">
        <f>IF(E111="——","——",N59)</f>
        <v>——</v>
      </c>
      <c r="I111" s="138"/>
    </row>
    <row r="112" spans="1:35" ht="18.75" customHeight="1" thickBot="1">
      <c r="A112" s="138"/>
      <c r="B112" s="138"/>
      <c r="C112" s="138"/>
      <c r="D112" s="138"/>
      <c r="E112" s="3111"/>
      <c r="F112" s="3112"/>
      <c r="G112" s="2526" t="s">
        <v>2298</v>
      </c>
      <c r="H112" s="790" t="str">
        <f>IF(E111="——","——",N61)</f>
        <v>——</v>
      </c>
      <c r="I112" s="138"/>
    </row>
    <row r="113" spans="1:11" ht="18.75" customHeight="1">
      <c r="A113" s="138"/>
      <c r="B113" s="138"/>
      <c r="C113" s="138"/>
      <c r="D113" s="138"/>
      <c r="E113" s="3120" t="s">
        <v>2304</v>
      </c>
      <c r="F113" s="3120"/>
      <c r="G113" s="3120"/>
      <c r="H113" s="3120"/>
      <c r="I113" s="138"/>
    </row>
    <row r="114" spans="1:11" ht="3.75" customHeight="1">
      <c r="A114" s="2419"/>
      <c r="B114" s="2419"/>
      <c r="C114" s="2419"/>
      <c r="D114" s="2419"/>
      <c r="E114" s="2497"/>
      <c r="F114" s="2497"/>
      <c r="G114" s="2497"/>
      <c r="H114" s="2497"/>
      <c r="I114" s="2419"/>
    </row>
    <row r="115" spans="1:11" ht="18.75" customHeight="1">
      <c r="A115" s="3133" t="s">
        <v>2306</v>
      </c>
      <c r="B115" s="3134"/>
      <c r="C115" s="3134"/>
      <c r="D115" s="3134"/>
      <c r="E115" s="3134"/>
      <c r="F115" s="3134"/>
      <c r="G115" s="3134"/>
      <c r="H115" s="3134"/>
      <c r="I115" s="3135"/>
    </row>
    <row r="116" spans="1:11" ht="27" customHeight="1">
      <c r="A116" s="3044" t="s">
        <v>2307</v>
      </c>
      <c r="B116" s="3087" t="s">
        <v>2308</v>
      </c>
      <c r="C116" s="3087" t="s">
        <v>2309</v>
      </c>
      <c r="D116" s="3093" t="s">
        <v>2310</v>
      </c>
      <c r="E116" s="3094"/>
      <c r="F116" s="3129" t="s">
        <v>3129</v>
      </c>
      <c r="G116" s="3129"/>
      <c r="H116" s="3044" t="s">
        <v>2311</v>
      </c>
      <c r="I116" s="3044"/>
    </row>
    <row r="117" spans="1:11" ht="18.75" customHeight="1">
      <c r="A117" s="3044"/>
      <c r="B117" s="3088"/>
      <c r="C117" s="3088"/>
      <c r="D117" s="1798" t="s">
        <v>2312</v>
      </c>
      <c r="E117" s="1798" t="s">
        <v>2313</v>
      </c>
      <c r="F117" s="1798" t="s">
        <v>2312</v>
      </c>
      <c r="G117" s="1798" t="s">
        <v>2314</v>
      </c>
      <c r="H117" s="1798" t="s">
        <v>2312</v>
      </c>
      <c r="I117" s="1798" t="s">
        <v>2314</v>
      </c>
    </row>
    <row r="118" spans="1:11" ht="24.75" customHeight="1">
      <c r="A118" s="2527" t="str">
        <f>项目基本情况!S2</f>
        <v>北京市海淀区上地六街17号全部工业用房房地产</v>
      </c>
      <c r="B118" s="1798">
        <f>M18</f>
        <v>18037.400000000001</v>
      </c>
      <c r="C118" s="1798">
        <f>M19</f>
        <v>9282.25</v>
      </c>
      <c r="D118" s="1798">
        <f ca="1">ROUND(IF(D32="总价",C34,E118*B118/10000),0)</f>
        <v>53028</v>
      </c>
      <c r="E118" s="1798">
        <f ca="1">ROUND(IF(C33="自定义",IF(D32="楼面单价",C34,D118*10000/B118),I118-G118),0)</f>
        <v>29399</v>
      </c>
      <c r="F118" s="1798">
        <f ca="1">ROUND(IF(D32="总价",C35,G118*B118/10000),0)</f>
        <v>7000</v>
      </c>
      <c r="G118" s="1798">
        <f ca="1">ROUND(IF(D32="楼面单价",C35,F118*10000/B118),0)</f>
        <v>3881</v>
      </c>
      <c r="H118" s="1798">
        <f ca="1">ROUND(IF(D32="总价",C32,I118*B118/10000),0)</f>
        <v>60028</v>
      </c>
      <c r="I118" s="1798">
        <f ca="1">ROUND(IF(D32="楼面单价",C32,H118*10000/B118),0)</f>
        <v>33280</v>
      </c>
    </row>
    <row r="119" spans="1:11" ht="18.75" customHeight="1">
      <c r="A119" s="3044" t="s">
        <v>2315</v>
      </c>
      <c r="B119" s="3044"/>
      <c r="C119" s="3044"/>
      <c r="D119" s="3089" t="str">
        <f ca="1">NUMBERSTRING(INT(D118*10000),2)&amp;"元整"</f>
        <v>伍亿叁仟零贰拾捌万元整</v>
      </c>
      <c r="E119" s="3090"/>
      <c r="F119" s="3089" t="str">
        <f ca="1">NUMBERSTRING(INT(F118*10000),2)&amp;"元整"</f>
        <v>柒仟万元整</v>
      </c>
      <c r="G119" s="3090"/>
      <c r="H119" s="3089" t="str">
        <f ca="1">NUMBERSTRING(INT(H118*10000),2)&amp;"元整"</f>
        <v>陆亿零贰拾捌万元整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4" t="str">
        <f>IF(D120=0,"故，本次评估不存在"&amp;A120,"故，本次评估"&amp;A120&amp;"为人民币"&amp;D120&amp;"万元整。")</f>
        <v>故，本次评估不存在估价师知悉的法定优先受偿款</v>
      </c>
    </row>
    <row r="121" spans="1:11" ht="18.75" customHeight="1">
      <c r="A121" s="3130" t="s">
        <v>2315</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
      </c>
      <c r="B122" s="3095"/>
      <c r="C122" s="3095"/>
      <c r="D122" s="3084" t="str">
        <f>H107</f>
        <v>——</v>
      </c>
      <c r="E122" s="3085"/>
      <c r="F122" s="3085"/>
      <c r="G122" s="3085"/>
      <c r="H122" s="3085"/>
      <c r="I122" s="3086"/>
    </row>
    <row r="123" spans="1:11" ht="18.75" customHeight="1">
      <c r="A123" s="3044" t="s">
        <v>2315</v>
      </c>
      <c r="B123" s="3044"/>
      <c r="C123" s="3044"/>
      <c r="D123" s="3089" t="e">
        <f>NUMBERSTRING(INT(D122*10000),2)&amp;"元整"</f>
        <v>#VALUE!</v>
      </c>
      <c r="E123" s="3091"/>
      <c r="F123" s="3091"/>
      <c r="G123" s="3091"/>
      <c r="H123" s="3091"/>
      <c r="I123" s="3090"/>
    </row>
    <row r="124" spans="1:11" ht="18.75" customHeight="1">
      <c r="A124" s="3095" t="str">
        <f>IF(项目基本情况!B9="房地产市场价值","",MID(E109,3,LEN(E109)-2))</f>
        <v>抵押担保权已注销时的房地产抵押价值</v>
      </c>
      <c r="B124" s="3095"/>
      <c r="C124" s="3095"/>
      <c r="D124" s="3084">
        <f ca="1">H109</f>
        <v>60028</v>
      </c>
      <c r="E124" s="3085"/>
      <c r="F124" s="3085"/>
      <c r="G124" s="3085"/>
      <c r="H124" s="3085"/>
      <c r="I124" s="3086"/>
    </row>
    <row r="125" spans="1:11" ht="18.75" customHeight="1">
      <c r="A125" s="3044" t="s">
        <v>2315</v>
      </c>
      <c r="B125" s="3044"/>
      <c r="C125" s="3044"/>
      <c r="D125" s="3089" t="str">
        <f ca="1">NUMBERSTRING(INT(D124*10000),2)&amp;"元整"</f>
        <v>陆亿零贰拾捌万元整</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2315</v>
      </c>
      <c r="B127" s="3044"/>
      <c r="C127" s="3044"/>
      <c r="D127" s="3089" t="e">
        <f>NUMBERSTRING(INT(D126*10000),2)&amp;"元整"</f>
        <v>#VALUE!</v>
      </c>
      <c r="E127" s="3091"/>
      <c r="F127" s="3091"/>
      <c r="G127" s="3091"/>
      <c r="H127" s="3091"/>
      <c r="I127" s="3090"/>
    </row>
    <row r="128" spans="1:11" ht="21.75" customHeight="1">
      <c r="A128" s="3092" t="s">
        <v>2316</v>
      </c>
      <c r="B128" s="3092"/>
      <c r="C128" s="3092"/>
      <c r="D128" s="3092"/>
      <c r="E128" s="3092"/>
      <c r="F128" s="3092"/>
      <c r="G128" s="3092"/>
      <c r="H128" s="3092"/>
      <c r="I128" s="3092"/>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7995</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361</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361</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c r="H9" s="1393"/>
      <c r="I9" s="2555" t="s">
        <v>2342</v>
      </c>
    </row>
    <row r="10" spans="1:9" s="258" customFormat="1" ht="13.5" customHeight="1">
      <c r="A10" s="953" t="s">
        <v>801</v>
      </c>
      <c r="B10" s="268" t="s">
        <v>2343</v>
      </c>
      <c r="C10" s="269">
        <f ca="1">ROUND(D10*E10/10000,0)</f>
        <v>361</v>
      </c>
      <c r="D10" s="1035">
        <f ca="1">IF(B1="",'数据-汇总表'!E6,IF(INDIRECT("'数据-取费表'!c"&amp;$G$1)="住宅",INDIRECT("'数据-取费表'!s"&amp;$G$1),INDIRECT("'数据-取费表'!k"&amp;$G$1)+INDIRECT("'数据-取费表'!s"&amp;$G$1)))</f>
        <v>18037.400000000001</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361</v>
      </c>
      <c r="D19" s="1039">
        <f ca="1">D9+D10</f>
        <v>18037.400000000001</v>
      </c>
      <c r="E19" s="255">
        <f>'数据-取费表'!B31</f>
        <v>200</v>
      </c>
      <c r="F19" s="275"/>
      <c r="G19" s="2553"/>
    </row>
    <row r="20" spans="1:7" s="258" customFormat="1" ht="13.5" customHeight="1">
      <c r="A20" s="299" t="s">
        <v>2356</v>
      </c>
      <c r="B20" s="254" t="s">
        <v>2357</v>
      </c>
      <c r="C20" s="276">
        <f ca="1">ROUND((C5+C19)*F20,0)</f>
        <v>14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71</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35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35</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110</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110</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994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6958</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6313</v>
      </c>
      <c r="D34" s="261"/>
      <c r="E34" s="264"/>
      <c r="F34" s="301">
        <f ca="1">IF('数据-取费表'!B24=0,1,IF(B1="",'数据-取费表'!N16,INDIRECT("'数据-取费表'!n"&amp;$G$1)))</f>
        <v>1</v>
      </c>
      <c r="G34" s="263" t="s">
        <v>2389</v>
      </c>
    </row>
    <row r="35" spans="1:7" ht="13.5" customHeight="1">
      <c r="A35" s="954" t="s">
        <v>796</v>
      </c>
      <c r="B35" s="259" t="s">
        <v>2390</v>
      </c>
      <c r="C35" s="264">
        <f ca="1">ROUND(C34*F35,0)</f>
        <v>189</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361</v>
      </c>
      <c r="D37" s="261">
        <f ca="1">D19</f>
        <v>18037.400000000001</v>
      </c>
      <c r="E37" s="293">
        <f>'数据-取费表'!B35</f>
        <v>200</v>
      </c>
      <c r="F37" s="303"/>
      <c r="G37" s="305" t="s">
        <v>2395</v>
      </c>
    </row>
    <row r="38" spans="1:7" ht="13.5" customHeight="1">
      <c r="A38" s="954" t="s">
        <v>799</v>
      </c>
      <c r="B38" s="259" t="s">
        <v>2396</v>
      </c>
      <c r="C38" s="264">
        <f ca="1">ROUND(C34*F38,0)</f>
        <v>95</v>
      </c>
      <c r="D38" s="264"/>
      <c r="E38" s="264"/>
      <c r="F38" s="303">
        <f>'数据-取费表'!B36</f>
        <v>1.4999999999999999E-2</v>
      </c>
      <c r="G38" s="263" t="s">
        <v>2391</v>
      </c>
    </row>
    <row r="39" spans="1:7" s="258" customFormat="1" ht="13.5" customHeight="1">
      <c r="A39" s="299" t="s">
        <v>2397</v>
      </c>
      <c r="B39" s="254" t="s">
        <v>2398</v>
      </c>
      <c r="C39" s="276">
        <f ca="1">ROUND(C33*F20,0)</f>
        <v>139</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338</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331</v>
      </c>
      <c r="D42" s="282"/>
      <c r="E42" s="282"/>
      <c r="F42" s="283"/>
      <c r="G42" s="3164" t="s">
        <v>2407</v>
      </c>
    </row>
    <row r="43" spans="1:7" ht="13.5" customHeight="1">
      <c r="A43" s="954" t="s">
        <v>792</v>
      </c>
      <c r="B43" s="259" t="s">
        <v>2408</v>
      </c>
      <c r="C43" s="282">
        <f ca="1">ROUND(IF('数据-取费表'!B22&lt;=1,C39*F22*'数据-取费表'!B21/2,C39*(POWER((1+F22),'数据-取费表'!B21/2)-1)),0)</f>
        <v>7</v>
      </c>
      <c r="D43" s="282"/>
      <c r="E43" s="282"/>
      <c r="F43" s="283"/>
      <c r="G43" s="3165"/>
    </row>
    <row r="44" spans="1:7" ht="13.5" customHeight="1">
      <c r="A44" s="954" t="s">
        <v>793</v>
      </c>
      <c r="B44" s="259" t="s">
        <v>2409</v>
      </c>
      <c r="C44" s="282">
        <f ca="1">ROUND(IF('数据-取费表'!B22&lt;=1,C40*F22*'数据-取费表'!B21/2,C40*(POWER((1+F22),'数据-取费表'!B21/2)-1)),4)</f>
        <v>1E-3</v>
      </c>
      <c r="D44" s="282"/>
      <c r="E44" s="282"/>
      <c r="F44" s="283"/>
      <c r="G44" s="3166"/>
    </row>
    <row r="45" spans="1:7" s="258" customFormat="1" ht="13.5" customHeight="1">
      <c r="A45" s="299" t="s">
        <v>2410</v>
      </c>
      <c r="B45" s="288" t="s">
        <v>2376</v>
      </c>
      <c r="C45" s="289">
        <f ca="1">C46</f>
        <v>1065</v>
      </c>
      <c r="D45" s="279">
        <f ca="1">C47</f>
        <v>3.0000000000000001E-3</v>
      </c>
      <c r="E45" s="280" t="s">
        <v>2402</v>
      </c>
      <c r="F45" s="290"/>
      <c r="G45" s="291" t="s">
        <v>2411</v>
      </c>
    </row>
    <row r="46" spans="1:7" s="258" customFormat="1" ht="13.5" customHeight="1">
      <c r="A46" s="954" t="s">
        <v>791</v>
      </c>
      <c r="B46" s="292" t="s">
        <v>2412</v>
      </c>
      <c r="C46" s="293">
        <f ca="1">ROUND((C33+C39)*F27,0)</f>
        <v>1065</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9212</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7001</v>
      </c>
      <c r="D51" s="276"/>
      <c r="E51" s="276"/>
      <c r="F51" s="308"/>
      <c r="G51" s="278" t="s">
        <v>2423</v>
      </c>
    </row>
    <row r="52" spans="1:7" s="252" customFormat="1" ht="16.5" thickBot="1">
      <c r="A52" s="309" t="s">
        <v>2424</v>
      </c>
      <c r="B52" s="310"/>
      <c r="C52" s="311">
        <f ca="1">C31+C51</f>
        <v>7995</v>
      </c>
      <c r="D52" s="310"/>
      <c r="E52" s="310"/>
      <c r="F52" s="310"/>
      <c r="G52" s="312"/>
    </row>
    <row r="55" spans="1:7" ht="15">
      <c r="B55" s="314" t="s">
        <v>2425</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北京市海淀区上地六街17号全部工业用房房地产抵押价值预评估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t="str">
        <f>项目基本情况!B5</f>
        <v>康得投资集团有限公司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康正预评字2018-1-0664-P01DYGJ1号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7994</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4432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3607480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3607480</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3607480</v>
      </c>
      <c r="D10" s="1035">
        <f ca="1">IF(B1="",'数据-汇总表'!E6,IF(INDIRECT("'数据-取费表'!c"&amp;$G$1)="住宅",INDIRECT("'数据-取费表'!s"&amp;$G$1),INDIRECT("'数据-取费表'!k"&amp;$G$1)+INDIRECT("'数据-取费表'!s"&amp;$G$1)))</f>
        <v>18037.400000000001</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3607480</v>
      </c>
      <c r="D19" s="1039">
        <f ca="1">D9+D10</f>
        <v>18037.400000000001</v>
      </c>
      <c r="E19" s="255">
        <f>'数据-取费表'!B31</f>
        <v>200</v>
      </c>
      <c r="F19" s="275"/>
      <c r="G19" s="2553"/>
    </row>
    <row r="20" spans="1:7" s="258" customFormat="1" ht="13.5" customHeight="1">
      <c r="A20" s="299" t="s">
        <v>2437</v>
      </c>
      <c r="B20" s="254" t="s">
        <v>2438</v>
      </c>
      <c r="C20" s="276">
        <f ca="1">ROUND((C5+C19)*F20,0)</f>
        <v>144299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708554</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350850</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350850</v>
      </c>
      <c r="D24" s="282"/>
      <c r="E24" s="282"/>
      <c r="F24" s="283"/>
      <c r="G24" s="284" t="s">
        <v>2449</v>
      </c>
    </row>
    <row r="25" spans="1:7" s="258" customFormat="1" ht="24">
      <c r="A25" s="954" t="s">
        <v>2339</v>
      </c>
      <c r="B25" s="259" t="s">
        <v>2450</v>
      </c>
      <c r="C25" s="1384">
        <f ca="1">ROUND(IF('数据-取费表'!B22&lt;=1,C20*F22*'数据-取费表'!B22/2,C20*(POWER((1+F22),'数据-取费表'!B22/2)-1)),0)</f>
        <v>6854</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1103889</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1103889</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9940069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69579271</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63130900</v>
      </c>
      <c r="D34" s="261"/>
      <c r="E34" s="264"/>
      <c r="F34" s="301"/>
      <c r="G34" s="263"/>
    </row>
    <row r="35" spans="1:7" ht="13.5" customHeight="1">
      <c r="A35" s="954" t="s">
        <v>796</v>
      </c>
      <c r="B35" s="259" t="s">
        <v>2390</v>
      </c>
      <c r="C35" s="264">
        <f ca="1">ROUND(C34*F35,0)</f>
        <v>1893927</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3607480</v>
      </c>
      <c r="D37" s="261">
        <f ca="1">D19</f>
        <v>18037.400000000001</v>
      </c>
      <c r="E37" s="293">
        <f>'数据-取费表'!B35</f>
        <v>200</v>
      </c>
      <c r="F37" s="303"/>
      <c r="G37" s="305"/>
    </row>
    <row r="38" spans="1:7" ht="13.5" customHeight="1">
      <c r="A38" s="954" t="s">
        <v>799</v>
      </c>
      <c r="B38" s="259" t="s">
        <v>2396</v>
      </c>
      <c r="C38" s="264">
        <f ca="1">ROUND(C34*F38,0)</f>
        <v>946964</v>
      </c>
      <c r="D38" s="264"/>
      <c r="E38" s="264"/>
      <c r="F38" s="303">
        <f>'数据-取费表'!B36</f>
        <v>1.4999999999999999E-2</v>
      </c>
      <c r="G38" s="263" t="s">
        <v>2391</v>
      </c>
    </row>
    <row r="39" spans="1:7" s="258" customFormat="1" ht="13.5" customHeight="1">
      <c r="A39" s="299" t="s">
        <v>2397</v>
      </c>
      <c r="B39" s="254" t="s">
        <v>2398</v>
      </c>
      <c r="C39" s="276">
        <f ca="1">ROUND(C33*F20,0)</f>
        <v>1391585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3371115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3305015</v>
      </c>
      <c r="D42" s="282"/>
      <c r="E42" s="282"/>
      <c r="F42" s="283"/>
      <c r="G42" s="3164" t="s">
        <v>2454</v>
      </c>
    </row>
    <row r="43" spans="1:7" ht="13.5" customHeight="1">
      <c r="A43" s="954" t="s">
        <v>792</v>
      </c>
      <c r="B43" s="259" t="s">
        <v>2408</v>
      </c>
      <c r="C43" s="282">
        <f ca="1">ROUND(IF('数据-取费表'!B22&lt;=1,C39*F22*'数据-取费表'!B20/2,C39*(POWER((1+F22),'数据-取费表'!B20/2)-1)),0)</f>
        <v>66100</v>
      </c>
      <c r="D43" s="282"/>
      <c r="E43" s="282"/>
      <c r="F43" s="283"/>
      <c r="G43" s="3165"/>
    </row>
    <row r="44" spans="1:7" ht="13.5" customHeight="1">
      <c r="A44" s="954" t="s">
        <v>793</v>
      </c>
      <c r="B44" s="259" t="s">
        <v>2409</v>
      </c>
      <c r="C44" s="282">
        <f ca="1">ROUND(IF('数据-取费表'!B22&lt;=1,C40*F22*'数据-取费表'!B20/2,C40*(POWER((1+F22),'数据-取费表'!B20/2)-1)),4)</f>
        <v>1E-3</v>
      </c>
      <c r="D44" s="282"/>
      <c r="E44" s="282"/>
      <c r="F44" s="283"/>
      <c r="G44" s="3166"/>
    </row>
    <row r="45" spans="1:7" s="258" customFormat="1" ht="13.5" customHeight="1">
      <c r="A45" s="299" t="s">
        <v>2410</v>
      </c>
      <c r="B45" s="288" t="s">
        <v>2376</v>
      </c>
      <c r="C45" s="289">
        <f ca="1">C46</f>
        <v>10645628</v>
      </c>
      <c r="D45" s="279">
        <f ca="1">C47</f>
        <v>3.0000000000000001E-3</v>
      </c>
      <c r="E45" s="280" t="s">
        <v>2402</v>
      </c>
      <c r="F45" s="290"/>
      <c r="G45" s="291" t="s">
        <v>2411</v>
      </c>
    </row>
    <row r="46" spans="1:7" s="258" customFormat="1" ht="13.5" customHeight="1">
      <c r="A46" s="954" t="s">
        <v>791</v>
      </c>
      <c r="B46" s="292" t="s">
        <v>2412</v>
      </c>
      <c r="C46" s="293">
        <f ca="1">ROUND((C33+C39)*F27,0)</f>
        <v>10645628</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92107509</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70001707</v>
      </c>
      <c r="D51" s="276"/>
      <c r="E51" s="276"/>
      <c r="F51" s="308"/>
      <c r="G51" s="278" t="s">
        <v>2423</v>
      </c>
    </row>
    <row r="52" spans="1:7" s="252" customFormat="1" ht="16.5" thickBot="1">
      <c r="A52" s="309" t="s">
        <v>2424</v>
      </c>
      <c r="B52" s="310"/>
      <c r="C52" s="311">
        <f ca="1">C31+C51</f>
        <v>79941776</v>
      </c>
      <c r="D52" s="310"/>
      <c r="E52" s="310"/>
      <c r="F52" s="310"/>
      <c r="G52" s="312"/>
    </row>
    <row r="55" spans="1:7" ht="15">
      <c r="B55" s="314" t="s">
        <v>2425</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18037.400000000001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18037.400000000001</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361</v>
      </c>
      <c r="D20" s="1036">
        <f ca="1">IF(C1="",'数据-汇总表'!E6,IF(INDIRECT("'数据-取费表'!c"&amp;$K$1)="住宅",INDIRECT("'数据-取费表'!s"&amp;$K$1),INDIRECT("'数据-取费表'!k"&amp;$K$1)+INDIRECT("'数据-取费表'!s"&amp;$K$1)))</f>
        <v>18037.400000000001</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2" sqref="D1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3119</v>
      </c>
      <c r="D1" s="1823" t="s">
        <v>70</v>
      </c>
      <c r="E1" s="1824" t="s">
        <v>1387</v>
      </c>
      <c r="F1" s="1286">
        <f ca="1">J53</f>
        <v>29.98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10783</v>
      </c>
      <c r="C2" s="1848" t="s">
        <v>1516</v>
      </c>
      <c r="D2" s="1848"/>
      <c r="E2" s="1849"/>
      <c r="F2" s="1850"/>
      <c r="G2" s="1851"/>
      <c r="H2" s="1843"/>
      <c r="I2" s="1843"/>
      <c r="J2" s="1843"/>
      <c r="K2" s="1844"/>
      <c r="L2" s="1843"/>
      <c r="M2" s="1843"/>
    </row>
    <row r="3" spans="1:37" ht="18" customHeight="1" thickBot="1">
      <c r="A3" s="1852" t="s">
        <v>1517</v>
      </c>
      <c r="B3" s="1853">
        <f ca="1">IF(ISERROR(B2*10000/F43),0,ROUND(B2*10000/F43,0))</f>
        <v>20950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676</v>
      </c>
      <c r="D5" s="1825" t="s">
        <v>1402</v>
      </c>
      <c r="E5" s="1296"/>
      <c r="F5" s="1297"/>
      <c r="G5" s="1854"/>
      <c r="H5" s="344">
        <v>1</v>
      </c>
      <c r="I5" s="345" t="s">
        <v>1401</v>
      </c>
      <c r="J5" s="1295">
        <f ca="1">J6+J10+J12</f>
        <v>1117</v>
      </c>
      <c r="K5" s="1825" t="s">
        <v>1402</v>
      </c>
      <c r="L5" s="1296"/>
      <c r="M5" s="1297"/>
    </row>
    <row r="6" spans="1:37" ht="18" customHeight="1">
      <c r="A6" s="1294" t="s">
        <v>1035</v>
      </c>
      <c r="B6" s="3167" t="s">
        <v>1403</v>
      </c>
      <c r="C6" s="1299">
        <f ca="1">ROUND(F6*F8*F7*(1-F9)/10000,0)</f>
        <v>676</v>
      </c>
      <c r="D6" s="164" t="s">
        <v>3032</v>
      </c>
      <c r="E6" s="347" t="s">
        <v>1405</v>
      </c>
      <c r="F6" s="348">
        <f ca="1">INDIRECT("'数据-取费表'!u"&amp;$G$1)</f>
        <v>3.6</v>
      </c>
      <c r="G6" s="1854"/>
      <c r="H6" s="1294" t="s">
        <v>1035</v>
      </c>
      <c r="I6" s="3167" t="s">
        <v>1403</v>
      </c>
      <c r="J6" s="346">
        <f ca="1">ROUND(M6*M8*M7*(1-M9)/10000,0)</f>
        <v>1116</v>
      </c>
      <c r="K6" s="164" t="s">
        <v>3031</v>
      </c>
      <c r="L6" s="347" t="s">
        <v>1405</v>
      </c>
      <c r="M6" s="348">
        <f ca="1">INDIRECT("'数据-取费表'!z"&amp;$G$1)</f>
        <v>6.6</v>
      </c>
    </row>
    <row r="7" spans="1:37" ht="18" customHeight="1">
      <c r="A7" s="1298"/>
      <c r="B7" s="3168"/>
      <c r="C7" s="1300"/>
      <c r="D7" s="352"/>
      <c r="E7" s="2953" t="s">
        <v>1406</v>
      </c>
      <c r="F7" s="348">
        <f ca="1">IF(INDIRECT("'数据-取费表'!ah"&amp;$G$1)="",INDIRECT("'数据-取费表'!k"&amp;$G$1),INDIRECT("'数据-取费表'!ah"&amp;$G$1))</f>
        <v>5147</v>
      </c>
      <c r="G7" s="1854"/>
      <c r="H7" s="349"/>
      <c r="I7" s="3168"/>
      <c r="J7" s="351"/>
      <c r="K7" s="352"/>
      <c r="L7" s="347" t="s">
        <v>1406</v>
      </c>
      <c r="M7" s="348">
        <f ca="1">F7</f>
        <v>5147</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3040</v>
      </c>
      <c r="E10" s="358" t="s">
        <v>1410</v>
      </c>
      <c r="F10" s="1369" t="s">
        <v>3134</v>
      </c>
      <c r="G10" s="1854"/>
      <c r="H10" s="1294" t="s">
        <v>1039</v>
      </c>
      <c r="I10" s="1826" t="s">
        <v>1409</v>
      </c>
      <c r="J10" s="346">
        <f ca="1">ROUND(IF(M10="押一",J6/12*M11,IF(M10="押二",J6/12*2*M11,IF(M10="押三",J6/12*3*M11,J11*M11))),0)</f>
        <v>1</v>
      </c>
      <c r="K10" s="1827" t="s">
        <v>3040</v>
      </c>
      <c r="L10" s="358" t="s">
        <v>1410</v>
      </c>
      <c r="M10" s="1369" t="s">
        <v>3071</v>
      </c>
    </row>
    <row r="11" spans="1:37" ht="18" customHeight="1">
      <c r="A11" s="353"/>
      <c r="B11" s="1828" t="s">
        <v>1388</v>
      </c>
      <c r="C11" s="1181">
        <f>69879.26/10000</f>
        <v>6.9879259999999999</v>
      </c>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1997</v>
      </c>
      <c r="D13" s="1334" t="s">
        <v>1415</v>
      </c>
      <c r="E13" s="1334" t="s">
        <v>1416</v>
      </c>
      <c r="F13" s="1335">
        <f ca="1">INDIRECT("'数据-取费表'!y"&amp;$G$1)</f>
        <v>0.76</v>
      </c>
      <c r="G13" s="1854"/>
      <c r="H13" s="1332">
        <v>2</v>
      </c>
      <c r="I13" s="1333" t="s">
        <v>1414</v>
      </c>
      <c r="J13" s="1293">
        <f ca="1">ROUND(J14*J15,0)</f>
        <v>1682</v>
      </c>
      <c r="K13" s="1340" t="s">
        <v>1415</v>
      </c>
      <c r="L13" s="1855"/>
      <c r="M13" s="1856"/>
    </row>
    <row r="14" spans="1:37" ht="18" customHeight="1">
      <c r="A14" s="1204" t="s">
        <v>1034</v>
      </c>
      <c r="B14" s="347" t="s">
        <v>1417</v>
      </c>
      <c r="C14" s="363">
        <f ca="1">INDIRECT("'数据-取费表'!m"&amp;$G$1)+INDIRECT("'数据-取费表'!t"&amp;$G$1)</f>
        <v>1801</v>
      </c>
      <c r="D14" s="2947" t="s">
        <v>1418</v>
      </c>
      <c r="E14" s="2945"/>
      <c r="F14" s="364"/>
      <c r="G14" s="1854"/>
      <c r="H14" s="1204" t="s">
        <v>1035</v>
      </c>
      <c r="I14" s="347" t="s">
        <v>1419</v>
      </c>
      <c r="J14" s="24">
        <f ca="1">C29</f>
        <v>2628</v>
      </c>
      <c r="K14" s="2952"/>
      <c r="L14" s="982"/>
      <c r="M14" s="983"/>
    </row>
    <row r="15" spans="1:37" s="1861" customFormat="1" ht="18" customHeight="1" thickBot="1">
      <c r="A15" s="1204" t="s">
        <v>1036</v>
      </c>
      <c r="B15" s="347" t="s">
        <v>1420</v>
      </c>
      <c r="C15" s="24">
        <f ca="1">ROUND(C14*F15,0)</f>
        <v>54</v>
      </c>
      <c r="D15" s="365" t="s">
        <v>1421</v>
      </c>
      <c r="E15" s="365" t="s">
        <v>1422</v>
      </c>
      <c r="F15" s="366">
        <f>'数据-取费表'!B33</f>
        <v>0.03</v>
      </c>
      <c r="G15" s="1857"/>
      <c r="H15" s="1342" t="s">
        <v>1039</v>
      </c>
      <c r="I15" s="1343" t="s">
        <v>1416</v>
      </c>
      <c r="J15" s="1352">
        <f ca="1">INDIRECT("'数据-取费表'!ad"&amp;$G$1)</f>
        <v>0.64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248</v>
      </c>
      <c r="K16" s="1340" t="s">
        <v>1425</v>
      </c>
      <c r="L16" s="2948"/>
      <c r="M16" s="1297"/>
    </row>
    <row r="17" spans="1:37" s="1861" customFormat="1" ht="18" customHeight="1">
      <c r="A17" s="1204" t="s">
        <v>1390</v>
      </c>
      <c r="B17" s="347" t="s">
        <v>1426</v>
      </c>
      <c r="C17" s="24">
        <f ca="1">ROUND(F17*(F43+INDIRECT("'数据-取费表'!S"&amp;$G$1))/10000,0)</f>
        <v>103</v>
      </c>
      <c r="D17" s="347" t="s">
        <v>1427</v>
      </c>
      <c r="E17" s="347" t="s">
        <v>1428</v>
      </c>
      <c r="F17" s="26">
        <f>'数据-取费表'!B35</f>
        <v>200</v>
      </c>
      <c r="G17" s="1857"/>
      <c r="H17" s="1204" t="s">
        <v>1035</v>
      </c>
      <c r="I17" s="347" t="s">
        <v>1429</v>
      </c>
      <c r="J17" s="24">
        <f ca="1">ROUND(IF(项目基本情况!B11="自然人",J5*M17,J18+J19+J20),1)</f>
        <v>194.4</v>
      </c>
      <c r="K17" s="2947" t="s">
        <v>1430</v>
      </c>
      <c r="L17" s="294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v>
      </c>
      <c r="D18" s="347" t="s">
        <v>1421</v>
      </c>
      <c r="E18" s="347" t="s">
        <v>1422</v>
      </c>
      <c r="F18" s="367">
        <f>'数据-取费表'!B36</f>
        <v>1.4999999999999999E-2</v>
      </c>
      <c r="G18" s="1857"/>
      <c r="H18" s="1204" t="s">
        <v>1034</v>
      </c>
      <c r="I18" s="347" t="s">
        <v>1433</v>
      </c>
      <c r="J18" s="24">
        <f ca="1">ROUND(J5*M18/(1+'数据-取费表'!C42),2)</f>
        <v>59.57</v>
      </c>
      <c r="K18" s="294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1985</v>
      </c>
      <c r="D19" s="140" t="s">
        <v>1436</v>
      </c>
      <c r="E19" s="2951"/>
      <c r="F19" s="26"/>
      <c r="G19" s="1854"/>
      <c r="H19" s="1204" t="s">
        <v>1036</v>
      </c>
      <c r="I19" s="347" t="s">
        <v>1437</v>
      </c>
      <c r="J19" s="24">
        <f ca="1">IF(K19="按租金收入计税",ROUND(J5*M19,2),ROUND(C29*M19*0.7,2))</f>
        <v>134.04</v>
      </c>
      <c r="K19" s="1831" t="s">
        <v>3074</v>
      </c>
      <c r="L19" s="347" t="s">
        <v>1422</v>
      </c>
      <c r="M19" s="367">
        <f>IF(K19="按租金收入计税",'数据-取费表'!B51,'数据-取费表'!B50)</f>
        <v>0.12</v>
      </c>
    </row>
    <row r="20" spans="1:37" s="1861" customFormat="1" ht="18" customHeight="1">
      <c r="A20" s="1204" t="s">
        <v>1039</v>
      </c>
      <c r="B20" s="347" t="s">
        <v>1439</v>
      </c>
      <c r="C20" s="24">
        <f ca="1">ROUND(C19*F20,0)</f>
        <v>40</v>
      </c>
      <c r="D20" s="369" t="s">
        <v>1440</v>
      </c>
      <c r="E20" s="347" t="s">
        <v>1422</v>
      </c>
      <c r="F20" s="367">
        <f>'数据-取费表'!B37</f>
        <v>0.02</v>
      </c>
      <c r="G20" s="1857"/>
      <c r="H20" s="1204" t="s">
        <v>1389</v>
      </c>
      <c r="I20" s="164" t="s">
        <v>1441</v>
      </c>
      <c r="J20" s="25">
        <f ca="1">ROUND(M20*M21/10000,2)</f>
        <v>0.79</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2648.7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1"/>
      <c r="F22" s="26"/>
      <c r="G22" s="1854"/>
      <c r="H22" s="1204" t="s">
        <v>1039</v>
      </c>
      <c r="I22" s="347" t="s">
        <v>1449</v>
      </c>
      <c r="J22" s="24">
        <f ca="1">ROUND(J14*M22,1)</f>
        <v>39.4</v>
      </c>
      <c r="K22" s="294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2.5</v>
      </c>
      <c r="K23" s="2946"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11.2</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1"/>
      <c r="F25" s="26"/>
      <c r="G25" s="1854"/>
      <c r="H25" s="1332" t="s">
        <v>1031</v>
      </c>
      <c r="I25" s="1347" t="s">
        <v>1463</v>
      </c>
      <c r="J25" s="355">
        <f ca="1">J5-J16</f>
        <v>869</v>
      </c>
      <c r="K25" s="1348" t="s">
        <v>1464</v>
      </c>
      <c r="L25" s="1349"/>
      <c r="M25" s="1350"/>
    </row>
    <row r="26" spans="1:37">
      <c r="A26" s="1204" t="s">
        <v>1034</v>
      </c>
      <c r="B26" s="347" t="s">
        <v>1465</v>
      </c>
      <c r="C26" s="24">
        <f ca="1">ROUND((C19+C20)*F26,0)</f>
        <v>304</v>
      </c>
      <c r="D26" s="369" t="s">
        <v>1466</v>
      </c>
      <c r="E26" s="358" t="s">
        <v>1467</v>
      </c>
      <c r="F26" s="357">
        <f ca="1">INDIRECT("'数据-取费表'!q"&amp;$G$1)</f>
        <v>0.15</v>
      </c>
      <c r="G26" s="1854"/>
      <c r="H26" s="344" t="s">
        <v>1032</v>
      </c>
      <c r="I26" s="345" t="s">
        <v>1468</v>
      </c>
      <c r="J26" s="346">
        <f ca="1">IF(J5&lt;&gt;0,ROUND(J25*(1-((1+M28)/(1+M26))^M27)/(M26-M28),0),0)</f>
        <v>12058</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18.66</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2628</v>
      </c>
      <c r="D29" s="1345"/>
      <c r="E29" s="1343"/>
      <c r="F29" s="1346"/>
      <c r="G29" s="1857"/>
      <c r="H29" s="380" t="s">
        <v>1033</v>
      </c>
      <c r="I29" s="381" t="s">
        <v>1479</v>
      </c>
      <c r="J29" s="382">
        <f ca="1">ROUND(J26/(1+F40)^F41,0)</f>
        <v>6577</v>
      </c>
      <c r="K29" s="383" t="s">
        <v>1480</v>
      </c>
      <c r="L29" s="384"/>
      <c r="M29" s="385">
        <f ca="1">INDIRECT("'数据-取费表'!k"&amp;$G$1)</f>
        <v>5147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48"/>
      <c r="F30" s="1297"/>
      <c r="G30" s="1854"/>
      <c r="H30" s="745"/>
      <c r="I30" s="746"/>
      <c r="J30" s="747"/>
      <c r="K30" s="748"/>
      <c r="L30" s="749"/>
      <c r="M30" s="750"/>
    </row>
    <row r="31" spans="1:37" ht="18" customHeight="1">
      <c r="A31" s="1204" t="s">
        <v>1035</v>
      </c>
      <c r="B31" s="347" t="s">
        <v>1429</v>
      </c>
      <c r="C31" s="24">
        <f ca="1">ROUND(IF(项目基本情况!B11="自然人",C5*F31,C32+C33+C34),1)</f>
        <v>118</v>
      </c>
      <c r="D31" s="2947" t="s">
        <v>1430</v>
      </c>
      <c r="E31" s="294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36.049999999999997</v>
      </c>
      <c r="D32" s="294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81.12</v>
      </c>
      <c r="D33" s="1831" t="s">
        <v>3074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0.79</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2648.7</v>
      </c>
      <c r="G35" s="1854"/>
      <c r="H35" s="745"/>
      <c r="I35" s="1863"/>
      <c r="J35" s="1864"/>
      <c r="K35" s="1865"/>
      <c r="L35" s="1862"/>
      <c r="M35" s="1862"/>
    </row>
    <row r="36" spans="1:18" ht="18" customHeight="1">
      <c r="A36" s="1355" t="s">
        <v>1039</v>
      </c>
      <c r="B36" s="347" t="s">
        <v>1449</v>
      </c>
      <c r="C36" s="24">
        <f ca="1">ROUND(C29*F36,1)</f>
        <v>39.4</v>
      </c>
      <c r="D36" s="294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v>
      </c>
      <c r="D37" s="2946"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6.8</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509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4206</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11.32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8172</v>
      </c>
      <c r="D43" s="383" t="s">
        <v>1488</v>
      </c>
      <c r="E43" s="384" t="s">
        <v>1489</v>
      </c>
      <c r="F43" s="385">
        <f ca="1">INDIRECT("'数据-取费表'!k"&amp;$G$1)</f>
        <v>5147</v>
      </c>
      <c r="G43" s="1854"/>
      <c r="H43" s="732"/>
      <c r="I43" s="732"/>
      <c r="J43" s="732"/>
      <c r="K43" s="751"/>
      <c r="L43" s="732"/>
      <c r="M43" s="732"/>
    </row>
    <row r="44" spans="1:18" s="1845" customFormat="1" ht="18" customHeight="1">
      <c r="A44" s="1869"/>
      <c r="B44" s="1869"/>
      <c r="C44" s="1870"/>
      <c r="D44" s="1869"/>
      <c r="E44" s="1869">
        <f ca="1">C13+J13+'收益法-自用'!C13</f>
        <v>8682</v>
      </c>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-6388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10783</v>
      </c>
      <c r="R47" s="1889" t="s">
        <v>1529</v>
      </c>
    </row>
    <row r="48" spans="1:18" s="1845" customFormat="1" ht="28.5" thickBot="1">
      <c r="A48" s="1363" t="s">
        <v>1135</v>
      </c>
      <c r="B48" s="345" t="s">
        <v>1401</v>
      </c>
      <c r="C48" s="2950">
        <f ca="1">C49+C53+C55</f>
        <v>0</v>
      </c>
      <c r="D48" s="1365"/>
      <c r="E48" s="1366"/>
      <c r="F48" s="1184"/>
      <c r="G48" s="792"/>
      <c r="H48" s="793"/>
      <c r="I48" s="1890" t="s">
        <v>1530</v>
      </c>
      <c r="J48" s="1891" t="s">
        <v>3073</v>
      </c>
      <c r="K48" s="1892" t="s">
        <v>1531</v>
      </c>
      <c r="L48" s="1893">
        <f ca="1">INDIRECT("'数据-取费表'!f"&amp;$G$1)</f>
        <v>29.98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2628</v>
      </c>
      <c r="R49" s="1889" t="s">
        <v>1529</v>
      </c>
    </row>
    <row r="50" spans="1:18" s="1845" customFormat="1" ht="13.5" thickBot="1">
      <c r="A50" s="1198"/>
      <c r="B50" s="1201"/>
      <c r="C50" s="1371"/>
      <c r="D50" s="1175"/>
      <c r="E50" s="1280" t="s">
        <v>1406</v>
      </c>
      <c r="F50" s="1281">
        <f ca="1">F7</f>
        <v>5147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5367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29.98</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29.98</v>
      </c>
      <c r="K53" s="3170" t="s">
        <v>1548</v>
      </c>
      <c r="L53" s="3171"/>
      <c r="O53" s="1887" t="s">
        <v>1046</v>
      </c>
      <c r="P53" s="1888" t="s">
        <v>1549</v>
      </c>
      <c r="Q53" s="1889">
        <f ca="1">Q47+Q48</f>
        <v>10783</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1997</v>
      </c>
      <c r="D56" s="1917"/>
      <c r="E56" s="1918"/>
      <c r="F56" s="1910"/>
      <c r="I56" s="1919" t="s">
        <v>1554</v>
      </c>
      <c r="J56" s="1920" t="s">
        <v>3064</v>
      </c>
      <c r="K56" s="1890" t="s">
        <v>1555</v>
      </c>
      <c r="L56" s="1893" t="str">
        <f ca="1">IF(L48&lt;J51,"——",L48-J53)</f>
        <v>——</v>
      </c>
      <c r="O56" s="1887" t="s">
        <v>1040</v>
      </c>
      <c r="P56" s="1888" t="s">
        <v>1528</v>
      </c>
      <c r="Q56" s="1889">
        <f ca="1">C40+J29</f>
        <v>10783</v>
      </c>
      <c r="R56" s="1889" t="s">
        <v>1529</v>
      </c>
    </row>
    <row r="57" spans="1:18" s="1845" customFormat="1" ht="24.75" thickBot="1">
      <c r="A57" s="1921"/>
      <c r="B57" s="1172" t="s">
        <v>1478</v>
      </c>
      <c r="C57" s="282">
        <f ca="1">C29</f>
        <v>2628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264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221.5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220.75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0.79</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10783</v>
      </c>
      <c r="R62" s="1889" t="s">
        <v>1047</v>
      </c>
    </row>
    <row r="63" spans="1:18" s="1845" customFormat="1" ht="13.5" thickBot="1">
      <c r="A63" s="372"/>
      <c r="B63" s="1178"/>
      <c r="C63" s="29"/>
      <c r="D63" s="1188"/>
      <c r="E63" s="1172" t="s">
        <v>1447</v>
      </c>
      <c r="F63" s="348">
        <f t="shared" ca="1" si="0"/>
        <v>2648.7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39.4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v>
      </c>
      <c r="D65" s="1186" t="s">
        <v>1454</v>
      </c>
      <c r="E65" s="1172" t="s">
        <v>1422</v>
      </c>
      <c r="F65" s="376">
        <f t="shared" ca="1" si="0"/>
        <v>1.5E-3</v>
      </c>
      <c r="I65" s="1932" t="s">
        <v>1579</v>
      </c>
      <c r="J65" s="1933">
        <v>40</v>
      </c>
      <c r="K65" s="1933">
        <v>30</v>
      </c>
      <c r="L65" s="1933">
        <v>50</v>
      </c>
      <c r="M65" s="1935">
        <v>0.02</v>
      </c>
      <c r="O65" s="1887" t="s">
        <v>1040</v>
      </c>
      <c r="P65" s="1888" t="s">
        <v>1528</v>
      </c>
      <c r="Q65" s="1889">
        <f ca="1">C40+J29</f>
        <v>10783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-264</v>
      </c>
      <c r="D67" s="1185" t="s">
        <v>1464</v>
      </c>
      <c r="E67" s="1190"/>
      <c r="F67" s="1191"/>
      <c r="O67" s="1897" t="s">
        <v>1042</v>
      </c>
      <c r="P67" s="1888" t="s">
        <v>1562</v>
      </c>
      <c r="Q67" s="1936">
        <f ca="1">L51</f>
        <v>5367</v>
      </c>
      <c r="R67" s="1889" t="s">
        <v>1582</v>
      </c>
    </row>
    <row r="68" spans="1:18" s="1845" customFormat="1" ht="16.5" thickBot="1">
      <c r="A68" s="1169" t="s">
        <v>1032</v>
      </c>
      <c r="B68" s="1170" t="s">
        <v>1485</v>
      </c>
      <c r="C68" s="346">
        <f ca="1">ROUND(C67*(1-((1+F70)/(1+F68))^F69)/(F68-F70),0)</f>
        <v>-2182</v>
      </c>
      <c r="D68" s="1187" t="s">
        <v>1469</v>
      </c>
      <c r="E68" s="1172" t="s">
        <v>1470</v>
      </c>
      <c r="F68" s="357">
        <f ca="1">F40</f>
        <v>5.5E-2</v>
      </c>
      <c r="O68" s="1897" t="s">
        <v>1043</v>
      </c>
      <c r="P68" s="1937" t="s">
        <v>1583</v>
      </c>
      <c r="Q68" s="1889">
        <f ca="1">ROUND(Q69-Q70*Q71,0)</f>
        <v>349</v>
      </c>
      <c r="R68" s="1889" t="s">
        <v>1051</v>
      </c>
    </row>
    <row r="69" spans="1:18" s="1845" customFormat="1" ht="13.5" thickBot="1">
      <c r="A69" s="1173"/>
      <c r="B69" s="1174"/>
      <c r="C69" s="351"/>
      <c r="D69" s="1192" t="s">
        <v>1473</v>
      </c>
      <c r="E69" s="1172" t="s">
        <v>1474</v>
      </c>
      <c r="F69" s="379">
        <f ca="1">F41</f>
        <v>11.32</v>
      </c>
      <c r="O69" s="1897" t="s">
        <v>1048</v>
      </c>
      <c r="P69" s="1937" t="s">
        <v>1584</v>
      </c>
      <c r="Q69" s="1889">
        <f ca="1">C39</f>
        <v>509</v>
      </c>
      <c r="R69" s="1889" t="s">
        <v>1529</v>
      </c>
    </row>
    <row r="70" spans="1:18" s="1845" customFormat="1" ht="13.5" thickBot="1">
      <c r="A70" s="1176"/>
      <c r="B70" s="1177"/>
      <c r="C70" s="355"/>
      <c r="D70" s="1188"/>
      <c r="E70" s="1172" t="s">
        <v>1477</v>
      </c>
      <c r="F70" s="1278"/>
      <c r="O70" s="1897" t="s">
        <v>1049</v>
      </c>
      <c r="P70" s="1937" t="s">
        <v>1585</v>
      </c>
      <c r="Q70" s="1889">
        <f ca="1">C13</f>
        <v>1997</v>
      </c>
      <c r="R70" s="1889" t="s">
        <v>1529</v>
      </c>
    </row>
    <row r="71" spans="1:18" s="1845" customFormat="1" ht="13.5" thickBot="1">
      <c r="A71" s="1193" t="s">
        <v>1033</v>
      </c>
      <c r="B71" s="1194" t="s">
        <v>1487</v>
      </c>
      <c r="C71" s="382">
        <f ca="1">ROUND(C68*10000/F71,0)</f>
        <v>-4239</v>
      </c>
      <c r="D71" s="1195" t="s">
        <v>1488</v>
      </c>
      <c r="E71" s="1196" t="s">
        <v>1489</v>
      </c>
      <c r="F71" s="385">
        <f ca="1">F43</f>
        <v>5147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160</v>
      </c>
      <c r="D75" s="1845"/>
      <c r="E75" s="1845"/>
      <c r="F75" s="1845"/>
      <c r="K75" s="1871"/>
      <c r="L75" s="1845"/>
      <c r="O75" s="1887" t="s">
        <v>1046</v>
      </c>
      <c r="P75" s="1888" t="s">
        <v>1549</v>
      </c>
      <c r="Q75" s="1889">
        <f ca="1">Q65+Q66</f>
        <v>10783</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0.68599999999999994</v>
      </c>
    </row>
    <row r="80" spans="1:18">
      <c r="B80" s="386" t="s">
        <v>1511</v>
      </c>
      <c r="C80" s="318">
        <f ca="1">ROUND(C75/C39,3)</f>
        <v>0.314</v>
      </c>
    </row>
    <row r="81" spans="2:3">
      <c r="B81" s="314" t="s">
        <v>1512</v>
      </c>
      <c r="C81" s="282"/>
    </row>
    <row r="82" spans="2:3">
      <c r="B82" s="317" t="s">
        <v>1513</v>
      </c>
      <c r="C82" s="319">
        <f ca="1">1-C83</f>
        <v>0.52500000000000002</v>
      </c>
    </row>
    <row r="83" spans="2:3">
      <c r="B83" s="317" t="s">
        <v>1514</v>
      </c>
      <c r="C83" s="318">
        <f ca="1">ROUND(C13/C40,3)</f>
        <v>0.47499999999999998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7" sqref="K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3067</v>
      </c>
      <c r="D1" s="1823" t="s">
        <v>70</v>
      </c>
      <c r="E1" s="1824" t="s">
        <v>1387</v>
      </c>
      <c r="F1" s="1286">
        <f ca="1">J53</f>
        <v>29.98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31318</v>
      </c>
      <c r="C2" s="1848" t="s">
        <v>1516</v>
      </c>
      <c r="D2" s="1848"/>
      <c r="E2" s="1849"/>
      <c r="F2" s="1850"/>
      <c r="G2" s="1851"/>
      <c r="H2" s="1843"/>
      <c r="I2" s="1843"/>
      <c r="J2" s="1843"/>
      <c r="K2" s="1844"/>
      <c r="L2" s="1843"/>
      <c r="M2" s="1843"/>
    </row>
    <row r="3" spans="1:37" ht="18" customHeight="1" thickBot="1">
      <c r="A3" s="1852" t="s">
        <v>1517</v>
      </c>
      <c r="B3" s="1853">
        <f ca="1">IF(ISERROR(B2*10000/F43),0,ROUND(B2*10000/F43,0))</f>
        <v>24296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2120</v>
      </c>
      <c r="D5" s="1825" t="s">
        <v>1402</v>
      </c>
      <c r="E5" s="1296"/>
      <c r="F5" s="1297"/>
      <c r="G5" s="1854"/>
      <c r="H5" s="344">
        <v>1</v>
      </c>
      <c r="I5" s="345" t="s">
        <v>1401</v>
      </c>
      <c r="J5" s="1295">
        <f ca="1">J6+J10+J12</f>
        <v>0</v>
      </c>
      <c r="K5" s="1825" t="s">
        <v>1402</v>
      </c>
      <c r="L5" s="1296"/>
      <c r="M5" s="1297"/>
    </row>
    <row r="6" spans="1:37" ht="18" customHeight="1">
      <c r="A6" s="1294" t="s">
        <v>1035</v>
      </c>
      <c r="B6" s="3167" t="s">
        <v>1403</v>
      </c>
      <c r="C6" s="1299">
        <f ca="1">ROUND(F6*F8*F7*(1-F9)/10000,0)</f>
        <v>2117</v>
      </c>
      <c r="D6" s="164" t="s">
        <v>3032</v>
      </c>
      <c r="E6" s="347" t="s">
        <v>1405</v>
      </c>
      <c r="F6" s="348">
        <f ca="1">INDIRECT("'数据-取费表'!u"&amp;$G$1)</f>
        <v>5</v>
      </c>
      <c r="G6" s="1854"/>
      <c r="H6" s="1294" t="s">
        <v>1035</v>
      </c>
      <c r="I6" s="3167" t="s">
        <v>1403</v>
      </c>
      <c r="J6" s="346">
        <f ca="1">ROUND(M6*M8*M7*(1-M9)/10000,0)</f>
        <v>0</v>
      </c>
      <c r="K6" s="164" t="s">
        <v>3031</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12890.400000000001</v>
      </c>
      <c r="G7" s="1854"/>
      <c r="H7" s="349"/>
      <c r="I7" s="3168"/>
      <c r="J7" s="351"/>
      <c r="K7" s="352"/>
      <c r="L7" s="347" t="s">
        <v>1406</v>
      </c>
      <c r="M7" s="348">
        <f ca="1">F7</f>
        <v>12890.400000000001</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0.1</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3041</v>
      </c>
      <c r="E10" s="358" t="s">
        <v>1410</v>
      </c>
      <c r="F10" s="1369" t="s">
        <v>3071</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5003</v>
      </c>
      <c r="D13" s="1334" t="s">
        <v>1415</v>
      </c>
      <c r="E13" s="1334" t="s">
        <v>1416</v>
      </c>
      <c r="F13" s="1335">
        <f ca="1">INDIRECT("'数据-取费表'!y"&amp;$G$1)</f>
        <v>0.76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4512</v>
      </c>
      <c r="D14" s="1803" t="s">
        <v>1418</v>
      </c>
      <c r="E14" s="1797"/>
      <c r="F14" s="364"/>
      <c r="G14" s="1854"/>
      <c r="H14" s="1204" t="s">
        <v>1035</v>
      </c>
      <c r="I14" s="347" t="s">
        <v>1419</v>
      </c>
      <c r="J14" s="24">
        <f ca="1">C29</f>
        <v>6583</v>
      </c>
      <c r="K14" s="15"/>
      <c r="L14" s="982"/>
      <c r="M14" s="983"/>
    </row>
    <row r="15" spans="1:37" s="1861" customFormat="1" ht="18" customHeight="1" thickBot="1">
      <c r="A15" s="1204" t="s">
        <v>1036</v>
      </c>
      <c r="B15" s="347" t="s">
        <v>1420</v>
      </c>
      <c r="C15" s="24">
        <f ca="1">ROUND(C14*F15,0)</f>
        <v>135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156</v>
      </c>
      <c r="K16" s="1340" t="s">
        <v>1425</v>
      </c>
      <c r="L16" s="1341"/>
      <c r="M16" s="1297"/>
    </row>
    <row r="17" spans="1:37" s="1861" customFormat="1" ht="18" customHeight="1">
      <c r="A17" s="1204" t="s">
        <v>1390</v>
      </c>
      <c r="B17" s="347" t="s">
        <v>1426</v>
      </c>
      <c r="C17" s="24">
        <f ca="1">ROUND(F17*(F43+INDIRECT("'数据-取费表'!S"&amp;$G$1))/10000,0)</f>
        <v>258</v>
      </c>
      <c r="D17" s="347" t="s">
        <v>1427</v>
      </c>
      <c r="E17" s="347" t="s">
        <v>1428</v>
      </c>
      <c r="F17" s="26">
        <f>'数据-取费表'!B35</f>
        <v>200</v>
      </c>
      <c r="G17" s="1857"/>
      <c r="H17" s="1204" t="s">
        <v>1035</v>
      </c>
      <c r="I17" s="347" t="s">
        <v>1429</v>
      </c>
      <c r="J17" s="24">
        <f ca="1">ROUND(IF(项目基本情况!B11="自然人",J5*M17,J18+J19+J20),1)</f>
        <v>57.3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4973</v>
      </c>
      <c r="D19" s="140" t="s">
        <v>1436</v>
      </c>
      <c r="E19" s="1821"/>
      <c r="F19" s="26"/>
      <c r="G19" s="1854"/>
      <c r="H19" s="1204" t="s">
        <v>1036</v>
      </c>
      <c r="I19" s="347" t="s">
        <v>1437</v>
      </c>
      <c r="J19" s="24">
        <f ca="1">IF(K19="按租金收入计税",ROUND(J5*M19,2),ROUND(C29*M19*0.7,2))</f>
        <v>55.3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99</v>
      </c>
      <c r="D20" s="369" t="s">
        <v>1440</v>
      </c>
      <c r="E20" s="347" t="s">
        <v>1422</v>
      </c>
      <c r="F20" s="367">
        <f>'数据-取费表'!B37</f>
        <v>0.02</v>
      </c>
      <c r="G20" s="1857"/>
      <c r="H20" s="1204" t="s">
        <v>1389</v>
      </c>
      <c r="I20" s="164" t="s">
        <v>1441</v>
      </c>
      <c r="J20" s="25">
        <f ca="1">ROUND(M20*M21/10000,2)</f>
        <v>1.99</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6633.55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98.7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-156</v>
      </c>
      <c r="K25" s="1348" t="s">
        <v>1464</v>
      </c>
      <c r="L25" s="1349"/>
      <c r="M25" s="1350"/>
    </row>
    <row r="26" spans="1:37">
      <c r="A26" s="1204" t="s">
        <v>1034</v>
      </c>
      <c r="B26" s="347" t="s">
        <v>1465</v>
      </c>
      <c r="C26" s="24">
        <f ca="1">ROUND((C19+C20)*F26,0)</f>
        <v>761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6583</v>
      </c>
      <c r="D29" s="1345"/>
      <c r="E29" s="1343"/>
      <c r="F29" s="1346"/>
      <c r="G29" s="1857"/>
      <c r="H29" s="380" t="s">
        <v>1033</v>
      </c>
      <c r="I29" s="381" t="s">
        <v>1479</v>
      </c>
      <c r="J29" s="382">
        <f ca="1">ROUND(J26/(1+F40)^F41,0)</f>
        <v>0</v>
      </c>
      <c r="K29" s="383" t="s">
        <v>1480</v>
      </c>
      <c r="L29" s="384"/>
      <c r="M29" s="385">
        <f ca="1">INDIRECT("'数据-取费表'!k"&amp;$G$1)</f>
        <v>12890.400000000001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113.07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254.4</v>
      </c>
      <c r="D33" s="1831" t="s">
        <v>3074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1.99</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6633.55</v>
      </c>
      <c r="G35" s="1854"/>
      <c r="H35" s="745"/>
      <c r="I35" s="1863"/>
      <c r="J35" s="1864"/>
      <c r="K35" s="1865"/>
      <c r="L35" s="1862"/>
      <c r="M35" s="1862"/>
    </row>
    <row r="36" spans="1:18" ht="18" customHeight="1">
      <c r="A36" s="1355" t="s">
        <v>1039</v>
      </c>
      <c r="B36" s="347" t="s">
        <v>1449</v>
      </c>
      <c r="C36" s="24">
        <f ca="1">ROUND(C29*F36,1)</f>
        <v>98.7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21.2</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1623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31318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29.98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24296</v>
      </c>
      <c r="D43" s="383" t="s">
        <v>1488</v>
      </c>
      <c r="E43" s="384" t="s">
        <v>1489</v>
      </c>
      <c r="F43" s="385">
        <f ca="1">INDIRECT("'数据-取费表'!k"&amp;$G$1)</f>
        <v>12890.400000000001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-40922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31318</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29.98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6583</v>
      </c>
      <c r="R49" s="1889" t="s">
        <v>1529</v>
      </c>
    </row>
    <row r="50" spans="1:18" s="1845" customFormat="1" ht="13.5" thickBot="1">
      <c r="A50" s="1198"/>
      <c r="B50" s="1201"/>
      <c r="C50" s="1371"/>
      <c r="D50" s="1175"/>
      <c r="E50" s="1280" t="s">
        <v>1406</v>
      </c>
      <c r="F50" s="1281">
        <f ca="1">F7</f>
        <v>12890.400000000001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18791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29.98</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29.98</v>
      </c>
      <c r="K53" s="3170" t="s">
        <v>1548</v>
      </c>
      <c r="L53" s="3171"/>
      <c r="O53" s="1887" t="s">
        <v>1046</v>
      </c>
      <c r="P53" s="1888" t="s">
        <v>1549</v>
      </c>
      <c r="Q53" s="1889">
        <f ca="1">Q47+Q48</f>
        <v>31318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5003</v>
      </c>
      <c r="D56" s="1917"/>
      <c r="E56" s="1918"/>
      <c r="F56" s="1910"/>
      <c r="I56" s="1919" t="s">
        <v>1554</v>
      </c>
      <c r="J56" s="1920" t="s">
        <v>3064</v>
      </c>
      <c r="K56" s="1890" t="s">
        <v>1555</v>
      </c>
      <c r="L56" s="1893" t="str">
        <f ca="1">IF(L48&lt;J51,"——",L48-J53)</f>
        <v>——</v>
      </c>
      <c r="O56" s="1887" t="s">
        <v>1040</v>
      </c>
      <c r="P56" s="1888" t="s">
        <v>1528</v>
      </c>
      <c r="Q56" s="1889">
        <f ca="1">C40+J29</f>
        <v>31318</v>
      </c>
      <c r="R56" s="1889" t="s">
        <v>1529</v>
      </c>
    </row>
    <row r="57" spans="1:18" s="1845" customFormat="1" ht="24.75" thickBot="1">
      <c r="A57" s="1921"/>
      <c r="B57" s="1172" t="s">
        <v>1478</v>
      </c>
      <c r="C57" s="282">
        <f ca="1">C29</f>
        <v>6583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661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555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552.97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1.99</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31318</v>
      </c>
      <c r="R62" s="1889" t="s">
        <v>1047</v>
      </c>
    </row>
    <row r="63" spans="1:18" s="1845" customFormat="1" ht="13.5" thickBot="1">
      <c r="A63" s="372"/>
      <c r="B63" s="1178"/>
      <c r="C63" s="29"/>
      <c r="D63" s="1188"/>
      <c r="E63" s="1172" t="s">
        <v>1499</v>
      </c>
      <c r="F63" s="348">
        <f t="shared" ca="1" si="0"/>
        <v>6633.55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98.7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7.5</v>
      </c>
      <c r="D65" s="1186" t="s">
        <v>1454</v>
      </c>
      <c r="E65" s="1172" t="s">
        <v>1455</v>
      </c>
      <c r="F65" s="376">
        <f t="shared" ca="1" si="0"/>
        <v>1.5E-3</v>
      </c>
      <c r="I65" s="1932" t="s">
        <v>1579</v>
      </c>
      <c r="J65" s="1933">
        <v>40</v>
      </c>
      <c r="K65" s="1933">
        <v>30</v>
      </c>
      <c r="L65" s="1933">
        <v>50</v>
      </c>
      <c r="M65" s="1935">
        <v>0.02</v>
      </c>
      <c r="O65" s="1887" t="s">
        <v>1040</v>
      </c>
      <c r="P65" s="1888" t="s">
        <v>1580</v>
      </c>
      <c r="Q65" s="1889">
        <f ca="1">C40+J29</f>
        <v>31318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-661</v>
      </c>
      <c r="D67" s="1185" t="s">
        <v>1464</v>
      </c>
      <c r="E67" s="1190"/>
      <c r="F67" s="1191"/>
      <c r="O67" s="1897" t="s">
        <v>1042</v>
      </c>
      <c r="P67" s="1888" t="s">
        <v>1562</v>
      </c>
      <c r="Q67" s="1936">
        <f ca="1">L51</f>
        <v>18791</v>
      </c>
      <c r="R67" s="1889" t="s">
        <v>1582</v>
      </c>
    </row>
    <row r="68" spans="1:18" s="1845" customFormat="1" ht="16.5" thickBot="1">
      <c r="A68" s="1169" t="s">
        <v>1032</v>
      </c>
      <c r="B68" s="1170" t="s">
        <v>1485</v>
      </c>
      <c r="C68" s="346">
        <f ca="1">ROUND(C67*(1-((1+F70)/(1+F68))^F69)/(F68-F70),0)</f>
        <v>-9604</v>
      </c>
      <c r="D68" s="1187" t="s">
        <v>1469</v>
      </c>
      <c r="E68" s="1172" t="s">
        <v>1470</v>
      </c>
      <c r="F68" s="357">
        <f ca="1">F40</f>
        <v>5.5E-2</v>
      </c>
      <c r="O68" s="1897" t="s">
        <v>1043</v>
      </c>
      <c r="P68" s="1937" t="s">
        <v>1583</v>
      </c>
      <c r="Q68" s="1889">
        <f ca="1">ROUND(Q69-Q70*Q71,0)</f>
        <v>1223</v>
      </c>
      <c r="R68" s="1889" t="s">
        <v>1051</v>
      </c>
    </row>
    <row r="69" spans="1:18" s="1845" customFormat="1" ht="13.5" thickBot="1">
      <c r="A69" s="1173"/>
      <c r="B69" s="1174"/>
      <c r="C69" s="351"/>
      <c r="D69" s="1192" t="s">
        <v>1473</v>
      </c>
      <c r="E69" s="1172" t="s">
        <v>1474</v>
      </c>
      <c r="F69" s="379">
        <f ca="1">F41</f>
        <v>29.98</v>
      </c>
      <c r="O69" s="1897" t="s">
        <v>1048</v>
      </c>
      <c r="P69" s="1937" t="s">
        <v>1584</v>
      </c>
      <c r="Q69" s="1889">
        <f ca="1">C39</f>
        <v>1623</v>
      </c>
      <c r="R69" s="1889" t="s">
        <v>1529</v>
      </c>
    </row>
    <row r="70" spans="1:18" s="1845" customFormat="1" ht="13.5" thickBot="1">
      <c r="A70" s="1176"/>
      <c r="B70" s="1177"/>
      <c r="C70" s="355"/>
      <c r="D70" s="1188"/>
      <c r="E70" s="1172" t="s">
        <v>1477</v>
      </c>
      <c r="F70" s="1278"/>
      <c r="O70" s="1897" t="s">
        <v>1049</v>
      </c>
      <c r="P70" s="1937" t="s">
        <v>1585</v>
      </c>
      <c r="Q70" s="1889">
        <f ca="1">C13</f>
        <v>5003</v>
      </c>
      <c r="R70" s="1889" t="s">
        <v>1529</v>
      </c>
    </row>
    <row r="71" spans="1:18" s="1845" customFormat="1" ht="13.5" thickBot="1">
      <c r="A71" s="1193" t="s">
        <v>1033</v>
      </c>
      <c r="B71" s="1194" t="s">
        <v>1487</v>
      </c>
      <c r="C71" s="382">
        <f ca="1">ROUND(C68*10000/F71,0)</f>
        <v>-7451</v>
      </c>
      <c r="D71" s="1195" t="s">
        <v>1488</v>
      </c>
      <c r="E71" s="1196" t="s">
        <v>1489</v>
      </c>
      <c r="F71" s="385">
        <f ca="1">F43</f>
        <v>12890.400000000001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400</v>
      </c>
      <c r="D75" s="1845"/>
      <c r="E75" s="1845"/>
      <c r="F75" s="1845"/>
      <c r="K75" s="1871"/>
      <c r="L75" s="1845"/>
      <c r="O75" s="1887" t="s">
        <v>1046</v>
      </c>
      <c r="P75" s="1888" t="s">
        <v>1549</v>
      </c>
      <c r="Q75" s="1889">
        <f ca="1">Q65+Q66</f>
        <v>31318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0.754</v>
      </c>
    </row>
    <row r="80" spans="1:18">
      <c r="B80" s="386" t="s">
        <v>1511</v>
      </c>
      <c r="C80" s="318">
        <f ca="1">ROUND(C75/C39,3)</f>
        <v>0.246</v>
      </c>
    </row>
    <row r="81" spans="2:3">
      <c r="B81" s="314" t="s">
        <v>1512</v>
      </c>
      <c r="C81" s="282"/>
    </row>
    <row r="82" spans="2:3">
      <c r="B82" s="317" t="s">
        <v>1513</v>
      </c>
      <c r="C82" s="319">
        <f ca="1">1-C83</f>
        <v>0.84</v>
      </c>
    </row>
    <row r="83" spans="2:3">
      <c r="B83" s="317" t="s">
        <v>1514</v>
      </c>
      <c r="C83" s="318">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7" t="s">
        <v>1403</v>
      </c>
      <c r="C6" s="1299">
        <f ca="1">ROUND(F6*F8*F7*(1-F9),0)</f>
        <v>0</v>
      </c>
      <c r="D6" s="164" t="s">
        <v>3029</v>
      </c>
      <c r="E6" s="347" t="s">
        <v>1405</v>
      </c>
      <c r="F6" s="348">
        <f ca="1">INDIRECT("'数据-取费表'!u"&amp;$G$1)</f>
        <v>0</v>
      </c>
      <c r="G6" s="1854"/>
      <c r="H6" s="1294" t="s">
        <v>1035</v>
      </c>
      <c r="I6" s="3167" t="s">
        <v>1403</v>
      </c>
      <c r="J6" s="346">
        <f ca="1">ROUND(M6*M8*M7*(1-M9),0)</f>
        <v>0</v>
      </c>
      <c r="K6" s="1837" t="s">
        <v>3030</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0</v>
      </c>
      <c r="G7" s="1854"/>
      <c r="H7" s="349"/>
      <c r="I7" s="3168"/>
      <c r="J7" s="351"/>
      <c r="K7" s="352"/>
      <c r="L7" s="347" t="s">
        <v>1406</v>
      </c>
      <c r="M7" s="348">
        <f ca="1">F7</f>
        <v>0</v>
      </c>
    </row>
    <row r="8" spans="1:37" ht="18" customHeight="1">
      <c r="A8" s="349"/>
      <c r="B8" s="3168"/>
      <c r="C8" s="351"/>
      <c r="D8" s="352"/>
      <c r="E8" s="347" t="s">
        <v>1407</v>
      </c>
      <c r="F8" s="348">
        <f ca="1">INDIRECT("'数据-取费表'!ai"&amp;$G$1)</f>
        <v>0</v>
      </c>
      <c r="G8" s="1854"/>
      <c r="H8" s="349"/>
      <c r="I8" s="3168"/>
      <c r="J8" s="351"/>
      <c r="K8" s="352"/>
      <c r="L8" s="347" t="s">
        <v>1407</v>
      </c>
      <c r="M8" s="348">
        <f ca="1">INDIRECT("'数据-取费表'!ai"&amp;$G$1)</f>
        <v>0</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0" t="s">
        <v>1548</v>
      </c>
      <c r="L53" s="317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4" sqref="I14"/>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42101</v>
      </c>
      <c r="C2" s="2569" t="s">
        <v>2517</v>
      </c>
      <c r="D2" s="2570" t="s">
        <v>2518</v>
      </c>
      <c r="E2" s="2571">
        <f>SUM(E6:E13)</f>
        <v>18037.400000000001</v>
      </c>
    </row>
    <row r="3" spans="1:6" ht="15.75">
      <c r="A3" s="2567" t="s">
        <v>1395</v>
      </c>
      <c r="B3" s="2568">
        <f ca="1">ROUND(B2*10000/E2,0)</f>
        <v>23341</v>
      </c>
      <c r="C3" s="2569" t="s">
        <v>2525</v>
      </c>
      <c r="D3" s="2572"/>
      <c r="E3" s="2573"/>
    </row>
    <row r="4" spans="1:6" ht="15.75">
      <c r="A4" s="2574"/>
      <c r="B4" s="2572"/>
      <c r="C4" s="2572"/>
      <c r="D4" s="2572"/>
      <c r="E4" s="2573"/>
    </row>
    <row r="5" spans="1:6" ht="15">
      <c r="A5" s="2575" t="s">
        <v>2519</v>
      </c>
      <c r="B5" s="3172" t="s">
        <v>2520</v>
      </c>
      <c r="C5" s="3172"/>
      <c r="D5" s="2576"/>
      <c r="E5" s="2577" t="s">
        <v>2521</v>
      </c>
      <c r="F5" s="2578" t="s">
        <v>2522</v>
      </c>
    </row>
    <row r="6" spans="1:6">
      <c r="A6" s="2579" t="str">
        <f>'数据-取费表'!AN6</f>
        <v>收益法-自用</v>
      </c>
      <c r="B6" s="2578">
        <f ca="1">IF(F6="是",'数据-取费表'!AO6,0)</f>
        <v>31318</v>
      </c>
      <c r="C6" s="2569" t="s">
        <v>2517</v>
      </c>
      <c r="D6" s="2572"/>
      <c r="E6" s="2580">
        <f>IF(OR(A6=0,F6="否"),0,'数据-取费表'!K6+'数据-取费表'!S6)</f>
        <v>12890.400000000001</v>
      </c>
      <c r="F6" s="2581" t="s">
        <v>2523</v>
      </c>
    </row>
    <row r="7" spans="1:6">
      <c r="A7" s="2579" t="str">
        <f>'数据-取费表'!AN7</f>
        <v>收益法-出租</v>
      </c>
      <c r="B7" s="2578">
        <f ca="1">IF(F7="是",'数据-取费表'!AO7,0)</f>
        <v>10783</v>
      </c>
      <c r="C7" s="2569" t="s">
        <v>2517</v>
      </c>
      <c r="D7" s="2572"/>
      <c r="E7" s="2580">
        <f>IF(OR(A7=0,F7="否"),0,'数据-取费表'!K7+'数据-取费表'!S7)</f>
        <v>5147</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1076</v>
      </c>
      <c r="B1" s="3174"/>
      <c r="C1" s="3175"/>
      <c r="D1" s="3176">
        <f>SUM(I10,I15,I20,I21,I23)</f>
        <v>0</v>
      </c>
      <c r="E1" s="3176"/>
      <c r="F1" s="3176"/>
      <c r="G1" s="3176"/>
      <c r="H1" s="3176"/>
      <c r="I1" s="3177"/>
    </row>
    <row r="2" spans="1:9">
      <c r="A2" s="3178" t="s">
        <v>1077</v>
      </c>
      <c r="B2" s="3179" t="s">
        <v>1078</v>
      </c>
      <c r="C2" s="3179"/>
      <c r="D2" s="1304" t="s">
        <v>1079</v>
      </c>
      <c r="E2" s="1304" t="s">
        <v>1080</v>
      </c>
      <c r="F2" s="1304" t="s">
        <v>1081</v>
      </c>
      <c r="G2" s="1304" t="s">
        <v>1082</v>
      </c>
      <c r="H2" s="1304" t="s">
        <v>1083</v>
      </c>
      <c r="I2" s="1305" t="s">
        <v>1084</v>
      </c>
    </row>
    <row r="3" spans="1:9">
      <c r="A3" s="3178"/>
      <c r="B3" s="3179" t="s">
        <v>1085</v>
      </c>
      <c r="C3" s="3179"/>
      <c r="D3" s="1306"/>
      <c r="E3" s="1304"/>
      <c r="F3" s="1307"/>
      <c r="G3" s="1307"/>
      <c r="H3" s="1308"/>
      <c r="I3" s="1309">
        <f>ROUND(D3*E3*F3*G3*H3/10000,0)</f>
        <v>0</v>
      </c>
    </row>
    <row r="4" spans="1:9">
      <c r="A4" s="3178"/>
      <c r="B4" s="3179" t="s">
        <v>1086</v>
      </c>
      <c r="C4" s="3179"/>
      <c r="D4" s="1306"/>
      <c r="E4" s="1304"/>
      <c r="F4" s="1307"/>
      <c r="G4" s="1307"/>
      <c r="H4" s="1308"/>
      <c r="I4" s="1309">
        <f t="shared" ref="I4:I9" si="0">ROUND(D4*E4*F4*G4*H4/10000,0)</f>
        <v>0</v>
      </c>
    </row>
    <row r="5" spans="1:9">
      <c r="A5" s="3178"/>
      <c r="B5" s="3179" t="s">
        <v>1087</v>
      </c>
      <c r="C5" s="3179"/>
      <c r="D5" s="1306"/>
      <c r="E5" s="1304"/>
      <c r="F5" s="1307"/>
      <c r="G5" s="1307"/>
      <c r="H5" s="1308"/>
      <c r="I5" s="1309">
        <f t="shared" si="0"/>
        <v>0</v>
      </c>
    </row>
    <row r="6" spans="1:9">
      <c r="A6" s="3178"/>
      <c r="B6" s="3179" t="s">
        <v>1088</v>
      </c>
      <c r="C6" s="3179"/>
      <c r="D6" s="1306"/>
      <c r="E6" s="1304"/>
      <c r="F6" s="1307"/>
      <c r="G6" s="1307"/>
      <c r="H6" s="1308"/>
      <c r="I6" s="1309">
        <f t="shared" si="0"/>
        <v>0</v>
      </c>
    </row>
    <row r="7" spans="1:9">
      <c r="A7" s="3178"/>
      <c r="B7" s="3179" t="s">
        <v>1089</v>
      </c>
      <c r="C7" s="3179"/>
      <c r="D7" s="1306"/>
      <c r="E7" s="1304"/>
      <c r="F7" s="1307"/>
      <c r="G7" s="1307"/>
      <c r="H7" s="1308"/>
      <c r="I7" s="1309">
        <f t="shared" si="0"/>
        <v>0</v>
      </c>
    </row>
    <row r="8" spans="1:9">
      <c r="A8" s="3178"/>
      <c r="B8" s="3179" t="s">
        <v>1090</v>
      </c>
      <c r="C8" s="3179"/>
      <c r="D8" s="1306"/>
      <c r="E8" s="1304"/>
      <c r="F8" s="1307"/>
      <c r="G8" s="1307"/>
      <c r="H8" s="1308"/>
      <c r="I8" s="1309">
        <f t="shared" si="0"/>
        <v>0</v>
      </c>
    </row>
    <row r="9" spans="1:9">
      <c r="A9" s="3178"/>
      <c r="B9" s="3179" t="s">
        <v>1091</v>
      </c>
      <c r="C9" s="3179"/>
      <c r="D9" s="1306"/>
      <c r="E9" s="1304"/>
      <c r="F9" s="1307"/>
      <c r="G9" s="1307"/>
      <c r="H9" s="1308"/>
      <c r="I9" s="1309">
        <f t="shared" si="0"/>
        <v>0</v>
      </c>
    </row>
    <row r="10" spans="1:9">
      <c r="A10" s="3178"/>
      <c r="B10" s="3180" t="s">
        <v>1092</v>
      </c>
      <c r="C10" s="3180"/>
      <c r="D10" s="1310"/>
      <c r="E10" s="1310" t="e">
        <f>ROUND(D1*10000/D10/H9,0)</f>
        <v>#DIV/0!</v>
      </c>
      <c r="F10" s="1311"/>
      <c r="G10" s="1311"/>
      <c r="H10" s="1312"/>
      <c r="I10" s="1313">
        <f>SUM(I3:I9)</f>
        <v>0</v>
      </c>
    </row>
    <row r="11" spans="1:9" ht="14.25">
      <c r="A11" s="3178" t="s">
        <v>1093</v>
      </c>
      <c r="B11" s="3179" t="s">
        <v>1094</v>
      </c>
      <c r="C11" s="3179"/>
      <c r="D11" s="1306" t="s">
        <v>1095</v>
      </c>
      <c r="E11" s="1306" t="s">
        <v>1096</v>
      </c>
      <c r="F11" s="1307" t="s">
        <v>1097</v>
      </c>
      <c r="G11" s="1307" t="s">
        <v>1083</v>
      </c>
      <c r="H11" s="1314" t="s">
        <v>1098</v>
      </c>
      <c r="I11" s="1305" t="s">
        <v>1084</v>
      </c>
    </row>
    <row r="12" spans="1:9">
      <c r="A12" s="3178"/>
      <c r="B12" s="3179" t="s">
        <v>1099</v>
      </c>
      <c r="C12" s="3179"/>
      <c r="D12" s="1306"/>
      <c r="E12" s="1306"/>
      <c r="F12" s="1307"/>
      <c r="G12" s="1308"/>
      <c r="H12" s="1315"/>
      <c r="I12" s="1305">
        <f>ROUND(D12*E12*F12*G12/10000,0)</f>
        <v>0</v>
      </c>
    </row>
    <row r="13" spans="1:9">
      <c r="A13" s="3178"/>
      <c r="B13" s="3179" t="s">
        <v>1100</v>
      </c>
      <c r="C13" s="3179"/>
      <c r="D13" s="1306"/>
      <c r="E13" s="1306"/>
      <c r="F13" s="1307"/>
      <c r="G13" s="1308"/>
      <c r="H13" s="1315"/>
      <c r="I13" s="1305">
        <f>ROUND(D13*E13*F13*G13/10000,0)</f>
        <v>0</v>
      </c>
    </row>
    <row r="14" spans="1:9">
      <c r="A14" s="3178"/>
      <c r="B14" s="3179" t="s">
        <v>1101</v>
      </c>
      <c r="C14" s="3179"/>
      <c r="D14" s="1306"/>
      <c r="E14" s="1306"/>
      <c r="F14" s="1307"/>
      <c r="G14" s="1308"/>
      <c r="H14" s="1315"/>
      <c r="I14" s="1305">
        <f>ROUND(D14*E14*F14*G14/10000,0)</f>
        <v>0</v>
      </c>
    </row>
    <row r="15" spans="1:9">
      <c r="A15" s="3178"/>
      <c r="B15" s="3180" t="s">
        <v>1092</v>
      </c>
      <c r="C15" s="3180"/>
      <c r="D15" s="1310"/>
      <c r="E15" s="1310">
        <f>SUM(E12:E14)</f>
        <v>0</v>
      </c>
      <c r="F15" s="1311"/>
      <c r="G15" s="1308"/>
      <c r="H15" s="1315"/>
      <c r="I15" s="1316">
        <f>SUM(I12:I14)</f>
        <v>0</v>
      </c>
    </row>
    <row r="16" spans="1:9" ht="24">
      <c r="A16" s="3178" t="s">
        <v>1102</v>
      </c>
      <c r="B16" s="3179" t="s">
        <v>1103</v>
      </c>
      <c r="C16" s="3179"/>
      <c r="D16" s="1306" t="s">
        <v>1079</v>
      </c>
      <c r="E16" s="1317" t="s">
        <v>1104</v>
      </c>
      <c r="F16" s="1307" t="s">
        <v>1105</v>
      </c>
      <c r="G16" s="1308" t="s">
        <v>1083</v>
      </c>
      <c r="H16" s="1314" t="s">
        <v>1098</v>
      </c>
      <c r="I16" s="1305" t="s">
        <v>1084</v>
      </c>
    </row>
    <row r="17" spans="1:9" ht="14.25">
      <c r="A17" s="3178"/>
      <c r="B17" s="3179" t="s">
        <v>1106</v>
      </c>
      <c r="C17" s="3179"/>
      <c r="D17" s="1306"/>
      <c r="E17" s="1306"/>
      <c r="F17" s="1307"/>
      <c r="G17" s="1308"/>
      <c r="H17" s="1318"/>
      <c r="I17" s="1319">
        <f>ROUND(D17*E17*F17*G17/10000,0)</f>
        <v>0</v>
      </c>
    </row>
    <row r="18" spans="1:9" ht="14.25">
      <c r="A18" s="3178"/>
      <c r="B18" s="3179" t="s">
        <v>1107</v>
      </c>
      <c r="C18" s="3179"/>
      <c r="D18" s="1306"/>
      <c r="E18" s="1306"/>
      <c r="F18" s="1307"/>
      <c r="G18" s="1308"/>
      <c r="H18" s="1318"/>
      <c r="I18" s="1319">
        <f>ROUND(D18*E18*F18*G18/10000,0)</f>
        <v>0</v>
      </c>
    </row>
    <row r="19" spans="1:9" ht="14.25">
      <c r="A19" s="3178"/>
      <c r="B19" s="3179" t="s">
        <v>1108</v>
      </c>
      <c r="C19" s="3179"/>
      <c r="D19" s="1306"/>
      <c r="E19" s="1306"/>
      <c r="F19" s="1307"/>
      <c r="G19" s="1308"/>
      <c r="H19" s="1318"/>
      <c r="I19" s="1319">
        <f>ROUND(D19*E19*F19*G19/10000,0)</f>
        <v>0</v>
      </c>
    </row>
    <row r="20" spans="1:9">
      <c r="A20" s="3178"/>
      <c r="B20" s="3180" t="s">
        <v>1092</v>
      </c>
      <c r="C20" s="3180"/>
      <c r="D20" s="1310">
        <f>SUM(D17:D19)</f>
        <v>0</v>
      </c>
      <c r="E20" s="1310"/>
      <c r="F20" s="1311"/>
      <c r="G20" s="1308"/>
      <c r="H20" s="1315"/>
      <c r="I20" s="1316">
        <f>SUM(I17:I19)</f>
        <v>0</v>
      </c>
    </row>
    <row r="21" spans="1:9">
      <c r="A21" s="3178" t="s">
        <v>1109</v>
      </c>
      <c r="B21" s="3182"/>
      <c r="C21" s="3182"/>
      <c r="D21" s="3182"/>
      <c r="E21" s="3182"/>
      <c r="F21" s="3182"/>
      <c r="G21" s="3182"/>
      <c r="H21" s="1768">
        <v>0.1</v>
      </c>
      <c r="I21" s="1313">
        <f>ROUND(I10*H21,0)</f>
        <v>0</v>
      </c>
    </row>
    <row r="22" spans="1:9" ht="14.25">
      <c r="A22" s="3183" t="s">
        <v>1110</v>
      </c>
      <c r="B22" s="3184"/>
      <c r="C22" s="3185"/>
      <c r="D22" s="1320" t="s">
        <v>1111</v>
      </c>
      <c r="E22" s="1320" t="s">
        <v>1112</v>
      </c>
      <c r="F22" s="1321" t="s">
        <v>1113</v>
      </c>
      <c r="G22" s="1321" t="s">
        <v>1114</v>
      </c>
      <c r="H22" s="1314" t="s">
        <v>1115</v>
      </c>
      <c r="I22" s="1305" t="s">
        <v>1116</v>
      </c>
    </row>
    <row r="23" spans="1:9" ht="14.25" thickBot="1">
      <c r="A23" s="3186"/>
      <c r="B23" s="3187"/>
      <c r="C23" s="3188"/>
      <c r="D23" s="1322"/>
      <c r="E23" s="1322"/>
      <c r="F23" s="1322"/>
      <c r="G23" s="1323"/>
      <c r="H23" s="1324"/>
      <c r="I23" s="1325">
        <f>ROUND(E23*D23*F23*(1-G23)/10000,0)</f>
        <v>0</v>
      </c>
    </row>
    <row r="26" spans="1:9">
      <c r="A26" s="1326" t="s">
        <v>1117</v>
      </c>
      <c r="B26" s="1326"/>
      <c r="C26" s="1326"/>
      <c r="D26" s="1326"/>
      <c r="E26" s="3189">
        <f>C27-C30-C31-C32</f>
        <v>0</v>
      </c>
      <c r="F26" s="3189"/>
      <c r="G26" s="3189"/>
      <c r="H26" s="1740" t="s">
        <v>1340</v>
      </c>
    </row>
    <row r="27" spans="1:9">
      <c r="A27" s="1327">
        <v>1</v>
      </c>
      <c r="B27" s="1328" t="s">
        <v>1118</v>
      </c>
      <c r="C27" s="1328">
        <f>C28+C29</f>
        <v>0</v>
      </c>
      <c r="D27" s="1328"/>
      <c r="E27" s="3190"/>
      <c r="F27" s="3190"/>
      <c r="G27" s="3190"/>
    </row>
    <row r="28" spans="1:9">
      <c r="A28" s="1329" t="s">
        <v>1119</v>
      </c>
      <c r="B28" s="1328" t="s">
        <v>1120</v>
      </c>
      <c r="C28" s="1328"/>
      <c r="D28" s="1328"/>
      <c r="E28" s="3190"/>
      <c r="F28" s="3190"/>
      <c r="G28" s="319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1"/>
      <c r="F32" s="3181"/>
      <c r="G32" s="3181"/>
    </row>
    <row r="33" spans="1:7" hidden="1">
      <c r="A33" s="3191" t="s">
        <v>1129</v>
      </c>
      <c r="B33" s="3192"/>
      <c r="C33" s="3192"/>
      <c r="D33" s="3193"/>
      <c r="E33" s="3189"/>
      <c r="F33" s="3189"/>
      <c r="G33" s="3189"/>
    </row>
    <row r="34" spans="1:7" hidden="1">
      <c r="A34" s="1331">
        <v>1</v>
      </c>
      <c r="B34" s="1328" t="s">
        <v>1130</v>
      </c>
      <c r="C34" s="1328"/>
      <c r="D34" s="1328"/>
      <c r="E34" s="3190"/>
      <c r="F34" s="3190"/>
      <c r="G34" s="3190"/>
    </row>
    <row r="35" spans="1:7" hidden="1">
      <c r="A35" s="1331">
        <v>2</v>
      </c>
      <c r="B35" s="1328" t="s">
        <v>1131</v>
      </c>
      <c r="C35" s="1328"/>
      <c r="D35" s="1328"/>
      <c r="E35" s="3190"/>
      <c r="F35" s="3190"/>
      <c r="G35" s="3190"/>
    </row>
    <row r="36" spans="1:7" hidden="1">
      <c r="A36" s="1331">
        <v>3</v>
      </c>
      <c r="B36" s="1328" t="s">
        <v>1132</v>
      </c>
      <c r="C36" s="1328"/>
      <c r="D36" s="1328"/>
      <c r="E36" s="3190"/>
      <c r="F36" s="3190"/>
      <c r="G36" s="3190"/>
    </row>
    <row r="37" spans="1:7" hidden="1">
      <c r="A37" s="1331">
        <v>4</v>
      </c>
      <c r="B37" s="1328" t="s">
        <v>1133</v>
      </c>
      <c r="C37" s="1328"/>
      <c r="D37" s="1328"/>
      <c r="E37" s="3190"/>
      <c r="F37" s="3190"/>
      <c r="G37" s="3190"/>
    </row>
    <row r="38" spans="1:7" hidden="1">
      <c r="A38" s="3191" t="s">
        <v>1134</v>
      </c>
      <c r="B38" s="3192"/>
      <c r="C38" s="3192"/>
      <c r="D38" s="3193"/>
      <c r="E38" s="3189"/>
      <c r="F38" s="3189"/>
      <c r="G38" s="3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18037.400000000001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2" t="s">
        <v>2534</v>
      </c>
      <c r="D4" s="3213"/>
      <c r="E4" s="3214" t="s">
        <v>2535</v>
      </c>
      <c r="F4" s="3215"/>
      <c r="G4" s="3212" t="s">
        <v>2536</v>
      </c>
      <c r="H4" s="3213"/>
      <c r="I4" s="3212" t="s">
        <v>2537</v>
      </c>
      <c r="J4" s="3213"/>
      <c r="K4" s="2599" t="s">
        <v>2538</v>
      </c>
      <c r="L4" s="1133"/>
      <c r="M4" s="1134"/>
      <c r="N4" s="1134"/>
      <c r="O4" s="1134"/>
      <c r="P4" s="3216" t="s">
        <v>2539</v>
      </c>
      <c r="Q4" s="3217"/>
      <c r="R4" s="3199" t="s">
        <v>2535</v>
      </c>
      <c r="S4" s="3200"/>
      <c r="T4" s="3199" t="s">
        <v>2536</v>
      </c>
      <c r="U4" s="3200"/>
      <c r="V4" s="3224" t="s">
        <v>2537</v>
      </c>
      <c r="W4" s="3224"/>
      <c r="X4" s="1816"/>
      <c r="Y4" s="3199" t="s">
        <v>2539</v>
      </c>
      <c r="Z4" s="3200"/>
      <c r="AA4" s="3194" t="s">
        <v>2535</v>
      </c>
      <c r="AB4" s="3194" t="s">
        <v>2536</v>
      </c>
      <c r="AC4" s="3194" t="s">
        <v>2537</v>
      </c>
    </row>
    <row r="5" spans="1:29" ht="15">
      <c r="A5" s="404"/>
      <c r="B5" s="405"/>
      <c r="C5" s="3205" t="s">
        <v>2540</v>
      </c>
      <c r="D5" s="3206"/>
      <c r="E5" s="3203" t="s">
        <v>2541</v>
      </c>
      <c r="F5" s="3204"/>
      <c r="G5" s="3205" t="s">
        <v>2542</v>
      </c>
      <c r="H5" s="3206"/>
      <c r="I5" s="3205" t="s">
        <v>2543</v>
      </c>
      <c r="J5" s="3206"/>
      <c r="K5" s="2600"/>
      <c r="L5" s="1133"/>
      <c r="M5" s="1134"/>
      <c r="N5" s="1134"/>
      <c r="O5" s="1134"/>
      <c r="P5" s="3218"/>
      <c r="Q5" s="3219"/>
      <c r="R5" s="3201"/>
      <c r="S5" s="3202"/>
      <c r="T5" s="3201"/>
      <c r="U5" s="3202"/>
      <c r="V5" s="3224"/>
      <c r="W5" s="3224"/>
      <c r="X5" s="1816"/>
      <c r="Y5" s="3201"/>
      <c r="Z5" s="3202"/>
      <c r="AA5" s="3195"/>
      <c r="AB5" s="3195"/>
      <c r="AC5" s="3195"/>
    </row>
    <row r="6" spans="1:29" ht="15.75" thickBot="1">
      <c r="A6" s="406"/>
      <c r="B6" s="407"/>
      <c r="C6" s="3207" t="s">
        <v>2544</v>
      </c>
      <c r="D6" s="3208"/>
      <c r="E6" s="3209" t="s">
        <v>2544</v>
      </c>
      <c r="F6" s="3210"/>
      <c r="G6" s="3207" t="s">
        <v>2544</v>
      </c>
      <c r="H6" s="3208"/>
      <c r="I6" s="3207" t="s">
        <v>2544</v>
      </c>
      <c r="J6" s="3208"/>
      <c r="K6" s="2600" t="s">
        <v>2545</v>
      </c>
      <c r="L6" s="1133"/>
      <c r="M6" s="1134"/>
      <c r="N6" s="1134"/>
      <c r="O6" s="1134"/>
      <c r="P6" s="3220"/>
      <c r="Q6" s="3221"/>
      <c r="R6" s="3201"/>
      <c r="S6" s="3202"/>
      <c r="T6" s="3222"/>
      <c r="U6" s="3223"/>
      <c r="V6" s="3224"/>
      <c r="W6" s="3224"/>
      <c r="X6" s="1816"/>
      <c r="Y6" s="3222"/>
      <c r="Z6" s="3223"/>
      <c r="AA6" s="3196"/>
      <c r="AB6" s="3196"/>
      <c r="AC6" s="3196"/>
    </row>
    <row r="7" spans="1:29" s="117" customFormat="1" ht="15.75" thickBot="1">
      <c r="A7" s="408" t="s">
        <v>2546</v>
      </c>
      <c r="B7" s="409"/>
      <c r="C7" s="410">
        <f>'数据-取费表'!B2</f>
        <v>43363</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7" t="s">
        <v>2547</v>
      </c>
      <c r="Q7" s="3225"/>
      <c r="R7" s="770" t="s">
        <v>23</v>
      </c>
      <c r="S7" s="771">
        <f t="shared" ref="S7:S15" si="0">F7</f>
        <v>0</v>
      </c>
      <c r="T7" s="770" t="s">
        <v>23</v>
      </c>
      <c r="U7" s="771">
        <f t="shared" ref="U7:U15" si="1">H7</f>
        <v>0</v>
      </c>
      <c r="V7" s="770" t="s">
        <v>23</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7" t="s">
        <v>2550</v>
      </c>
      <c r="Q8" s="3198"/>
      <c r="R8" s="770" t="s">
        <v>23</v>
      </c>
      <c r="S8" s="771">
        <f t="shared" si="0"/>
        <v>0</v>
      </c>
      <c r="T8" s="770" t="s">
        <v>23</v>
      </c>
      <c r="U8" s="771">
        <f t="shared" si="1"/>
        <v>0</v>
      </c>
      <c r="V8" s="770" t="s">
        <v>23</v>
      </c>
      <c r="W8" s="771">
        <f t="shared" si="2"/>
        <v>0</v>
      </c>
      <c r="X8" s="772"/>
      <c r="Y8" s="3197" t="s">
        <v>2550</v>
      </c>
      <c r="Z8" s="319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2558</v>
      </c>
      <c r="Q15" s="1813" t="str">
        <f t="shared" si="6"/>
        <v>居住社区成熟度</v>
      </c>
      <c r="R15" s="774" t="s">
        <v>21</v>
      </c>
      <c r="S15" s="775">
        <f t="shared" si="0"/>
        <v>100</v>
      </c>
      <c r="T15" s="774" t="s">
        <v>21</v>
      </c>
      <c r="U15" s="775">
        <f t="shared" si="1"/>
        <v>100</v>
      </c>
      <c r="V15" s="774" t="s">
        <v>21</v>
      </c>
      <c r="W15" s="775">
        <f t="shared" si="2"/>
        <v>100</v>
      </c>
      <c r="X15" s="1816"/>
      <c r="Y15" s="3231"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9"/>
      <c r="Q16" s="1813"/>
      <c r="R16" s="774"/>
      <c r="S16" s="775"/>
      <c r="T16" s="774"/>
      <c r="U16" s="775"/>
      <c r="V16" s="774"/>
      <c r="W16" s="775"/>
      <c r="X16" s="1816"/>
      <c r="Y16" s="3232"/>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3" t="str">
        <f>B17</f>
        <v>交通便捷度</v>
      </c>
      <c r="R17" s="774" t="s">
        <v>21</v>
      </c>
      <c r="S17" s="775">
        <f>F17</f>
        <v>100</v>
      </c>
      <c r="T17" s="774" t="s">
        <v>21</v>
      </c>
      <c r="U17" s="775">
        <f>H17</f>
        <v>100</v>
      </c>
      <c r="V17" s="774" t="s">
        <v>21</v>
      </c>
      <c r="W17" s="775">
        <f>J17</f>
        <v>100</v>
      </c>
      <c r="X17" s="1816"/>
      <c r="Y17" s="323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9"/>
      <c r="Q18" s="1813"/>
      <c r="R18" s="774"/>
      <c r="S18" s="775"/>
      <c r="T18" s="774"/>
      <c r="U18" s="775"/>
      <c r="V18" s="774"/>
      <c r="W18" s="775"/>
      <c r="X18" s="1816"/>
      <c r="Y18" s="3232"/>
      <c r="Z18" s="1817"/>
      <c r="AA18" s="1814">
        <v>1</v>
      </c>
      <c r="AB18" s="1814">
        <v>1</v>
      </c>
      <c r="AC18" s="1814">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3" t="str">
        <f>B19</f>
        <v>公共配套设施</v>
      </c>
      <c r="R19" s="774" t="s">
        <v>21</v>
      </c>
      <c r="S19" s="775">
        <f>F19</f>
        <v>100</v>
      </c>
      <c r="T19" s="774" t="s">
        <v>21</v>
      </c>
      <c r="U19" s="775">
        <f>H19</f>
        <v>100</v>
      </c>
      <c r="V19" s="774" t="s">
        <v>21</v>
      </c>
      <c r="W19" s="775">
        <f>J19</f>
        <v>100</v>
      </c>
      <c r="X19" s="1816"/>
      <c r="Y19" s="323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9"/>
      <c r="Q20" s="1813"/>
      <c r="R20" s="774"/>
      <c r="S20" s="775"/>
      <c r="T20" s="774"/>
      <c r="U20" s="775"/>
      <c r="V20" s="774"/>
      <c r="W20" s="775"/>
      <c r="X20" s="1816"/>
      <c r="Y20" s="3232"/>
      <c r="Z20" s="1817"/>
      <c r="AA20" s="1814">
        <v>1</v>
      </c>
      <c r="AB20" s="1814">
        <v>1</v>
      </c>
      <c r="AC20" s="1814">
        <v>1</v>
      </c>
    </row>
    <row r="21" spans="1:29" ht="28.5">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3" t="str">
        <f>B21</f>
        <v>基础设施水平</v>
      </c>
      <c r="R21" s="774" t="s">
        <v>17</v>
      </c>
      <c r="S21" s="775">
        <f>F21</f>
        <v>100</v>
      </c>
      <c r="T21" s="774" t="s">
        <v>17</v>
      </c>
      <c r="U21" s="775">
        <f>H21</f>
        <v>100</v>
      </c>
      <c r="V21" s="774" t="s">
        <v>17</v>
      </c>
      <c r="W21" s="775">
        <f>J21</f>
        <v>100</v>
      </c>
      <c r="X21" s="1816"/>
      <c r="Y21" s="323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9"/>
      <c r="Q22" s="1813"/>
      <c r="R22" s="774"/>
      <c r="S22" s="775"/>
      <c r="T22" s="774"/>
      <c r="U22" s="775"/>
      <c r="V22" s="774"/>
      <c r="W22" s="775"/>
      <c r="X22" s="1816"/>
      <c r="Y22" s="3232"/>
      <c r="Z22" s="1817"/>
      <c r="AA22" s="1814">
        <v>1</v>
      </c>
      <c r="AB22" s="1814">
        <v>1</v>
      </c>
      <c r="AC22" s="1814">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3" t="str">
        <f>B23</f>
        <v>自然及人文环境</v>
      </c>
      <c r="R23" s="774" t="s">
        <v>21</v>
      </c>
      <c r="S23" s="775">
        <f>F23</f>
        <v>100</v>
      </c>
      <c r="T23" s="774" t="s">
        <v>21</v>
      </c>
      <c r="U23" s="775">
        <f>H23</f>
        <v>100</v>
      </c>
      <c r="V23" s="774" t="s">
        <v>21</v>
      </c>
      <c r="W23" s="775">
        <f>J23</f>
        <v>100</v>
      </c>
      <c r="X23" s="1816"/>
      <c r="Y23" s="323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9"/>
      <c r="Q24" s="1813"/>
      <c r="R24" s="774"/>
      <c r="S24" s="775"/>
      <c r="T24" s="774"/>
      <c r="U24" s="775"/>
      <c r="V24" s="774"/>
      <c r="W24" s="775"/>
      <c r="X24" s="1816"/>
      <c r="Y24" s="3232"/>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2"/>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9"/>
      <c r="Q26" s="1813" t="str">
        <f t="shared" si="11"/>
        <v>朝向</v>
      </c>
      <c r="R26" s="774" t="s">
        <v>21</v>
      </c>
      <c r="S26" s="775">
        <f t="shared" si="12"/>
        <v>100</v>
      </c>
      <c r="T26" s="774" t="s">
        <v>21</v>
      </c>
      <c r="U26" s="775">
        <f t="shared" si="13"/>
        <v>100</v>
      </c>
      <c r="V26" s="774" t="s">
        <v>21</v>
      </c>
      <c r="W26" s="775">
        <f t="shared" si="14"/>
        <v>100</v>
      </c>
      <c r="X26" s="1816"/>
      <c r="Y26" s="323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9"/>
      <c r="Q27" s="1798">
        <f t="shared" si="11"/>
        <v>111</v>
      </c>
      <c r="R27" s="770" t="s">
        <v>21</v>
      </c>
      <c r="S27" s="771">
        <f t="shared" si="12"/>
        <v>100</v>
      </c>
      <c r="T27" s="770" t="s">
        <v>21</v>
      </c>
      <c r="U27" s="771">
        <f t="shared" si="13"/>
        <v>100</v>
      </c>
      <c r="V27" s="770" t="s">
        <v>21</v>
      </c>
      <c r="W27" s="771">
        <f t="shared" si="14"/>
        <v>100</v>
      </c>
      <c r="X27" s="772"/>
      <c r="Y27" s="323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9"/>
      <c r="Q28" s="1813">
        <f t="shared" si="11"/>
        <v>111</v>
      </c>
      <c r="R28" s="774" t="s">
        <v>21</v>
      </c>
      <c r="S28" s="775">
        <f t="shared" si="12"/>
        <v>100</v>
      </c>
      <c r="T28" s="774" t="s">
        <v>21</v>
      </c>
      <c r="U28" s="775">
        <f t="shared" si="13"/>
        <v>100</v>
      </c>
      <c r="V28" s="774" t="s">
        <v>21</v>
      </c>
      <c r="W28" s="775">
        <f t="shared" si="14"/>
        <v>100</v>
      </c>
      <c r="X28" s="1816"/>
      <c r="Y28" s="323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9"/>
      <c r="Q29" s="1813">
        <f t="shared" si="11"/>
        <v>111</v>
      </c>
      <c r="R29" s="774" t="s">
        <v>21</v>
      </c>
      <c r="S29" s="775">
        <f t="shared" si="12"/>
        <v>100</v>
      </c>
      <c r="T29" s="774" t="s">
        <v>21</v>
      </c>
      <c r="U29" s="775">
        <f t="shared" si="13"/>
        <v>100</v>
      </c>
      <c r="V29" s="774" t="s">
        <v>21</v>
      </c>
      <c r="W29" s="775">
        <f t="shared" si="14"/>
        <v>100</v>
      </c>
      <c r="X29" s="1816"/>
      <c r="Y29" s="323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9"/>
      <c r="Q30" s="1813">
        <f t="shared" si="11"/>
        <v>111</v>
      </c>
      <c r="R30" s="774" t="s">
        <v>21</v>
      </c>
      <c r="S30" s="775">
        <f t="shared" si="12"/>
        <v>100</v>
      </c>
      <c r="T30" s="774" t="s">
        <v>21</v>
      </c>
      <c r="U30" s="775">
        <f t="shared" si="13"/>
        <v>100</v>
      </c>
      <c r="V30" s="774" t="s">
        <v>21</v>
      </c>
      <c r="W30" s="775">
        <f t="shared" si="14"/>
        <v>100</v>
      </c>
      <c r="X30" s="1816"/>
      <c r="Y30" s="323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9"/>
      <c r="Q31" s="1813">
        <f t="shared" si="11"/>
        <v>111</v>
      </c>
      <c r="R31" s="774" t="s">
        <v>21</v>
      </c>
      <c r="S31" s="775">
        <f t="shared" si="12"/>
        <v>100</v>
      </c>
      <c r="T31" s="774" t="s">
        <v>21</v>
      </c>
      <c r="U31" s="775">
        <f t="shared" si="13"/>
        <v>100</v>
      </c>
      <c r="V31" s="774" t="s">
        <v>21</v>
      </c>
      <c r="W31" s="775">
        <f t="shared" si="14"/>
        <v>100</v>
      </c>
      <c r="X31" s="1816"/>
      <c r="Y31" s="3232"/>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3" t="s">
        <v>2563</v>
      </c>
      <c r="Q32" s="1813" t="str">
        <f t="shared" si="11"/>
        <v>建筑类型</v>
      </c>
      <c r="R32" s="774" t="s">
        <v>21</v>
      </c>
      <c r="S32" s="775">
        <f t="shared" si="12"/>
        <v>100</v>
      </c>
      <c r="T32" s="774" t="s">
        <v>21</v>
      </c>
      <c r="U32" s="775">
        <f t="shared" si="13"/>
        <v>100</v>
      </c>
      <c r="V32" s="774" t="s">
        <v>21</v>
      </c>
      <c r="W32" s="775">
        <f t="shared" si="14"/>
        <v>100</v>
      </c>
      <c r="X32" s="1816"/>
      <c r="Y32" s="3236"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4"/>
      <c r="Q34" s="1813" t="str">
        <f t="shared" si="11"/>
        <v>建筑结构</v>
      </c>
      <c r="R34" s="774" t="s">
        <v>21</v>
      </c>
      <c r="S34" s="775">
        <f t="shared" si="12"/>
        <v>100</v>
      </c>
      <c r="T34" s="774" t="s">
        <v>21</v>
      </c>
      <c r="U34" s="775">
        <f t="shared" si="13"/>
        <v>100</v>
      </c>
      <c r="V34" s="774" t="s">
        <v>21</v>
      </c>
      <c r="W34" s="775">
        <f t="shared" si="14"/>
        <v>100</v>
      </c>
      <c r="X34" s="1816"/>
      <c r="Y34" s="3236"/>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4"/>
      <c r="Q35" s="1813" t="str">
        <f t="shared" si="11"/>
        <v>建筑品质</v>
      </c>
      <c r="R35" s="774" t="s">
        <v>21</v>
      </c>
      <c r="S35" s="775">
        <f t="shared" si="12"/>
        <v>100</v>
      </c>
      <c r="T35" s="774" t="s">
        <v>21</v>
      </c>
      <c r="U35" s="775">
        <f t="shared" si="13"/>
        <v>100</v>
      </c>
      <c r="V35" s="774" t="s">
        <v>21</v>
      </c>
      <c r="W35" s="775">
        <f t="shared" si="14"/>
        <v>100</v>
      </c>
      <c r="X35" s="1816"/>
      <c r="Y35" s="3236"/>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4"/>
      <c r="Q36" s="1813" t="str">
        <f t="shared" si="11"/>
        <v>公共部分装修</v>
      </c>
      <c r="R36" s="774" t="s">
        <v>21</v>
      </c>
      <c r="S36" s="775">
        <f t="shared" si="12"/>
        <v>100</v>
      </c>
      <c r="T36" s="774" t="s">
        <v>21</v>
      </c>
      <c r="U36" s="775">
        <f t="shared" si="13"/>
        <v>100</v>
      </c>
      <c r="V36" s="774" t="s">
        <v>21</v>
      </c>
      <c r="W36" s="775">
        <f t="shared" si="14"/>
        <v>100</v>
      </c>
      <c r="X36" s="1816"/>
      <c r="Y36" s="3236"/>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8"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4" t="s">
        <v>2563</v>
      </c>
      <c r="Q38" s="1813" t="str">
        <f t="shared" si="11"/>
        <v>物业管理</v>
      </c>
      <c r="R38" s="774" t="s">
        <v>21</v>
      </c>
      <c r="S38" s="775">
        <f t="shared" si="12"/>
        <v>100</v>
      </c>
      <c r="T38" s="774" t="s">
        <v>21</v>
      </c>
      <c r="U38" s="775">
        <f t="shared" si="13"/>
        <v>100</v>
      </c>
      <c r="V38" s="774" t="s">
        <v>21</v>
      </c>
      <c r="W38" s="775">
        <f t="shared" si="14"/>
        <v>100</v>
      </c>
      <c r="X38" s="1816"/>
      <c r="Y38" s="3236"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4"/>
      <c r="Q39" s="1813" t="str">
        <f t="shared" si="11"/>
        <v>市政基础设施</v>
      </c>
      <c r="R39" s="774" t="s">
        <v>21</v>
      </c>
      <c r="S39" s="775">
        <f t="shared" si="12"/>
        <v>100</v>
      </c>
      <c r="T39" s="774" t="s">
        <v>21</v>
      </c>
      <c r="U39" s="775">
        <f t="shared" si="13"/>
        <v>100</v>
      </c>
      <c r="V39" s="774" t="s">
        <v>21</v>
      </c>
      <c r="W39" s="775">
        <f t="shared" si="14"/>
        <v>100</v>
      </c>
      <c r="X39" s="1816"/>
      <c r="Y39" s="3236"/>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4"/>
      <c r="Q40" s="1813" t="str">
        <f t="shared" si="11"/>
        <v>房型</v>
      </c>
      <c r="R40" s="774" t="s">
        <v>21</v>
      </c>
      <c r="S40" s="775">
        <f t="shared" si="12"/>
        <v>100</v>
      </c>
      <c r="T40" s="774" t="s">
        <v>21</v>
      </c>
      <c r="U40" s="775">
        <f t="shared" si="13"/>
        <v>100</v>
      </c>
      <c r="V40" s="774" t="s">
        <v>21</v>
      </c>
      <c r="W40" s="775">
        <f t="shared" si="14"/>
        <v>100</v>
      </c>
      <c r="X40" s="1816"/>
      <c r="Y40" s="3236"/>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4"/>
      <c r="Q42" s="1813" t="str">
        <f t="shared" si="11"/>
        <v>内部装修</v>
      </c>
      <c r="R42" s="774" t="s">
        <v>21</v>
      </c>
      <c r="S42" s="775">
        <f t="shared" si="12"/>
        <v>100</v>
      </c>
      <c r="T42" s="774" t="s">
        <v>21</v>
      </c>
      <c r="U42" s="775">
        <f t="shared" si="13"/>
        <v>100</v>
      </c>
      <c r="V42" s="774" t="s">
        <v>21</v>
      </c>
      <c r="W42" s="775">
        <f t="shared" si="14"/>
        <v>100</v>
      </c>
      <c r="X42" s="1816"/>
      <c r="Y42" s="3236"/>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4"/>
      <c r="Q43" s="1813" t="str">
        <f t="shared" si="11"/>
        <v>内部装修维护情况</v>
      </c>
      <c r="R43" s="774" t="s">
        <v>21</v>
      </c>
      <c r="S43" s="775">
        <f t="shared" si="12"/>
        <v>100</v>
      </c>
      <c r="T43" s="774" t="s">
        <v>21</v>
      </c>
      <c r="U43" s="775">
        <f t="shared" si="13"/>
        <v>100</v>
      </c>
      <c r="V43" s="774" t="s">
        <v>21</v>
      </c>
      <c r="W43" s="775">
        <f t="shared" si="14"/>
        <v>100</v>
      </c>
      <c r="X43" s="1816"/>
      <c r="Y43" s="323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4"/>
      <c r="Q44" s="1798">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4"/>
      <c r="Q45" s="1813">
        <f t="shared" si="11"/>
        <v>111</v>
      </c>
      <c r="R45" s="774" t="s">
        <v>21</v>
      </c>
      <c r="S45" s="775">
        <f t="shared" si="12"/>
        <v>100</v>
      </c>
      <c r="T45" s="774" t="s">
        <v>21</v>
      </c>
      <c r="U45" s="775">
        <f t="shared" si="13"/>
        <v>100</v>
      </c>
      <c r="V45" s="774" t="s">
        <v>21</v>
      </c>
      <c r="W45" s="775">
        <f t="shared" si="14"/>
        <v>100</v>
      </c>
      <c r="X45" s="1816"/>
      <c r="Y45" s="3236"/>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5"/>
      <c r="Q46" s="1813">
        <f t="shared" si="11"/>
        <v>111</v>
      </c>
      <c r="R46" s="774" t="s">
        <v>20</v>
      </c>
      <c r="S46" s="775">
        <f t="shared" si="12"/>
        <v>100</v>
      </c>
      <c r="T46" s="774" t="s">
        <v>20</v>
      </c>
      <c r="U46" s="775">
        <f t="shared" si="13"/>
        <v>100</v>
      </c>
      <c r="V46" s="774" t="s">
        <v>20</v>
      </c>
      <c r="W46" s="775">
        <f t="shared" si="14"/>
        <v>100</v>
      </c>
      <c r="X46" s="1816"/>
      <c r="Y46" s="3237"/>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18037.400000000001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224" t="s">
        <v>2646</v>
      </c>
      <c r="AC4" s="3194" t="s">
        <v>2647</v>
      </c>
    </row>
    <row r="5" spans="1:29" ht="15">
      <c r="A5" s="404"/>
      <c r="B5" s="405"/>
      <c r="C5" s="3205" t="s">
        <v>2540</v>
      </c>
      <c r="D5" s="3206"/>
      <c r="E5" s="3203" t="s">
        <v>2541</v>
      </c>
      <c r="F5" s="3204"/>
      <c r="G5" s="3205" t="s">
        <v>2542</v>
      </c>
      <c r="H5" s="3206"/>
      <c r="I5" s="3205" t="s">
        <v>2543</v>
      </c>
      <c r="J5" s="3206"/>
      <c r="K5" s="610"/>
      <c r="L5" s="1133"/>
      <c r="M5" s="1134"/>
      <c r="N5" s="1134"/>
      <c r="O5" s="1134"/>
      <c r="P5" s="3218"/>
      <c r="Q5" s="3219"/>
      <c r="R5" s="3201"/>
      <c r="S5" s="3202"/>
      <c r="T5" s="3201"/>
      <c r="U5" s="3202"/>
      <c r="V5" s="3224"/>
      <c r="W5" s="3224"/>
      <c r="X5" s="1816"/>
      <c r="Y5" s="3201"/>
      <c r="Z5" s="3202"/>
      <c r="AA5" s="3195"/>
      <c r="AB5" s="3224"/>
      <c r="AC5" s="3195"/>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224"/>
      <c r="W6" s="3224"/>
      <c r="X6" s="1816"/>
      <c r="Y6" s="3222"/>
      <c r="Z6" s="3223"/>
      <c r="AA6" s="3196"/>
      <c r="AB6" s="3224"/>
      <c r="AC6" s="3196"/>
    </row>
    <row r="7" spans="1:29" s="117" customFormat="1" ht="15.75" thickBot="1">
      <c r="A7" s="408" t="s">
        <v>2546</v>
      </c>
      <c r="B7" s="409"/>
      <c r="C7" s="410">
        <f>'数据-取费表'!B2</f>
        <v>43363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7" t="s">
        <v>2547</v>
      </c>
      <c r="Q7" s="3225"/>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2558</v>
      </c>
      <c r="Q15" s="1813" t="str">
        <f t="shared" si="6"/>
        <v>商业繁华度</v>
      </c>
      <c r="R15" s="774" t="s">
        <v>17</v>
      </c>
      <c r="S15" s="775">
        <f t="shared" si="0"/>
        <v>100</v>
      </c>
      <c r="T15" s="774" t="s">
        <v>17</v>
      </c>
      <c r="U15" s="775">
        <f t="shared" si="1"/>
        <v>100</v>
      </c>
      <c r="V15" s="774" t="s">
        <v>17</v>
      </c>
      <c r="W15" s="775">
        <f t="shared" si="2"/>
        <v>100</v>
      </c>
      <c r="X15" s="1816"/>
      <c r="Y15" s="3231"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9"/>
      <c r="Q16" s="1813"/>
      <c r="R16" s="774"/>
      <c r="S16" s="775"/>
      <c r="T16" s="774"/>
      <c r="U16" s="775"/>
      <c r="V16" s="774"/>
      <c r="W16" s="775"/>
      <c r="X16" s="1816"/>
      <c r="Y16" s="3232"/>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23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9"/>
      <c r="Q18" s="1813"/>
      <c r="R18" s="774"/>
      <c r="S18" s="775"/>
      <c r="T18" s="774"/>
      <c r="U18" s="775"/>
      <c r="V18" s="774"/>
      <c r="W18" s="775"/>
      <c r="X18" s="1816"/>
      <c r="Y18" s="3232"/>
      <c r="Z18" s="1817"/>
      <c r="AA18" s="1814">
        <v>1</v>
      </c>
      <c r="AB18" s="1814">
        <v>1</v>
      </c>
      <c r="AC18" s="1814">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23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9"/>
      <c r="Q20" s="1813"/>
      <c r="R20" s="774"/>
      <c r="S20" s="775"/>
      <c r="T20" s="774"/>
      <c r="U20" s="775"/>
      <c r="V20" s="774"/>
      <c r="W20" s="775"/>
      <c r="X20" s="1816"/>
      <c r="Y20" s="3232"/>
      <c r="Z20" s="1817"/>
      <c r="AA20" s="1814">
        <v>1</v>
      </c>
      <c r="AB20" s="1814">
        <v>1</v>
      </c>
      <c r="AC20" s="1814">
        <v>1</v>
      </c>
    </row>
    <row r="21" spans="1:29" ht="28.5">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23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9"/>
      <c r="Q22" s="1813"/>
      <c r="R22" s="774"/>
      <c r="S22" s="775"/>
      <c r="T22" s="774"/>
      <c r="U22" s="775"/>
      <c r="V22" s="774"/>
      <c r="W22" s="775"/>
      <c r="X22" s="1816"/>
      <c r="Y22" s="3232"/>
      <c r="Z22" s="1817"/>
      <c r="AA22" s="1814">
        <v>1</v>
      </c>
      <c r="AB22" s="1814">
        <v>1</v>
      </c>
      <c r="AC22" s="1814">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3" t="str">
        <f>B23</f>
        <v>自然及人文环境</v>
      </c>
      <c r="R23" s="774" t="s">
        <v>17</v>
      </c>
      <c r="S23" s="775">
        <f>F23</f>
        <v>100</v>
      </c>
      <c r="T23" s="774" t="s">
        <v>17</v>
      </c>
      <c r="U23" s="775">
        <f>H23</f>
        <v>100</v>
      </c>
      <c r="V23" s="774" t="s">
        <v>17</v>
      </c>
      <c r="W23" s="775">
        <f>J23</f>
        <v>100</v>
      </c>
      <c r="X23" s="1816"/>
      <c r="Y23" s="323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9"/>
      <c r="Q24" s="1813"/>
      <c r="R24" s="774"/>
      <c r="S24" s="775"/>
      <c r="T24" s="774"/>
      <c r="U24" s="775"/>
      <c r="V24" s="774"/>
      <c r="W24" s="775"/>
      <c r="X24" s="1816"/>
      <c r="Y24" s="3232"/>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3" t="str">
        <f t="shared" ref="Q25:Q46" si="11">B25</f>
        <v>临街状况</v>
      </c>
      <c r="R25" s="774" t="s">
        <v>17</v>
      </c>
      <c r="S25" s="775">
        <f>F25</f>
        <v>100</v>
      </c>
      <c r="T25" s="774" t="s">
        <v>17</v>
      </c>
      <c r="U25" s="775">
        <f>H25</f>
        <v>100</v>
      </c>
      <c r="V25" s="774" t="s">
        <v>17</v>
      </c>
      <c r="W25" s="775">
        <f>J25</f>
        <v>100</v>
      </c>
      <c r="X25" s="1816"/>
      <c r="Y25" s="3232"/>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3" t="str">
        <f t="shared" si="11"/>
        <v>平面位置/可视性</v>
      </c>
      <c r="R26" s="774" t="s">
        <v>17</v>
      </c>
      <c r="S26" s="775">
        <f>F26</f>
        <v>100</v>
      </c>
      <c r="T26" s="774" t="s">
        <v>17</v>
      </c>
      <c r="U26" s="775">
        <f>H26</f>
        <v>100</v>
      </c>
      <c r="V26" s="774" t="s">
        <v>17</v>
      </c>
      <c r="W26" s="775">
        <f>J26</f>
        <v>100</v>
      </c>
      <c r="X26" s="1816"/>
      <c r="Y26" s="3232"/>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9"/>
      <c r="Q27" s="1798" t="str">
        <f t="shared" si="11"/>
        <v>人流量</v>
      </c>
      <c r="R27" s="770" t="s">
        <v>17</v>
      </c>
      <c r="S27" s="771">
        <f>F27</f>
        <v>100</v>
      </c>
      <c r="T27" s="770" t="s">
        <v>17</v>
      </c>
      <c r="U27" s="771">
        <f>H27</f>
        <v>100</v>
      </c>
      <c r="V27" s="770" t="s">
        <v>17</v>
      </c>
      <c r="W27" s="771">
        <f>J27</f>
        <v>100</v>
      </c>
      <c r="X27" s="772"/>
      <c r="Y27" s="3232"/>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3">
        <f t="shared" si="11"/>
        <v>111</v>
      </c>
      <c r="R29" s="774" t="s">
        <v>17</v>
      </c>
      <c r="S29" s="775">
        <f t="shared" si="12"/>
        <v>100</v>
      </c>
      <c r="T29" s="774" t="s">
        <v>17</v>
      </c>
      <c r="U29" s="775">
        <f t="shared" si="13"/>
        <v>100</v>
      </c>
      <c r="V29" s="774" t="s">
        <v>17</v>
      </c>
      <c r="W29" s="775">
        <f t="shared" si="14"/>
        <v>100</v>
      </c>
      <c r="X29" s="1816"/>
      <c r="Y29" s="323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23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232"/>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3" t="s">
        <v>2563</v>
      </c>
      <c r="Q32" s="1813" t="str">
        <f t="shared" si="11"/>
        <v>商业类型</v>
      </c>
      <c r="R32" s="774" t="s">
        <v>17</v>
      </c>
      <c r="S32" s="775">
        <f t="shared" si="12"/>
        <v>100</v>
      </c>
      <c r="T32" s="774" t="s">
        <v>17</v>
      </c>
      <c r="U32" s="775">
        <f t="shared" si="13"/>
        <v>100</v>
      </c>
      <c r="V32" s="774" t="s">
        <v>17</v>
      </c>
      <c r="W32" s="775">
        <f t="shared" si="14"/>
        <v>100</v>
      </c>
      <c r="X32" s="1816"/>
      <c r="Y32" s="3236"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4"/>
      <c r="Q34" s="1813" t="str">
        <f t="shared" si="11"/>
        <v>建筑结构</v>
      </c>
      <c r="R34" s="774" t="s">
        <v>17</v>
      </c>
      <c r="S34" s="775">
        <f t="shared" si="12"/>
        <v>100</v>
      </c>
      <c r="T34" s="774" t="s">
        <v>17</v>
      </c>
      <c r="U34" s="775">
        <f t="shared" si="13"/>
        <v>100</v>
      </c>
      <c r="V34" s="774" t="s">
        <v>17</v>
      </c>
      <c r="W34" s="775">
        <f t="shared" si="14"/>
        <v>100</v>
      </c>
      <c r="X34" s="1816"/>
      <c r="Y34" s="3236"/>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4"/>
      <c r="Q35" s="1813" t="str">
        <f t="shared" si="11"/>
        <v>公共部分装修</v>
      </c>
      <c r="R35" s="774" t="s">
        <v>17</v>
      </c>
      <c r="S35" s="775">
        <f t="shared" si="12"/>
        <v>100</v>
      </c>
      <c r="T35" s="774" t="s">
        <v>17</v>
      </c>
      <c r="U35" s="775">
        <f t="shared" si="13"/>
        <v>100</v>
      </c>
      <c r="V35" s="774" t="s">
        <v>17</v>
      </c>
      <c r="W35" s="775">
        <f t="shared" si="14"/>
        <v>100</v>
      </c>
      <c r="X35" s="1816"/>
      <c r="Y35" s="3236"/>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3" t="str">
        <f t="shared" si="11"/>
        <v>成新度</v>
      </c>
      <c r="R36" s="774" t="s">
        <v>17</v>
      </c>
      <c r="S36" s="775" t="e">
        <f t="shared" si="12"/>
        <v>#N/A</v>
      </c>
      <c r="T36" s="774" t="s">
        <v>17</v>
      </c>
      <c r="U36" s="775" t="e">
        <f t="shared" si="13"/>
        <v>#N/A</v>
      </c>
      <c r="V36" s="774" t="s">
        <v>17</v>
      </c>
      <c r="W36" s="775" t="e">
        <f t="shared" si="14"/>
        <v>#N/A</v>
      </c>
      <c r="X36" s="1816"/>
      <c r="Y36" s="3236"/>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4"/>
      <c r="Q37" s="1798"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4" t="s">
        <v>2563</v>
      </c>
      <c r="Q38" s="1813" t="str">
        <f t="shared" si="11"/>
        <v>业态</v>
      </c>
      <c r="R38" s="774" t="s">
        <v>17</v>
      </c>
      <c r="S38" s="775">
        <f t="shared" si="12"/>
        <v>100</v>
      </c>
      <c r="T38" s="774" t="s">
        <v>17</v>
      </c>
      <c r="U38" s="775">
        <f t="shared" si="13"/>
        <v>100</v>
      </c>
      <c r="V38" s="774" t="s">
        <v>17</v>
      </c>
      <c r="W38" s="775">
        <f t="shared" si="14"/>
        <v>100</v>
      </c>
      <c r="X38" s="1816"/>
      <c r="Y38" s="3236"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4"/>
      <c r="Q39" s="1813" t="str">
        <f t="shared" si="11"/>
        <v>层高</v>
      </c>
      <c r="R39" s="774" t="s">
        <v>17</v>
      </c>
      <c r="S39" s="775">
        <f t="shared" si="12"/>
        <v>100</v>
      </c>
      <c r="T39" s="774" t="s">
        <v>17</v>
      </c>
      <c r="U39" s="775">
        <f t="shared" si="13"/>
        <v>100</v>
      </c>
      <c r="V39" s="774" t="s">
        <v>17</v>
      </c>
      <c r="W39" s="775">
        <f t="shared" si="14"/>
        <v>100</v>
      </c>
      <c r="X39" s="1816"/>
      <c r="Y39" s="3236"/>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3" t="str">
        <f t="shared" si="11"/>
        <v>单套建筑面积</v>
      </c>
      <c r="R40" s="774" t="s">
        <v>17</v>
      </c>
      <c r="S40" s="775">
        <f t="shared" si="12"/>
        <v>100</v>
      </c>
      <c r="T40" s="774" t="s">
        <v>17</v>
      </c>
      <c r="U40" s="775">
        <f t="shared" si="13"/>
        <v>100</v>
      </c>
      <c r="V40" s="774" t="s">
        <v>17</v>
      </c>
      <c r="W40" s="775">
        <f t="shared" si="14"/>
        <v>100</v>
      </c>
      <c r="X40" s="1816"/>
      <c r="Y40" s="3236"/>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4"/>
      <c r="Q42" s="1813" t="str">
        <f t="shared" si="11"/>
        <v>内部装修</v>
      </c>
      <c r="R42" s="774" t="s">
        <v>17</v>
      </c>
      <c r="S42" s="775">
        <f t="shared" si="12"/>
        <v>100</v>
      </c>
      <c r="T42" s="774" t="s">
        <v>17</v>
      </c>
      <c r="U42" s="775">
        <f t="shared" si="13"/>
        <v>100</v>
      </c>
      <c r="V42" s="774" t="s">
        <v>17</v>
      </c>
      <c r="W42" s="775">
        <f t="shared" si="14"/>
        <v>100</v>
      </c>
      <c r="X42" s="1816"/>
      <c r="Y42" s="3236"/>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4"/>
      <c r="Q43" s="1813" t="str">
        <f t="shared" si="11"/>
        <v>内部装修维护情况</v>
      </c>
      <c r="R43" s="774" t="s">
        <v>17</v>
      </c>
      <c r="S43" s="775">
        <f t="shared" si="12"/>
        <v>100</v>
      </c>
      <c r="T43" s="774" t="s">
        <v>17</v>
      </c>
      <c r="U43" s="775">
        <f t="shared" si="13"/>
        <v>100</v>
      </c>
      <c r="V43" s="774" t="s">
        <v>17</v>
      </c>
      <c r="W43" s="775">
        <f t="shared" si="14"/>
        <v>100</v>
      </c>
      <c r="X43" s="1816"/>
      <c r="Y43" s="323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8">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3">
        <f t="shared" si="11"/>
        <v>111</v>
      </c>
      <c r="R45" s="774" t="s">
        <v>17</v>
      </c>
      <c r="S45" s="775">
        <f t="shared" si="12"/>
        <v>100</v>
      </c>
      <c r="T45" s="774" t="s">
        <v>17</v>
      </c>
      <c r="U45" s="775">
        <f t="shared" si="13"/>
        <v>100</v>
      </c>
      <c r="V45" s="774" t="s">
        <v>17</v>
      </c>
      <c r="W45" s="775">
        <f t="shared" si="14"/>
        <v>100</v>
      </c>
      <c r="X45" s="1816"/>
      <c r="Y45" s="3236"/>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29" t="str">
        <f>A47</f>
        <v>成交单价（元/平方米）</v>
      </c>
      <c r="Q47" s="3229"/>
      <c r="R47" s="3224">
        <f>E47</f>
        <v>0</v>
      </c>
      <c r="S47" s="3224"/>
      <c r="T47" s="3224">
        <f>G47</f>
        <v>0</v>
      </c>
      <c r="U47" s="3224"/>
      <c r="V47" s="3224">
        <f>I47</f>
        <v>0</v>
      </c>
      <c r="W47" s="3224"/>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18037.400000000001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46" t="s">
        <v>2649</v>
      </c>
      <c r="Q4" s="3247"/>
      <c r="R4" s="3241" t="s">
        <v>2645</v>
      </c>
      <c r="S4" s="3242"/>
      <c r="T4" s="3241" t="s">
        <v>2646</v>
      </c>
      <c r="U4" s="3242"/>
      <c r="V4" s="3250" t="s">
        <v>2647</v>
      </c>
      <c r="W4" s="3250"/>
      <c r="X4" s="2673"/>
      <c r="Y4" s="3241" t="s">
        <v>2649</v>
      </c>
      <c r="Z4" s="3242"/>
      <c r="AA4" s="3240" t="s">
        <v>2645</v>
      </c>
      <c r="AB4" s="3240" t="s">
        <v>2646</v>
      </c>
      <c r="AC4" s="3243" t="s">
        <v>2647</v>
      </c>
    </row>
    <row r="5" spans="1:29" ht="15">
      <c r="A5" s="404"/>
      <c r="B5" s="405"/>
      <c r="C5" s="3205" t="s">
        <v>2540</v>
      </c>
      <c r="D5" s="3206"/>
      <c r="E5" s="3203" t="s">
        <v>2541</v>
      </c>
      <c r="F5" s="3204"/>
      <c r="G5" s="3205" t="s">
        <v>2542</v>
      </c>
      <c r="H5" s="3206"/>
      <c r="I5" s="3205" t="s">
        <v>2543</v>
      </c>
      <c r="J5" s="3206"/>
      <c r="K5" s="610"/>
      <c r="L5" s="1133"/>
      <c r="M5" s="1134"/>
      <c r="N5" s="1134"/>
      <c r="O5" s="1134"/>
      <c r="P5" s="3248"/>
      <c r="Q5" s="3219"/>
      <c r="R5" s="3201"/>
      <c r="S5" s="3202"/>
      <c r="T5" s="3201"/>
      <c r="U5" s="3202"/>
      <c r="V5" s="3224"/>
      <c r="W5" s="3224"/>
      <c r="X5" s="1816"/>
      <c r="Y5" s="3201"/>
      <c r="Z5" s="3202"/>
      <c r="AA5" s="3195"/>
      <c r="AB5" s="3195"/>
      <c r="AC5" s="324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49"/>
      <c r="Q6" s="3221"/>
      <c r="R6" s="3201"/>
      <c r="S6" s="3202"/>
      <c r="T6" s="3222"/>
      <c r="U6" s="3223"/>
      <c r="V6" s="3224"/>
      <c r="W6" s="3224"/>
      <c r="X6" s="1816"/>
      <c r="Y6" s="3222"/>
      <c r="Z6" s="3223"/>
      <c r="AA6" s="3196"/>
      <c r="AB6" s="3196"/>
      <c r="AC6" s="3245"/>
    </row>
    <row r="7" spans="1:29" s="117" customFormat="1" ht="15.75" thickBot="1">
      <c r="A7" s="408" t="s">
        <v>2546</v>
      </c>
      <c r="B7" s="409"/>
      <c r="C7" s="410">
        <f>'数据-取费表'!B2</f>
        <v>43363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2547</v>
      </c>
      <c r="Q7" s="3225"/>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2550</v>
      </c>
      <c r="Q8" s="3198"/>
      <c r="R8" s="770" t="s">
        <v>17</v>
      </c>
      <c r="S8" s="771">
        <f t="shared" si="0"/>
        <v>0</v>
      </c>
      <c r="T8" s="770" t="s">
        <v>17</v>
      </c>
      <c r="U8" s="771">
        <f t="shared" si="1"/>
        <v>0</v>
      </c>
      <c r="V8" s="770" t="s">
        <v>17</v>
      </c>
      <c r="W8" s="771">
        <f t="shared" si="2"/>
        <v>0</v>
      </c>
      <c r="X8" s="772"/>
      <c r="Y8" s="3197" t="s">
        <v>2550</v>
      </c>
      <c r="Z8" s="3198"/>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2558</v>
      </c>
      <c r="Q15" s="1813" t="str">
        <f t="shared" si="6"/>
        <v>办公集聚程度</v>
      </c>
      <c r="R15" s="774" t="s">
        <v>17</v>
      </c>
      <c r="S15" s="775">
        <f t="shared" si="0"/>
        <v>100</v>
      </c>
      <c r="T15" s="774" t="s">
        <v>17</v>
      </c>
      <c r="U15" s="775">
        <f t="shared" si="1"/>
        <v>100</v>
      </c>
      <c r="V15" s="774" t="s">
        <v>17</v>
      </c>
      <c r="W15" s="775">
        <f t="shared" si="2"/>
        <v>100</v>
      </c>
      <c r="X15" s="1816"/>
      <c r="Y15" s="3231"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9"/>
      <c r="Q16" s="1813"/>
      <c r="R16" s="774"/>
      <c r="S16" s="775"/>
      <c r="T16" s="774"/>
      <c r="U16" s="775"/>
      <c r="V16" s="774"/>
      <c r="W16" s="775"/>
      <c r="X16" s="1816"/>
      <c r="Y16" s="3232"/>
      <c r="Z16" s="1817"/>
      <c r="AA16" s="1814">
        <v>1</v>
      </c>
      <c r="AB16" s="1814">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23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9"/>
      <c r="Q18" s="1813"/>
      <c r="R18" s="774"/>
      <c r="S18" s="775"/>
      <c r="T18" s="774"/>
      <c r="U18" s="775"/>
      <c r="V18" s="774"/>
      <c r="W18" s="775"/>
      <c r="X18" s="1816"/>
      <c r="Y18" s="3232"/>
      <c r="Z18" s="1817"/>
      <c r="AA18" s="1814">
        <v>1</v>
      </c>
      <c r="AB18" s="1814">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23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9"/>
      <c r="Q20" s="1813"/>
      <c r="R20" s="774"/>
      <c r="S20" s="775"/>
      <c r="T20" s="774"/>
      <c r="U20" s="775"/>
      <c r="V20" s="774"/>
      <c r="W20" s="775"/>
      <c r="X20" s="1816"/>
      <c r="Y20" s="3232"/>
      <c r="Z20" s="1817"/>
      <c r="AA20" s="1814">
        <v>1</v>
      </c>
      <c r="AB20" s="1814">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23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9"/>
      <c r="Q22" s="1813"/>
      <c r="R22" s="774"/>
      <c r="S22" s="775"/>
      <c r="T22" s="774"/>
      <c r="U22" s="775"/>
      <c r="V22" s="774"/>
      <c r="W22" s="775"/>
      <c r="X22" s="1816"/>
      <c r="Y22" s="3232"/>
      <c r="Z22" s="1817"/>
      <c r="AA22" s="1814">
        <v>1</v>
      </c>
      <c r="AB22" s="1814">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3" t="str">
        <f>B23</f>
        <v>环境质量</v>
      </c>
      <c r="R23" s="774" t="s">
        <v>17</v>
      </c>
      <c r="S23" s="775">
        <f>F23</f>
        <v>100</v>
      </c>
      <c r="T23" s="774" t="s">
        <v>17</v>
      </c>
      <c r="U23" s="775">
        <f>H23</f>
        <v>100</v>
      </c>
      <c r="V23" s="774" t="s">
        <v>17</v>
      </c>
      <c r="W23" s="775">
        <f>J23</f>
        <v>100</v>
      </c>
      <c r="X23" s="1816"/>
      <c r="Y23" s="323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9"/>
      <c r="Q24" s="1813"/>
      <c r="R24" s="774"/>
      <c r="S24" s="775"/>
      <c r="T24" s="774"/>
      <c r="U24" s="775"/>
      <c r="V24" s="774"/>
      <c r="W24" s="775"/>
      <c r="X24" s="1816"/>
      <c r="Y24" s="3232"/>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9"/>
      <c r="Q25" s="1813" t="str">
        <f>B25</f>
        <v>毗邻道路的类型与等级</v>
      </c>
      <c r="R25" s="774" t="s">
        <v>17</v>
      </c>
      <c r="S25" s="775">
        <f>F25</f>
        <v>100</v>
      </c>
      <c r="T25" s="774" t="s">
        <v>17</v>
      </c>
      <c r="U25" s="775">
        <f>H25</f>
        <v>100</v>
      </c>
      <c r="V25" s="774" t="s">
        <v>17</v>
      </c>
      <c r="W25" s="775">
        <f>J25</f>
        <v>100</v>
      </c>
      <c r="X25" s="1816"/>
      <c r="Y25" s="323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9"/>
      <c r="Q26" s="1813"/>
      <c r="R26" s="774"/>
      <c r="S26" s="775"/>
      <c r="T26" s="774"/>
      <c r="U26" s="775"/>
      <c r="V26" s="774"/>
      <c r="W26" s="775"/>
      <c r="X26" s="1816"/>
      <c r="Y26" s="3232"/>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3" t="str">
        <f t="shared" ref="Q27:Q47" si="11">B27</f>
        <v>楼层</v>
      </c>
      <c r="R27" s="774" t="s">
        <v>17</v>
      </c>
      <c r="S27" s="775">
        <f>F27</f>
        <v>100</v>
      </c>
      <c r="T27" s="774" t="s">
        <v>17</v>
      </c>
      <c r="U27" s="775">
        <f>H27</f>
        <v>100</v>
      </c>
      <c r="V27" s="774" t="s">
        <v>17</v>
      </c>
      <c r="W27" s="775">
        <f>J27</f>
        <v>100</v>
      </c>
      <c r="X27" s="1816"/>
      <c r="Y27" s="3232"/>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9"/>
      <c r="Q28" s="1798" t="str">
        <f t="shared" si="11"/>
        <v>朝向</v>
      </c>
      <c r="R28" s="770" t="s">
        <v>17</v>
      </c>
      <c r="S28" s="771">
        <f>F28</f>
        <v>100</v>
      </c>
      <c r="T28" s="770" t="s">
        <v>17</v>
      </c>
      <c r="U28" s="771">
        <f>H28</f>
        <v>100</v>
      </c>
      <c r="V28" s="770" t="s">
        <v>17</v>
      </c>
      <c r="W28" s="771">
        <f>J28</f>
        <v>100</v>
      </c>
      <c r="X28" s="772"/>
      <c r="Y28" s="323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9"/>
      <c r="Q29" s="1813">
        <f t="shared" si="11"/>
        <v>111</v>
      </c>
      <c r="R29" s="774" t="s">
        <v>17</v>
      </c>
      <c r="S29" s="775">
        <f t="shared" ref="S29:S47" si="12">F29</f>
        <v>100</v>
      </c>
      <c r="T29" s="774" t="s">
        <v>17</v>
      </c>
      <c r="U29" s="775">
        <f t="shared" ref="U29:U47" si="13">H29</f>
        <v>100</v>
      </c>
      <c r="V29" s="774" t="s">
        <v>17</v>
      </c>
      <c r="W29" s="775">
        <f t="shared" ref="W29:W47" si="14">J29</f>
        <v>100</v>
      </c>
      <c r="X29" s="1816"/>
      <c r="Y29" s="323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23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232"/>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9"/>
      <c r="Q32" s="1813">
        <f t="shared" si="11"/>
        <v>111</v>
      </c>
      <c r="R32" s="774" t="s">
        <v>17</v>
      </c>
      <c r="S32" s="775">
        <f t="shared" si="12"/>
        <v>100</v>
      </c>
      <c r="T32" s="774" t="s">
        <v>17</v>
      </c>
      <c r="U32" s="775">
        <f t="shared" si="13"/>
        <v>100</v>
      </c>
      <c r="V32" s="774" t="s">
        <v>17</v>
      </c>
      <c r="W32" s="775">
        <f t="shared" si="14"/>
        <v>100</v>
      </c>
      <c r="X32" s="1816"/>
      <c r="Y32" s="3232"/>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3" t="s">
        <v>2563</v>
      </c>
      <c r="Q33" s="1813" t="str">
        <f t="shared" si="11"/>
        <v>建筑类型</v>
      </c>
      <c r="R33" s="774" t="s">
        <v>17</v>
      </c>
      <c r="S33" s="775">
        <f t="shared" si="12"/>
        <v>100</v>
      </c>
      <c r="T33" s="774" t="s">
        <v>17</v>
      </c>
      <c r="U33" s="775">
        <f t="shared" si="13"/>
        <v>100</v>
      </c>
      <c r="V33" s="774" t="s">
        <v>17</v>
      </c>
      <c r="W33" s="775">
        <f t="shared" si="14"/>
        <v>100</v>
      </c>
      <c r="X33" s="1816"/>
      <c r="Y33" s="3236"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3" t="str">
        <f t="shared" si="11"/>
        <v>建筑结构</v>
      </c>
      <c r="R35" s="774" t="s">
        <v>17</v>
      </c>
      <c r="S35" s="775">
        <f t="shared" si="12"/>
        <v>100</v>
      </c>
      <c r="T35" s="774" t="s">
        <v>17</v>
      </c>
      <c r="U35" s="775">
        <f t="shared" si="13"/>
        <v>100</v>
      </c>
      <c r="V35" s="774" t="s">
        <v>17</v>
      </c>
      <c r="W35" s="775">
        <f t="shared" si="14"/>
        <v>100</v>
      </c>
      <c r="X35" s="1816"/>
      <c r="Y35" s="3236"/>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3" t="str">
        <f t="shared" si="11"/>
        <v>公共部分装修</v>
      </c>
      <c r="R36" s="774" t="s">
        <v>17</v>
      </c>
      <c r="S36" s="775">
        <f t="shared" si="12"/>
        <v>100</v>
      </c>
      <c r="T36" s="774" t="s">
        <v>17</v>
      </c>
      <c r="U36" s="775">
        <f t="shared" si="13"/>
        <v>100</v>
      </c>
      <c r="V36" s="774" t="s">
        <v>17</v>
      </c>
      <c r="W36" s="775">
        <f t="shared" si="14"/>
        <v>100</v>
      </c>
      <c r="X36" s="1816"/>
      <c r="Y36" s="3236"/>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3" t="str">
        <f t="shared" si="11"/>
        <v>成新度</v>
      </c>
      <c r="R37" s="774" t="s">
        <v>17</v>
      </c>
      <c r="S37" s="775" t="e">
        <f t="shared" si="12"/>
        <v>#N/A</v>
      </c>
      <c r="T37" s="774" t="s">
        <v>17</v>
      </c>
      <c r="U37" s="775" t="e">
        <f t="shared" si="13"/>
        <v>#N/A</v>
      </c>
      <c r="V37" s="774" t="s">
        <v>17</v>
      </c>
      <c r="W37" s="775" t="e">
        <f t="shared" si="14"/>
        <v>#N/A</v>
      </c>
      <c r="X37" s="1816"/>
      <c r="Y37" s="3236"/>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8"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2563</v>
      </c>
      <c r="Q39" s="1813" t="str">
        <f t="shared" si="11"/>
        <v>物业管理</v>
      </c>
      <c r="R39" s="774" t="s">
        <v>17</v>
      </c>
      <c r="S39" s="775">
        <f t="shared" si="12"/>
        <v>100</v>
      </c>
      <c r="T39" s="774" t="s">
        <v>17</v>
      </c>
      <c r="U39" s="775">
        <f t="shared" si="13"/>
        <v>100</v>
      </c>
      <c r="V39" s="774" t="s">
        <v>17</v>
      </c>
      <c r="W39" s="775">
        <f t="shared" si="14"/>
        <v>100</v>
      </c>
      <c r="X39" s="1816"/>
      <c r="Y39" s="3236"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3" t="str">
        <f t="shared" si="11"/>
        <v>市政基础设施</v>
      </c>
      <c r="R40" s="774" t="s">
        <v>17</v>
      </c>
      <c r="S40" s="775">
        <f t="shared" si="12"/>
        <v>100</v>
      </c>
      <c r="T40" s="774" t="s">
        <v>17</v>
      </c>
      <c r="U40" s="775">
        <f t="shared" si="13"/>
        <v>100</v>
      </c>
      <c r="V40" s="774" t="s">
        <v>17</v>
      </c>
      <c r="W40" s="775">
        <f t="shared" si="14"/>
        <v>100</v>
      </c>
      <c r="X40" s="1816"/>
      <c r="Y40" s="3236"/>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3" t="str">
        <f t="shared" si="11"/>
        <v>层高</v>
      </c>
      <c r="R41" s="774" t="s">
        <v>17</v>
      </c>
      <c r="S41" s="775">
        <f t="shared" si="12"/>
        <v>100</v>
      </c>
      <c r="T41" s="774" t="s">
        <v>17</v>
      </c>
      <c r="U41" s="775">
        <f t="shared" si="13"/>
        <v>100</v>
      </c>
      <c r="V41" s="774" t="s">
        <v>17</v>
      </c>
      <c r="W41" s="775">
        <f t="shared" si="14"/>
        <v>100</v>
      </c>
      <c r="X41" s="1816"/>
      <c r="Y41" s="3236"/>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3" t="str">
        <f t="shared" si="11"/>
        <v>内部装修</v>
      </c>
      <c r="R43" s="774" t="s">
        <v>17</v>
      </c>
      <c r="S43" s="775">
        <f t="shared" si="12"/>
        <v>100</v>
      </c>
      <c r="T43" s="774" t="s">
        <v>17</v>
      </c>
      <c r="U43" s="775">
        <f t="shared" si="13"/>
        <v>100</v>
      </c>
      <c r="V43" s="774" t="s">
        <v>17</v>
      </c>
      <c r="W43" s="775">
        <f t="shared" si="14"/>
        <v>100</v>
      </c>
      <c r="X43" s="1816"/>
      <c r="Y43" s="3236"/>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4"/>
      <c r="Q44" s="1813" t="str">
        <f t="shared" si="11"/>
        <v>内部装修维护情况</v>
      </c>
      <c r="R44" s="774" t="s">
        <v>17</v>
      </c>
      <c r="S44" s="775">
        <f t="shared" si="12"/>
        <v>100</v>
      </c>
      <c r="T44" s="774" t="s">
        <v>17</v>
      </c>
      <c r="U44" s="775">
        <f t="shared" si="13"/>
        <v>100</v>
      </c>
      <c r="V44" s="774" t="s">
        <v>17</v>
      </c>
      <c r="W44" s="775">
        <f t="shared" si="14"/>
        <v>100</v>
      </c>
      <c r="X44" s="1816"/>
      <c r="Y44" s="3236"/>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8">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3">
        <f t="shared" si="11"/>
        <v>111</v>
      </c>
      <c r="R47" s="774" t="s">
        <v>17</v>
      </c>
      <c r="S47" s="775">
        <f t="shared" si="12"/>
        <v>100</v>
      </c>
      <c r="T47" s="774" t="s">
        <v>17</v>
      </c>
      <c r="U47" s="775">
        <f t="shared" si="13"/>
        <v>100</v>
      </c>
      <c r="V47" s="774" t="s">
        <v>17</v>
      </c>
      <c r="W47" s="775">
        <f t="shared" si="14"/>
        <v>100</v>
      </c>
      <c r="X47" s="1816"/>
      <c r="Y47" s="3237"/>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211" t="str">
        <f>A48</f>
        <v>成交单价（元/平方米）</v>
      </c>
      <c r="Q48" s="3229"/>
      <c r="R48" s="3230">
        <f>E48</f>
        <v>0</v>
      </c>
      <c r="S48" s="3230"/>
      <c r="T48" s="3230">
        <f>G48</f>
        <v>0</v>
      </c>
      <c r="U48" s="3230"/>
      <c r="V48" s="3230">
        <f>I48</f>
        <v>0</v>
      </c>
      <c r="W48" s="3230"/>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11"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1611</v>
      </c>
    </row>
    <row r="2" spans="1:1">
      <c r="A2" s="1949"/>
    </row>
    <row r="3" spans="1:1" ht="18">
      <c r="A3" s="1950" t="str">
        <f>项目基本情况!B5&amp;"："</f>
        <v>康得投资集团有限公司：</v>
      </c>
    </row>
    <row r="4" spans="1:1" ht="36">
      <c r="A4" s="1951" t="str">
        <f>"受贵公司委托，我公司对"&amp;项目基本情况!S1&amp;"进行了预评估。"</f>
        <v>受贵公司委托，我公司对北京市海淀区上地六街17号全部工业用房房地产抵押价值进行了预评估。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六街17号全部工业用房房地产，为康得投资集团有限公司所有。根据《国有土地使用证》[京海国用（2010出）第5041号]，估价对象（分摊）出让国有建设用地使用权面积为9282.25平方米。根据《房屋所有权证》[京房权证海其更字第0111273号]，估价对象建筑面积为18037.4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六街17号全部工业用房房地产,属康得投资集团有限公司开发建设的工业项目，该项目尚在开发建设中。根据《国有土地使用证》[京海国用（2010出）第5041号]，估价对象（分摊）出让国有建设用地使用权面积为9282.25平方米。根据《房屋所有权证》[京房权证海其更字第0111273号]，估价对象规划建筑面积为18037.4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2018年9月20日（评估专业人员实地查勘之日）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工业，土地取得方式为出让，出让国有建设用地使用权剩余土地使用年限为29.98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60" zoomScaleNormal="60" workbookViewId="0">
      <selection activeCell="L15" sqref="L15"/>
    </sheetView>
  </sheetViews>
  <sheetFormatPr defaultColWidth="9" defaultRowHeight="14.25"/>
  <cols>
    <col min="1" max="1" width="10.5" style="403" customWidth="1"/>
    <col min="2" max="2" width="15.75" style="403" customWidth="1"/>
    <col min="3" max="3" width="16.875" style="403" customWidth="1"/>
    <col min="4" max="4" width="12.25" style="403" customWidth="1"/>
    <col min="5" max="5" width="16.125" style="403" customWidth="1"/>
    <col min="6" max="6" width="12.25" style="403" customWidth="1"/>
    <col min="7" max="7" width="16.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t="s">
        <v>3075</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IF(C2="——",ROUND(C43*D3/10000,0),ROUND(C43*D3/10000,0)-D2)</f>
        <v>67711</v>
      </c>
      <c r="C2" s="2589" t="s">
        <v>70</v>
      </c>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37539</v>
      </c>
      <c r="C3" s="400" t="s">
        <v>2642</v>
      </c>
      <c r="D3" s="399">
        <f>IF(D1="",'数据-汇总表'!E3,SUMIF('数据-汇总表'!$C19:$C33,D1,'数据-汇总表'!$E19:$E33))</f>
        <v>18037.400000000001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195" t="s">
        <v>2646</v>
      </c>
      <c r="AC4" s="3194" t="s">
        <v>2647</v>
      </c>
    </row>
    <row r="5" spans="1:29" ht="15">
      <c r="A5" s="404"/>
      <c r="B5" s="405"/>
      <c r="C5" s="3255" t="s">
        <v>3076</v>
      </c>
      <c r="D5" s="3206"/>
      <c r="E5" s="3255" t="s">
        <v>3081</v>
      </c>
      <c r="F5" s="3206"/>
      <c r="G5" s="3255" t="s">
        <v>3081</v>
      </c>
      <c r="H5" s="3206"/>
      <c r="I5" s="3255" t="s">
        <v>3110</v>
      </c>
      <c r="J5" s="3206"/>
      <c r="K5" s="610"/>
      <c r="L5" s="1133"/>
      <c r="M5" s="1134"/>
      <c r="N5" s="1134"/>
      <c r="O5" s="1134"/>
      <c r="P5" s="3218"/>
      <c r="Q5" s="3219"/>
      <c r="R5" s="3201"/>
      <c r="S5" s="3202"/>
      <c r="T5" s="3201"/>
      <c r="U5" s="3202"/>
      <c r="V5" s="3224"/>
      <c r="W5" s="3224"/>
      <c r="X5" s="1816"/>
      <c r="Y5" s="3201"/>
      <c r="Z5" s="3202"/>
      <c r="AA5" s="3195"/>
      <c r="AB5" s="3195"/>
      <c r="AC5" s="3195"/>
    </row>
    <row r="6" spans="1:29" ht="15.75" thickBot="1">
      <c r="A6" s="406"/>
      <c r="B6" s="407"/>
      <c r="C6" s="3256" t="str">
        <f>项目基本情况!F10</f>
        <v>海淀区上地六街17号全部工业用房</v>
      </c>
      <c r="D6" s="3208"/>
      <c r="E6" s="3207" t="s">
        <v>3082</v>
      </c>
      <c r="F6" s="3208"/>
      <c r="G6" s="3207" t="s">
        <v>3082</v>
      </c>
      <c r="H6" s="3208"/>
      <c r="I6" s="3207" t="s">
        <v>2544</v>
      </c>
      <c r="J6" s="3208"/>
      <c r="K6" s="610" t="s">
        <v>2545</v>
      </c>
      <c r="L6" s="1133"/>
      <c r="M6" s="1134"/>
      <c r="N6" s="1134"/>
      <c r="O6" s="1134"/>
      <c r="P6" s="3220"/>
      <c r="Q6" s="3221"/>
      <c r="R6" s="3201"/>
      <c r="S6" s="3202"/>
      <c r="T6" s="3222"/>
      <c r="U6" s="3223"/>
      <c r="V6" s="3224"/>
      <c r="W6" s="3224"/>
      <c r="X6" s="1816"/>
      <c r="Y6" s="3222"/>
      <c r="Z6" s="3223"/>
      <c r="AA6" s="3196"/>
      <c r="AB6" s="3196"/>
      <c r="AC6" s="3196"/>
    </row>
    <row r="7" spans="1:29" s="117" customFormat="1" ht="15.75" thickBot="1">
      <c r="A7" s="408" t="s">
        <v>2546</v>
      </c>
      <c r="B7" s="409"/>
      <c r="C7" s="410">
        <f>'数据-取费表'!B2</f>
        <v>43363</v>
      </c>
      <c r="D7" s="411">
        <v>100</v>
      </c>
      <c r="E7" s="412">
        <v>43312</v>
      </c>
      <c r="F7" s="413">
        <f>SUMIF(52:52,YEAR(E7)&amp;"-"&amp;MONTH(E7),53:53)</f>
        <v>99</v>
      </c>
      <c r="G7" s="412">
        <v>43324</v>
      </c>
      <c r="H7" s="411">
        <f>SUMIF(52:52,YEAR(G7)&amp;"-"&amp;MONTH(G7),53:53)</f>
        <v>99.5</v>
      </c>
      <c r="I7" s="412">
        <v>43344</v>
      </c>
      <c r="J7" s="411">
        <f>SUMIF(52:52,YEAR(I7)&amp;"-"&amp;MONTH(I7),53:53)</f>
        <v>100</v>
      </c>
      <c r="K7" s="611"/>
      <c r="L7" s="1135"/>
      <c r="M7" s="1136"/>
      <c r="N7" s="1136"/>
      <c r="O7" s="1136"/>
      <c r="P7" s="3197" t="s">
        <v>2547</v>
      </c>
      <c r="Q7" s="3225"/>
      <c r="R7" s="770" t="s">
        <v>17</v>
      </c>
      <c r="S7" s="771">
        <f t="shared" ref="S7:S15" si="0">F7</f>
        <v>99</v>
      </c>
      <c r="T7" s="770" t="s">
        <v>17</v>
      </c>
      <c r="U7" s="771">
        <f t="shared" ref="U7:U15" si="1">H7</f>
        <v>99.5</v>
      </c>
      <c r="V7" s="770" t="s">
        <v>17</v>
      </c>
      <c r="W7" s="771">
        <f t="shared" ref="W7:W15" si="2">J7</f>
        <v>100</v>
      </c>
      <c r="X7" s="772"/>
      <c r="Y7" s="3197" t="s">
        <v>2547</v>
      </c>
      <c r="Z7" s="3198"/>
      <c r="AA7" s="773">
        <f>D7/F7</f>
        <v>1.0101010101010102</v>
      </c>
      <c r="AB7" s="773">
        <f>D7/H7</f>
        <v>1.0050251256281406</v>
      </c>
      <c r="AC7" s="773">
        <f>D7/J7</f>
        <v>1</v>
      </c>
    </row>
    <row r="8" spans="1:29" s="117" customFormat="1" ht="15.75" thickBot="1">
      <c r="A8" s="408" t="s">
        <v>2548</v>
      </c>
      <c r="B8" s="409"/>
      <c r="C8" s="414" t="s">
        <v>2549</v>
      </c>
      <c r="D8" s="411">
        <v>100</v>
      </c>
      <c r="E8" s="414" t="s">
        <v>3083</v>
      </c>
      <c r="F8" s="413">
        <f>SUMIF(55:55,E8,56:56)-SUMIF(55:55,C8,56:56)+100</f>
        <v>100</v>
      </c>
      <c r="G8" s="414" t="s">
        <v>3083</v>
      </c>
      <c r="H8" s="411">
        <f>SUMIF(55:55,G8,56:56)-SUMIF(55:55,C8,56:56)+100</f>
        <v>100</v>
      </c>
      <c r="I8" s="414" t="s">
        <v>3083</v>
      </c>
      <c r="J8" s="411">
        <f>SUMIF(55:55,I8,56:56)-SUMIF(55:55,C8,56:56)+100</f>
        <v>100</v>
      </c>
      <c r="K8" s="611"/>
      <c r="L8" s="1135"/>
      <c r="M8" s="1136"/>
      <c r="N8" s="1136"/>
      <c r="O8" s="1136"/>
      <c r="P8" s="3197" t="s">
        <v>2550</v>
      </c>
      <c r="Q8" s="3198"/>
      <c r="R8" s="770" t="s">
        <v>17</v>
      </c>
      <c r="S8" s="771">
        <f t="shared" si="0"/>
        <v>100</v>
      </c>
      <c r="T8" s="770" t="s">
        <v>17</v>
      </c>
      <c r="U8" s="771">
        <f t="shared" si="1"/>
        <v>100</v>
      </c>
      <c r="V8" s="770" t="s">
        <v>17</v>
      </c>
      <c r="W8" s="771">
        <f t="shared" si="2"/>
        <v>100</v>
      </c>
      <c r="X8" s="772"/>
      <c r="Y8" s="3197" t="s">
        <v>2550</v>
      </c>
      <c r="Z8" s="3198"/>
      <c r="AA8" s="773">
        <f t="shared" ref="AA8:AA40" si="3">D8/F8</f>
        <v>1</v>
      </c>
      <c r="AB8" s="773">
        <f t="shared" ref="AB8:AB40" si="4">D8/H8</f>
        <v>1</v>
      </c>
      <c r="AC8" s="773">
        <f t="shared" ref="AC8:AC40" si="5">D8/J8</f>
        <v>1</v>
      </c>
    </row>
    <row r="9" spans="1:29" s="117" customFormat="1">
      <c r="A9" s="415" t="s">
        <v>2551</v>
      </c>
      <c r="B9" s="71" t="s">
        <v>2552</v>
      </c>
      <c r="C9" s="2957" t="s">
        <v>3084</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29"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t="s">
        <v>3086</v>
      </c>
      <c r="D10" s="136">
        <v>100</v>
      </c>
      <c r="E10" s="423" t="s">
        <v>3085</v>
      </c>
      <c r="F10" s="136">
        <f>SUMIF(59:59,E10,60:60)-SUMIF(59:59,C10,60:60)+100</f>
        <v>102</v>
      </c>
      <c r="G10" s="423" t="s">
        <v>3085</v>
      </c>
      <c r="H10" s="136">
        <f>SUMIF(59:59,G10,60:60)-SUMIF(59:59,C10,60:60)+100</f>
        <v>102</v>
      </c>
      <c r="I10" s="423" t="s">
        <v>3114</v>
      </c>
      <c r="J10" s="136">
        <f>SUMIF(59:59,I10,60:60)-SUMIF(59:59,C10,60:60)+100</f>
        <v>101</v>
      </c>
      <c r="K10" s="612">
        <v>1</v>
      </c>
      <c r="L10" s="1138"/>
      <c r="M10" s="1139"/>
      <c r="N10" s="1139"/>
      <c r="O10" s="1140"/>
      <c r="P10" s="3229"/>
      <c r="Q10" s="1798" t="str">
        <f t="shared" si="6"/>
        <v>土地使用年限（年）</v>
      </c>
      <c r="R10" s="770" t="s">
        <v>17</v>
      </c>
      <c r="S10" s="771">
        <f t="shared" si="0"/>
        <v>102</v>
      </c>
      <c r="T10" s="770" t="s">
        <v>17</v>
      </c>
      <c r="U10" s="771">
        <f t="shared" si="1"/>
        <v>102</v>
      </c>
      <c r="V10" s="770" t="s">
        <v>17</v>
      </c>
      <c r="W10" s="771">
        <f t="shared" si="2"/>
        <v>101</v>
      </c>
      <c r="X10" s="772"/>
      <c r="Y10" s="3044"/>
      <c r="Z10" s="55" t="str">
        <f t="shared" si="7"/>
        <v>土地使用年限（年）</v>
      </c>
      <c r="AA10" s="773">
        <f t="shared" si="3"/>
        <v>0.98039215686274506</v>
      </c>
      <c r="AB10" s="773">
        <f t="shared" si="4"/>
        <v>0.98039215686274506</v>
      </c>
      <c r="AC10" s="773">
        <f t="shared" si="5"/>
        <v>0.99009900990099009</v>
      </c>
    </row>
    <row r="11" spans="1:29" ht="15.75" thickBot="1">
      <c r="A11" s="428"/>
      <c r="B11" s="422" t="s">
        <v>2556</v>
      </c>
      <c r="C11" s="429">
        <f>'数据-汇总表'!I5</f>
        <v>1.94</v>
      </c>
      <c r="D11" s="136">
        <v>100</v>
      </c>
      <c r="E11" s="429">
        <v>1</v>
      </c>
      <c r="F11" s="136">
        <f>LOOKUP(E11,62:62,63:63)-LOOKUP(C11,62:62,63:63)+100</f>
        <v>101</v>
      </c>
      <c r="G11" s="430">
        <v>1</v>
      </c>
      <c r="H11" s="136">
        <f>LOOKUP(G11,62:62,63:63)-LOOKUP(C11,62:62,63:63)+100</f>
        <v>101</v>
      </c>
      <c r="I11" s="429">
        <v>2.09</v>
      </c>
      <c r="J11" s="136">
        <f>LOOKUP(I11,62:62,63:63)-LOOKUP(C11,62:62,63:63)+100</f>
        <v>99</v>
      </c>
      <c r="K11" s="612">
        <v>1</v>
      </c>
      <c r="L11" s="1141"/>
      <c r="M11" s="1134"/>
      <c r="N11" s="1134"/>
      <c r="O11" s="1142"/>
      <c r="P11" s="3229"/>
      <c r="Q11" s="1798" t="str">
        <f t="shared" si="6"/>
        <v>容积率</v>
      </c>
      <c r="R11" s="770" t="s">
        <v>17</v>
      </c>
      <c r="S11" s="771">
        <f t="shared" si="0"/>
        <v>101</v>
      </c>
      <c r="T11" s="770" t="s">
        <v>17</v>
      </c>
      <c r="U11" s="771">
        <f t="shared" si="1"/>
        <v>101</v>
      </c>
      <c r="V11" s="770" t="s">
        <v>17</v>
      </c>
      <c r="W11" s="771">
        <f t="shared" si="2"/>
        <v>99</v>
      </c>
      <c r="X11" s="772"/>
      <c r="Y11" s="3044"/>
      <c r="Z11" s="55" t="str">
        <f t="shared" si="7"/>
        <v>容积率</v>
      </c>
      <c r="AA11" s="773">
        <f t="shared" si="3"/>
        <v>0.99009900990099009</v>
      </c>
      <c r="AB11" s="773">
        <f t="shared" si="4"/>
        <v>0.99009900990099009</v>
      </c>
      <c r="AC11" s="773">
        <f t="shared" si="5"/>
        <v>1.0101010101010102</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9"/>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69.75" customHeight="1">
      <c r="A15" s="440" t="s">
        <v>2557</v>
      </c>
      <c r="B15" s="69" t="s">
        <v>2701</v>
      </c>
      <c r="C15" s="2696"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43"/>
      <c r="M15" s="1134"/>
      <c r="N15" s="1134"/>
      <c r="O15" s="1142"/>
      <c r="P15" s="3231" t="s">
        <v>2558</v>
      </c>
      <c r="Q15" s="1813" t="str">
        <f t="shared" si="6"/>
        <v>产业集聚程度</v>
      </c>
      <c r="R15" s="774" t="s">
        <v>17</v>
      </c>
      <c r="S15" s="775">
        <f t="shared" si="0"/>
        <v>100</v>
      </c>
      <c r="T15" s="774" t="s">
        <v>17</v>
      </c>
      <c r="U15" s="775">
        <f t="shared" si="1"/>
        <v>100</v>
      </c>
      <c r="V15" s="774" t="s">
        <v>17</v>
      </c>
      <c r="W15" s="775">
        <f t="shared" si="2"/>
        <v>100</v>
      </c>
      <c r="X15" s="1816"/>
      <c r="Y15" s="3231" t="s">
        <v>2558</v>
      </c>
      <c r="Z15" s="1817" t="str">
        <f t="shared" si="7"/>
        <v>产业集聚程度</v>
      </c>
      <c r="AA15" s="1814">
        <f t="shared" si="3"/>
        <v>1</v>
      </c>
      <c r="AB15" s="1814">
        <f t="shared" si="4"/>
        <v>1</v>
      </c>
      <c r="AC15" s="1814">
        <f t="shared" si="5"/>
        <v>1</v>
      </c>
    </row>
    <row r="16" spans="1:29" ht="15">
      <c r="A16" s="428"/>
      <c r="B16" s="446"/>
      <c r="C16" s="447" t="s">
        <v>3091</v>
      </c>
      <c r="D16" s="448"/>
      <c r="E16" s="447" t="s">
        <v>3091</v>
      </c>
      <c r="F16" s="449"/>
      <c r="G16" s="447" t="s">
        <v>3091</v>
      </c>
      <c r="H16" s="450"/>
      <c r="I16" s="447" t="s">
        <v>3091</v>
      </c>
      <c r="J16" s="448"/>
      <c r="K16" s="615"/>
      <c r="L16" s="1143"/>
      <c r="M16" s="1134"/>
      <c r="N16" s="1134"/>
      <c r="O16" s="1142"/>
      <c r="P16" s="3232"/>
      <c r="Q16" s="1813"/>
      <c r="R16" s="774"/>
      <c r="S16" s="775"/>
      <c r="T16" s="774"/>
      <c r="U16" s="775"/>
      <c r="V16" s="774"/>
      <c r="W16" s="775"/>
      <c r="X16" s="1816"/>
      <c r="Y16" s="3232"/>
      <c r="Z16" s="1817"/>
      <c r="AA16" s="1814">
        <v>1</v>
      </c>
      <c r="AB16" s="1814">
        <v>1</v>
      </c>
      <c r="AC16" s="1814">
        <v>1</v>
      </c>
    </row>
    <row r="17" spans="1:29" ht="111" customHeight="1">
      <c r="A17" s="428"/>
      <c r="B17" s="451" t="s">
        <v>2096</v>
      </c>
      <c r="C17" s="2610"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97</v>
      </c>
      <c r="I17" s="452"/>
      <c r="J17" s="455">
        <f>SUMIF(72:72,I18,73:73)-SUMIF(72:72,C18,73:73)+100</f>
        <v>100</v>
      </c>
      <c r="K17" s="614">
        <v>3</v>
      </c>
      <c r="L17" s="1143"/>
      <c r="M17" s="1134"/>
      <c r="N17" s="1134"/>
      <c r="O17" s="1142"/>
      <c r="P17" s="3232"/>
      <c r="Q17" s="1813" t="str">
        <f>B17</f>
        <v>交通便捷度</v>
      </c>
      <c r="R17" s="774" t="s">
        <v>17</v>
      </c>
      <c r="S17" s="775">
        <f>F17</f>
        <v>97</v>
      </c>
      <c r="T17" s="774" t="s">
        <v>17</v>
      </c>
      <c r="U17" s="775">
        <f>H17</f>
        <v>97</v>
      </c>
      <c r="V17" s="774" t="s">
        <v>17</v>
      </c>
      <c r="W17" s="775">
        <f>J17</f>
        <v>100</v>
      </c>
      <c r="X17" s="1816"/>
      <c r="Y17" s="3232"/>
      <c r="Z17" s="1817" t="str">
        <f>Q17</f>
        <v>交通便捷度</v>
      </c>
      <c r="AA17" s="1814">
        <f t="shared" si="3"/>
        <v>1.0309278350515463</v>
      </c>
      <c r="AB17" s="1814">
        <f t="shared" si="4"/>
        <v>1.0309278350515463</v>
      </c>
      <c r="AC17" s="1814">
        <f t="shared" si="5"/>
        <v>1</v>
      </c>
    </row>
    <row r="18" spans="1:29" ht="15">
      <c r="A18" s="428"/>
      <c r="B18" s="456"/>
      <c r="C18" s="2611" t="s">
        <v>3091</v>
      </c>
      <c r="D18" s="450"/>
      <c r="E18" s="2611" t="s">
        <v>3095</v>
      </c>
      <c r="F18" s="453"/>
      <c r="G18" s="2611" t="s">
        <v>3095</v>
      </c>
      <c r="H18" s="448"/>
      <c r="I18" s="2613" t="s">
        <v>3091</v>
      </c>
      <c r="J18" s="448"/>
      <c r="K18" s="615"/>
      <c r="L18" s="1143"/>
      <c r="M18" s="1134"/>
      <c r="N18" s="1134"/>
      <c r="O18" s="1142"/>
      <c r="P18" s="3232"/>
      <c r="Q18" s="1813"/>
      <c r="R18" s="774"/>
      <c r="S18" s="775"/>
      <c r="T18" s="774"/>
      <c r="U18" s="775"/>
      <c r="V18" s="774"/>
      <c r="W18" s="775"/>
      <c r="X18" s="1816"/>
      <c r="Y18" s="3232"/>
      <c r="Z18" s="1817"/>
      <c r="AA18" s="1814">
        <v>1</v>
      </c>
      <c r="AB18" s="1814">
        <v>1</v>
      </c>
      <c r="AC18" s="1814">
        <v>1</v>
      </c>
    </row>
    <row r="19" spans="1:29" ht="42.75">
      <c r="A19" s="428"/>
      <c r="B19" s="451" t="s">
        <v>2686</v>
      </c>
      <c r="C19" s="2610" t="str">
        <f>估价对象房地状况!G5</f>
        <v>估价对象所在区域公共配套设施齐备情况好</v>
      </c>
      <c r="D19" s="455">
        <v>100</v>
      </c>
      <c r="E19" s="459"/>
      <c r="F19" s="458">
        <f>SUMIF(74:74,E20,75:75)-SUMIF(74:74,C20,75:75)+100</f>
        <v>98</v>
      </c>
      <c r="G19" s="459"/>
      <c r="H19" s="450">
        <f>SUMIF(74:74,G20,75:75)-SUMIF(74:74,C20,75:75)+100</f>
        <v>98</v>
      </c>
      <c r="I19" s="457"/>
      <c r="J19" s="450">
        <f>SUMIF(74:74,I20,75:75)-SUMIF(74:74,C20,75:75)+100</f>
        <v>100</v>
      </c>
      <c r="K19" s="614">
        <v>2</v>
      </c>
      <c r="L19" s="1143"/>
      <c r="M19" s="1134"/>
      <c r="N19" s="1134"/>
      <c r="O19" s="1142"/>
      <c r="P19" s="3232"/>
      <c r="Q19" s="1813" t="str">
        <f>B19</f>
        <v>公共配套设施</v>
      </c>
      <c r="R19" s="774" t="s">
        <v>17</v>
      </c>
      <c r="S19" s="775">
        <f>F19</f>
        <v>98</v>
      </c>
      <c r="T19" s="774" t="s">
        <v>17</v>
      </c>
      <c r="U19" s="775">
        <f>H19</f>
        <v>98</v>
      </c>
      <c r="V19" s="774" t="s">
        <v>17</v>
      </c>
      <c r="W19" s="775">
        <f>J19</f>
        <v>100</v>
      </c>
      <c r="X19" s="1816"/>
      <c r="Y19" s="3232"/>
      <c r="Z19" s="1817" t="str">
        <f>Q19</f>
        <v>公共配套设施</v>
      </c>
      <c r="AA19" s="1814">
        <f t="shared" si="3"/>
        <v>1.0204081632653061</v>
      </c>
      <c r="AB19" s="1814">
        <f t="shared" si="4"/>
        <v>1.0204081632653061</v>
      </c>
      <c r="AC19" s="1814">
        <f t="shared" si="5"/>
        <v>1</v>
      </c>
    </row>
    <row r="20" spans="1:29" ht="15">
      <c r="A20" s="428"/>
      <c r="B20" s="456"/>
      <c r="C20" s="447" t="s">
        <v>3091</v>
      </c>
      <c r="D20" s="448"/>
      <c r="E20" s="447" t="s">
        <v>3095</v>
      </c>
      <c r="F20" s="449"/>
      <c r="G20" s="447" t="s">
        <v>3095</v>
      </c>
      <c r="H20" s="448"/>
      <c r="I20" s="2608" t="s">
        <v>3091</v>
      </c>
      <c r="J20" s="448"/>
      <c r="K20" s="615"/>
      <c r="L20" s="1143"/>
      <c r="M20" s="1134"/>
      <c r="N20" s="1134"/>
      <c r="O20" s="1142"/>
      <c r="P20" s="3232"/>
      <c r="Q20" s="1813"/>
      <c r="R20" s="774"/>
      <c r="S20" s="775"/>
      <c r="T20" s="774"/>
      <c r="U20" s="775"/>
      <c r="V20" s="774"/>
      <c r="W20" s="775"/>
      <c r="X20" s="1816"/>
      <c r="Y20" s="3232"/>
      <c r="Z20" s="1817"/>
      <c r="AA20" s="1814">
        <v>1</v>
      </c>
      <c r="AB20" s="1814">
        <v>1</v>
      </c>
      <c r="AC20" s="1814">
        <v>1</v>
      </c>
    </row>
    <row r="21" spans="1:29" ht="48" customHeight="1">
      <c r="A21" s="428"/>
      <c r="B21" s="1387" t="s">
        <v>2687</v>
      </c>
      <c r="C21" s="2610"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43"/>
      <c r="M21" s="1134"/>
      <c r="N21" s="1134"/>
      <c r="O21" s="1142"/>
      <c r="P21" s="3232"/>
      <c r="Q21" s="1813" t="str">
        <f>B21</f>
        <v>基础设施水平</v>
      </c>
      <c r="R21" s="774" t="s">
        <v>17</v>
      </c>
      <c r="S21" s="775">
        <f>F21</f>
        <v>100</v>
      </c>
      <c r="T21" s="774" t="s">
        <v>17</v>
      </c>
      <c r="U21" s="775">
        <f>H21</f>
        <v>100</v>
      </c>
      <c r="V21" s="774" t="s">
        <v>17</v>
      </c>
      <c r="W21" s="775">
        <f>J21</f>
        <v>100</v>
      </c>
      <c r="X21" s="1816"/>
      <c r="Y21" s="3232"/>
      <c r="Z21" s="1817" t="str">
        <f>Q21</f>
        <v>基础设施水平</v>
      </c>
      <c r="AA21" s="1814">
        <f t="shared" ref="AA21" si="8">D21/F21</f>
        <v>1</v>
      </c>
      <c r="AB21" s="1814">
        <f t="shared" ref="AB21" si="9">D21/H21</f>
        <v>1</v>
      </c>
      <c r="AC21" s="1814">
        <f t="shared" ref="AC21" si="10">D21/J21</f>
        <v>1</v>
      </c>
    </row>
    <row r="22" spans="1:29" ht="15">
      <c r="A22" s="428"/>
      <c r="B22" s="1387"/>
      <c r="C22" s="2611" t="s">
        <v>3093</v>
      </c>
      <c r="D22" s="448"/>
      <c r="E22" s="2611" t="s">
        <v>3093</v>
      </c>
      <c r="F22" s="449"/>
      <c r="G22" s="2611" t="s">
        <v>3093</v>
      </c>
      <c r="H22" s="448"/>
      <c r="I22" s="447" t="s">
        <v>3093</v>
      </c>
      <c r="J22" s="448"/>
      <c r="K22" s="1386"/>
      <c r="L22" s="1143"/>
      <c r="M22" s="1134"/>
      <c r="N22" s="1134"/>
      <c r="O22" s="1142"/>
      <c r="P22" s="3232"/>
      <c r="Q22" s="1813"/>
      <c r="R22" s="774"/>
      <c r="S22" s="775"/>
      <c r="T22" s="774"/>
      <c r="U22" s="775"/>
      <c r="V22" s="774"/>
      <c r="W22" s="775"/>
      <c r="X22" s="1816"/>
      <c r="Y22" s="3232"/>
      <c r="Z22" s="1817"/>
      <c r="AA22" s="1814">
        <v>1</v>
      </c>
      <c r="AB22" s="1814">
        <v>1</v>
      </c>
      <c r="AC22" s="1814">
        <v>1</v>
      </c>
    </row>
    <row r="23" spans="1:29" ht="57">
      <c r="A23" s="428"/>
      <c r="B23" s="451" t="s">
        <v>2688</v>
      </c>
      <c r="C23" s="2610"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43"/>
      <c r="M23" s="1134"/>
      <c r="N23" s="1134"/>
      <c r="O23" s="1142"/>
      <c r="P23" s="3232"/>
      <c r="Q23" s="1813" t="str">
        <f>B23</f>
        <v>环境质量</v>
      </c>
      <c r="R23" s="774" t="s">
        <v>17</v>
      </c>
      <c r="S23" s="775">
        <f>F23</f>
        <v>100</v>
      </c>
      <c r="T23" s="774" t="s">
        <v>17</v>
      </c>
      <c r="U23" s="775">
        <f>H23</f>
        <v>100</v>
      </c>
      <c r="V23" s="774" t="s">
        <v>17</v>
      </c>
      <c r="W23" s="775">
        <f>J23</f>
        <v>100</v>
      </c>
      <c r="X23" s="1816"/>
      <c r="Y23" s="3232"/>
      <c r="Z23" s="1817" t="str">
        <f>Q23</f>
        <v>环境质量</v>
      </c>
      <c r="AA23" s="1814">
        <f t="shared" si="3"/>
        <v>1</v>
      </c>
      <c r="AB23" s="1814">
        <f t="shared" si="4"/>
        <v>1</v>
      </c>
      <c r="AC23" s="1814">
        <f t="shared" si="5"/>
        <v>1</v>
      </c>
    </row>
    <row r="24" spans="1:29" ht="15.75" thickBot="1">
      <c r="A24" s="428"/>
      <c r="B24" s="1387"/>
      <c r="C24" s="447" t="s">
        <v>3091</v>
      </c>
      <c r="D24" s="448"/>
      <c r="E24" s="447" t="s">
        <v>3091</v>
      </c>
      <c r="F24" s="449"/>
      <c r="G24" s="447" t="s">
        <v>3091</v>
      </c>
      <c r="H24" s="448"/>
      <c r="I24" s="2608" t="s">
        <v>3091</v>
      </c>
      <c r="J24" s="448"/>
      <c r="K24" s="615"/>
      <c r="L24" s="1143"/>
      <c r="M24" s="1134"/>
      <c r="N24" s="1134"/>
      <c r="O24" s="1142"/>
      <c r="P24" s="3232"/>
      <c r="Q24" s="1813"/>
      <c r="R24" s="774"/>
      <c r="S24" s="775"/>
      <c r="T24" s="774"/>
      <c r="U24" s="775"/>
      <c r="V24" s="774"/>
      <c r="W24" s="775"/>
      <c r="X24" s="1816"/>
      <c r="Y24" s="3232"/>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2"/>
      <c r="Q25" s="1813">
        <f>B25</f>
        <v>111</v>
      </c>
      <c r="R25" s="774" t="s">
        <v>17</v>
      </c>
      <c r="S25" s="775">
        <f>F25</f>
        <v>100</v>
      </c>
      <c r="T25" s="774" t="s">
        <v>17</v>
      </c>
      <c r="U25" s="775">
        <f>H25</f>
        <v>100</v>
      </c>
      <c r="V25" s="774" t="s">
        <v>17</v>
      </c>
      <c r="W25" s="775">
        <f>J25</f>
        <v>100</v>
      </c>
      <c r="X25" s="1816"/>
      <c r="Y25" s="3232"/>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2"/>
      <c r="Q26" s="1813">
        <f t="shared" ref="Q26:Q40" si="11">B26</f>
        <v>111</v>
      </c>
      <c r="R26" s="774" t="s">
        <v>17</v>
      </c>
      <c r="S26" s="775">
        <f>F26</f>
        <v>100</v>
      </c>
      <c r="T26" s="774" t="s">
        <v>17</v>
      </c>
      <c r="U26" s="775">
        <f>H26</f>
        <v>100</v>
      </c>
      <c r="V26" s="774" t="s">
        <v>17</v>
      </c>
      <c r="W26" s="775">
        <f>J26</f>
        <v>100</v>
      </c>
      <c r="X26" s="1816"/>
      <c r="Y26" s="3232"/>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2"/>
      <c r="Q27" s="1798">
        <f t="shared" si="11"/>
        <v>111</v>
      </c>
      <c r="R27" s="770" t="s">
        <v>17</v>
      </c>
      <c r="S27" s="771">
        <f>F27</f>
        <v>100</v>
      </c>
      <c r="T27" s="770" t="s">
        <v>17</v>
      </c>
      <c r="U27" s="771">
        <f>H27</f>
        <v>100</v>
      </c>
      <c r="V27" s="770" t="s">
        <v>17</v>
      </c>
      <c r="W27" s="771">
        <f>J27</f>
        <v>100</v>
      </c>
      <c r="X27" s="772"/>
      <c r="Y27" s="3232"/>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2"/>
      <c r="Q28" s="1813">
        <f t="shared" si="11"/>
        <v>111</v>
      </c>
      <c r="R28" s="774" t="s">
        <v>17</v>
      </c>
      <c r="S28" s="775">
        <f t="shared" ref="S28:S40" si="12">F28</f>
        <v>100</v>
      </c>
      <c r="T28" s="774" t="s">
        <v>17</v>
      </c>
      <c r="U28" s="775">
        <f t="shared" ref="U28:U40" si="13">H28</f>
        <v>100</v>
      </c>
      <c r="V28" s="774" t="s">
        <v>17</v>
      </c>
      <c r="W28" s="775">
        <f t="shared" ref="W28:W40" si="14">J28</f>
        <v>100</v>
      </c>
      <c r="X28" s="1816"/>
      <c r="Y28" s="3232"/>
      <c r="Z28" s="1817">
        <f t="shared" ref="Z28:Z40" si="15">Q28</f>
        <v>111</v>
      </c>
      <c r="AA28" s="1814">
        <f t="shared" si="3"/>
        <v>1</v>
      </c>
      <c r="AB28" s="1814">
        <f t="shared" si="4"/>
        <v>1</v>
      </c>
      <c r="AC28" s="1814">
        <f t="shared" si="5"/>
        <v>1</v>
      </c>
    </row>
    <row r="29" spans="1:29" ht="28.5">
      <c r="A29" s="466" t="s">
        <v>2561</v>
      </c>
      <c r="B29" s="71" t="s">
        <v>2691</v>
      </c>
      <c r="C29" s="2682" t="s">
        <v>3133</v>
      </c>
      <c r="D29" s="467">
        <v>100</v>
      </c>
      <c r="E29" s="2682" t="s">
        <v>3133</v>
      </c>
      <c r="F29" s="461">
        <f>SUMIF(88:88,E29,89:89)-SUMIF(88:88,C29,89:89)+100</f>
        <v>100</v>
      </c>
      <c r="G29" s="2682" t="s">
        <v>3133</v>
      </c>
      <c r="H29" s="435">
        <f>SUMIF(88:88,G29,89:89)-SUMIF(88:88,C29,89:89)+100</f>
        <v>100</v>
      </c>
      <c r="I29" s="2682" t="s">
        <v>3131</v>
      </c>
      <c r="J29" s="467">
        <f>SUMIF(88:88,I29,89:89)-SUMIF(88:88,C29,89:89)+100</f>
        <v>101</v>
      </c>
      <c r="K29" s="612">
        <v>1</v>
      </c>
      <c r="L29" s="1143"/>
      <c r="M29" s="1134"/>
      <c r="N29" s="1134"/>
      <c r="O29" s="1142"/>
      <c r="P29" s="3257" t="s">
        <v>2563</v>
      </c>
      <c r="Q29" s="1813" t="str">
        <f t="shared" si="11"/>
        <v>建筑类型</v>
      </c>
      <c r="R29" s="774" t="s">
        <v>17</v>
      </c>
      <c r="S29" s="775">
        <f t="shared" si="12"/>
        <v>100</v>
      </c>
      <c r="T29" s="774" t="s">
        <v>17</v>
      </c>
      <c r="U29" s="775">
        <f t="shared" si="13"/>
        <v>100</v>
      </c>
      <c r="V29" s="774" t="s">
        <v>17</v>
      </c>
      <c r="W29" s="775">
        <f t="shared" si="14"/>
        <v>101</v>
      </c>
      <c r="X29" s="1816"/>
      <c r="Y29" s="3236" t="s">
        <v>2563</v>
      </c>
      <c r="Z29" s="1817" t="str">
        <f t="shared" si="15"/>
        <v>建筑类型</v>
      </c>
      <c r="AA29" s="1814">
        <f t="shared" si="3"/>
        <v>1</v>
      </c>
      <c r="AB29" s="1814">
        <f t="shared" si="4"/>
        <v>1</v>
      </c>
      <c r="AC29" s="1814">
        <f t="shared" si="5"/>
        <v>0.99009900990099009</v>
      </c>
    </row>
    <row r="30" spans="1:29" s="471" customFormat="1" ht="15">
      <c r="A30" s="468"/>
      <c r="B30" s="422" t="s">
        <v>2564</v>
      </c>
      <c r="C30" s="469">
        <f>'数据-基础表'!I13</f>
        <v>18037.400000000001</v>
      </c>
      <c r="D30" s="136">
        <v>100</v>
      </c>
      <c r="E30" s="430">
        <v>2000</v>
      </c>
      <c r="F30" s="425">
        <f>LOOKUP(E30,91:91,92:92)-LOOKUP(C30,91:91,92:92)+100</f>
        <v>99</v>
      </c>
      <c r="G30" s="429">
        <v>1800</v>
      </c>
      <c r="H30" s="136">
        <f>LOOKUP(G30,91:91,92:92)-LOOKUP(C30,91:91,92:92)+100</f>
        <v>99</v>
      </c>
      <c r="I30" s="429">
        <v>200</v>
      </c>
      <c r="J30" s="136">
        <f>LOOKUP(I30,91:91,92:92)-LOOKUP(C30,91:91,92:92)+100</f>
        <v>99</v>
      </c>
      <c r="K30" s="613"/>
      <c r="L30" s="1141"/>
      <c r="M30" s="1144"/>
      <c r="N30" s="1144"/>
      <c r="O30" s="1145"/>
      <c r="P30" s="3236"/>
      <c r="Q30" s="776" t="str">
        <f t="shared" si="11"/>
        <v>项目建筑规模</v>
      </c>
      <c r="R30" s="777" t="s">
        <v>17</v>
      </c>
      <c r="S30" s="778">
        <f t="shared" si="12"/>
        <v>99</v>
      </c>
      <c r="T30" s="777" t="s">
        <v>17</v>
      </c>
      <c r="U30" s="778">
        <f t="shared" si="13"/>
        <v>99</v>
      </c>
      <c r="V30" s="777" t="s">
        <v>17</v>
      </c>
      <c r="W30" s="778">
        <f t="shared" si="14"/>
        <v>99</v>
      </c>
      <c r="X30" s="779"/>
      <c r="Y30" s="3236"/>
      <c r="Z30" s="780" t="str">
        <f t="shared" si="15"/>
        <v>项目建筑规模</v>
      </c>
      <c r="AA30" s="1814">
        <f t="shared" si="3"/>
        <v>1.0101010101010102</v>
      </c>
      <c r="AB30" s="1814">
        <f t="shared" si="4"/>
        <v>1.0101010101010102</v>
      </c>
      <c r="AC30" s="1814">
        <f t="shared" si="5"/>
        <v>1.0101010101010102</v>
      </c>
    </row>
    <row r="31" spans="1:29" ht="15">
      <c r="A31" s="472"/>
      <c r="B31" s="422" t="s">
        <v>2565</v>
      </c>
      <c r="C31" s="460" t="s">
        <v>3072</v>
      </c>
      <c r="D31" s="435">
        <v>100</v>
      </c>
      <c r="E31" s="460" t="s">
        <v>3072</v>
      </c>
      <c r="F31" s="461">
        <f>SUMIF(93:93,E31,94:94)-SUMIF(93:93,C31,94:94)+100</f>
        <v>100</v>
      </c>
      <c r="G31" s="460" t="s">
        <v>3072</v>
      </c>
      <c r="H31" s="435">
        <f>SUMIF(93:93,G31,94:94)-SUMIF(93:93,C31,94:94)+100</f>
        <v>100</v>
      </c>
      <c r="I31" s="460" t="s">
        <v>3072</v>
      </c>
      <c r="J31" s="435">
        <f>SUMIF(93:93,I31,94:94)-SUMIF(93:93,C31,94:94)+100</f>
        <v>100</v>
      </c>
      <c r="K31" s="612">
        <v>2</v>
      </c>
      <c r="L31" s="1143"/>
      <c r="M31" s="1134"/>
      <c r="N31" s="1134"/>
      <c r="O31" s="1142"/>
      <c r="P31" s="3236"/>
      <c r="Q31" s="1813" t="str">
        <f t="shared" si="11"/>
        <v>建筑结构</v>
      </c>
      <c r="R31" s="774" t="s">
        <v>17</v>
      </c>
      <c r="S31" s="775">
        <f t="shared" si="12"/>
        <v>100</v>
      </c>
      <c r="T31" s="774" t="s">
        <v>17</v>
      </c>
      <c r="U31" s="775">
        <f t="shared" si="13"/>
        <v>100</v>
      </c>
      <c r="V31" s="774" t="s">
        <v>17</v>
      </c>
      <c r="W31" s="775">
        <f t="shared" si="14"/>
        <v>100</v>
      </c>
      <c r="X31" s="1816"/>
      <c r="Y31" s="3236"/>
      <c r="Z31" s="1817" t="str">
        <f t="shared" si="15"/>
        <v>建筑结构</v>
      </c>
      <c r="AA31" s="1814">
        <f t="shared" si="3"/>
        <v>1</v>
      </c>
      <c r="AB31" s="1814">
        <f t="shared" si="4"/>
        <v>1</v>
      </c>
      <c r="AC31" s="1814">
        <f t="shared" si="5"/>
        <v>1</v>
      </c>
    </row>
    <row r="32" spans="1:29" ht="15">
      <c r="A32" s="472"/>
      <c r="B32" s="422" t="s">
        <v>2659</v>
      </c>
      <c r="C32" s="460" t="s">
        <v>3099</v>
      </c>
      <c r="D32" s="435">
        <v>100</v>
      </c>
      <c r="E32" s="460" t="s">
        <v>3102</v>
      </c>
      <c r="F32" s="461">
        <f>SUMIF(95:95,E32,96:96)-SUMIF(95:95,C32,96:96)+100</f>
        <v>94</v>
      </c>
      <c r="G32" s="460" t="s">
        <v>3102</v>
      </c>
      <c r="H32" s="435">
        <f>SUMIF(95:95,G32,96:96)-SUMIF(95:95,C32,96:96)+100</f>
        <v>94</v>
      </c>
      <c r="I32" s="460" t="s">
        <v>3099</v>
      </c>
      <c r="J32" s="435">
        <f>SUMIF(95:95,I32,96:96)-SUMIF(95:95,C32,96:96)+100</f>
        <v>100</v>
      </c>
      <c r="K32" s="612">
        <v>2</v>
      </c>
      <c r="L32" s="1143"/>
      <c r="M32" s="1134"/>
      <c r="N32" s="1134"/>
      <c r="O32" s="1142"/>
      <c r="P32" s="3236"/>
      <c r="Q32" s="1813" t="str">
        <f t="shared" si="11"/>
        <v>公共部分装修</v>
      </c>
      <c r="R32" s="774" t="s">
        <v>17</v>
      </c>
      <c r="S32" s="775">
        <f t="shared" si="12"/>
        <v>94</v>
      </c>
      <c r="T32" s="774" t="s">
        <v>17</v>
      </c>
      <c r="U32" s="775">
        <f t="shared" si="13"/>
        <v>94</v>
      </c>
      <c r="V32" s="774" t="s">
        <v>17</v>
      </c>
      <c r="W32" s="775">
        <f t="shared" si="14"/>
        <v>100</v>
      </c>
      <c r="X32" s="1816"/>
      <c r="Y32" s="3236"/>
      <c r="Z32" s="1817" t="str">
        <f t="shared" si="15"/>
        <v>公共部分装修</v>
      </c>
      <c r="AA32" s="1814">
        <f t="shared" si="3"/>
        <v>1.0638297872340425</v>
      </c>
      <c r="AB32" s="1814">
        <f t="shared" si="4"/>
        <v>1.0638297872340425</v>
      </c>
      <c r="AC32" s="1814">
        <f t="shared" si="5"/>
        <v>1</v>
      </c>
    </row>
    <row r="33" spans="1:29" ht="15">
      <c r="A33" s="472"/>
      <c r="B33" s="422" t="s">
        <v>2660</v>
      </c>
      <c r="C33" s="2964">
        <f>'数据-取费表'!N6</f>
        <v>0.76</v>
      </c>
      <c r="D33" s="435">
        <v>100</v>
      </c>
      <c r="E33" s="474">
        <v>0.95</v>
      </c>
      <c r="F33" s="461">
        <f>LOOKUP(E33,98:98,99:99)-LOOKUP(C33,98:98,99:99)+100</f>
        <v>104</v>
      </c>
      <c r="G33" s="474">
        <v>0.95</v>
      </c>
      <c r="H33" s="461">
        <f>LOOKUP(G33,98:98,99:99)-LOOKUP(C33,98:98,99:99)+100</f>
        <v>104</v>
      </c>
      <c r="I33" s="474">
        <f>ROUND(1-(2018-2004)/60,2)</f>
        <v>0.77</v>
      </c>
      <c r="J33" s="435">
        <f>LOOKUP(I33,98:98,99:99)-LOOKUP(C33,98:98,99:99)+100</f>
        <v>100</v>
      </c>
      <c r="K33" s="612">
        <v>2</v>
      </c>
      <c r="L33" s="1143"/>
      <c r="M33" s="1134"/>
      <c r="N33" s="1134"/>
      <c r="O33" s="1142"/>
      <c r="P33" s="3236"/>
      <c r="Q33" s="1813" t="str">
        <f t="shared" si="11"/>
        <v>成新度</v>
      </c>
      <c r="R33" s="774" t="s">
        <v>17</v>
      </c>
      <c r="S33" s="775">
        <f t="shared" si="12"/>
        <v>104</v>
      </c>
      <c r="T33" s="774" t="s">
        <v>17</v>
      </c>
      <c r="U33" s="775">
        <f t="shared" si="13"/>
        <v>104</v>
      </c>
      <c r="V33" s="774" t="s">
        <v>17</v>
      </c>
      <c r="W33" s="775">
        <f t="shared" si="14"/>
        <v>100</v>
      </c>
      <c r="X33" s="1816"/>
      <c r="Y33" s="3236"/>
      <c r="Z33" s="1817" t="str">
        <f t="shared" si="15"/>
        <v>成新度</v>
      </c>
      <c r="AA33" s="1814">
        <f t="shared" si="3"/>
        <v>0.96153846153846156</v>
      </c>
      <c r="AB33" s="1814">
        <f t="shared" si="4"/>
        <v>0.96153846153846156</v>
      </c>
      <c r="AC33" s="1814">
        <f t="shared" si="5"/>
        <v>1</v>
      </c>
    </row>
    <row r="34" spans="1:29" s="117" customFormat="1" ht="15">
      <c r="A34" s="473"/>
      <c r="B34" s="422" t="s">
        <v>2693</v>
      </c>
      <c r="C34" s="460" t="s">
        <v>3104</v>
      </c>
      <c r="D34" s="136">
        <v>100</v>
      </c>
      <c r="E34" s="460" t="s">
        <v>3103</v>
      </c>
      <c r="F34" s="461">
        <f>SUMIF(100:100,E34,101:101)-SUMIF(100:100,C34,101:101)+100</f>
        <v>101</v>
      </c>
      <c r="G34" s="460" t="s">
        <v>3103</v>
      </c>
      <c r="H34" s="435">
        <f>SUMIF(100:100,G34,101:101)-SUMIF(100:100,C34,101:101)+100</f>
        <v>101</v>
      </c>
      <c r="I34" s="460" t="s">
        <v>3103</v>
      </c>
      <c r="J34" s="435">
        <f>SUMIF(100:100,I34,101:101)-SUMIF(100:100,C34,101:101)+100</f>
        <v>101</v>
      </c>
      <c r="K34" s="612">
        <v>1</v>
      </c>
      <c r="L34" s="1135"/>
      <c r="M34" s="1136"/>
      <c r="N34" s="1136"/>
      <c r="O34" s="1137"/>
      <c r="P34" s="3236"/>
      <c r="Q34" s="1798" t="str">
        <f t="shared" si="11"/>
        <v>物业管理</v>
      </c>
      <c r="R34" s="770" t="s">
        <v>17</v>
      </c>
      <c r="S34" s="771">
        <f t="shared" si="12"/>
        <v>101</v>
      </c>
      <c r="T34" s="770" t="s">
        <v>17</v>
      </c>
      <c r="U34" s="771">
        <f t="shared" si="13"/>
        <v>101</v>
      </c>
      <c r="V34" s="770" t="s">
        <v>17</v>
      </c>
      <c r="W34" s="771">
        <f t="shared" si="14"/>
        <v>101</v>
      </c>
      <c r="X34" s="772"/>
      <c r="Y34" s="3236"/>
      <c r="Z34" s="55" t="str">
        <f t="shared" si="15"/>
        <v>物业管理</v>
      </c>
      <c r="AA34" s="773">
        <f t="shared" si="3"/>
        <v>0.99009900990099009</v>
      </c>
      <c r="AB34" s="773">
        <f t="shared" si="4"/>
        <v>0.99009900990099009</v>
      </c>
      <c r="AC34" s="773">
        <f t="shared" si="5"/>
        <v>0.99009900990099009</v>
      </c>
    </row>
    <row r="35" spans="1:29" ht="15">
      <c r="A35" s="472"/>
      <c r="B35" s="422" t="s">
        <v>2661</v>
      </c>
      <c r="C35" s="460" t="s">
        <v>3092</v>
      </c>
      <c r="D35" s="435">
        <v>100</v>
      </c>
      <c r="E35" s="460" t="s">
        <v>3106</v>
      </c>
      <c r="F35" s="461">
        <f>SUMIF(102:102,E35,103:103)-SUMIF(102:102,C35,103:103)+100</f>
        <v>98</v>
      </c>
      <c r="G35" s="460" t="s">
        <v>3106</v>
      </c>
      <c r="H35" s="435">
        <f>SUMIF(102:102,G35,103:103)-SUMIF(102:102,C35,103:103)+100</f>
        <v>98</v>
      </c>
      <c r="I35" s="460" t="s">
        <v>3106</v>
      </c>
      <c r="J35" s="435">
        <f>SUMIF(102:102,I35,103:103)-SUMIF(102:102,C35,103:103)+100</f>
        <v>98</v>
      </c>
      <c r="K35" s="612">
        <v>2</v>
      </c>
      <c r="L35" s="1143"/>
      <c r="M35" s="1134"/>
      <c r="N35" s="1134"/>
      <c r="O35" s="1142"/>
      <c r="P35" s="3236" t="s">
        <v>2563</v>
      </c>
      <c r="Q35" s="1813" t="str">
        <f t="shared" si="11"/>
        <v>市政基础设施</v>
      </c>
      <c r="R35" s="774" t="s">
        <v>17</v>
      </c>
      <c r="S35" s="775">
        <f t="shared" si="12"/>
        <v>98</v>
      </c>
      <c r="T35" s="774" t="s">
        <v>17</v>
      </c>
      <c r="U35" s="775">
        <f t="shared" si="13"/>
        <v>98</v>
      </c>
      <c r="V35" s="774" t="s">
        <v>17</v>
      </c>
      <c r="W35" s="775">
        <f t="shared" si="14"/>
        <v>98</v>
      </c>
      <c r="X35" s="1816"/>
      <c r="Y35" s="3236" t="s">
        <v>2563</v>
      </c>
      <c r="Z35" s="1817" t="str">
        <f t="shared" si="15"/>
        <v>市政基础设施</v>
      </c>
      <c r="AA35" s="1814">
        <f t="shared" si="3"/>
        <v>1.0204081632653061</v>
      </c>
      <c r="AB35" s="1814">
        <f t="shared" si="4"/>
        <v>1.0204081632653061</v>
      </c>
      <c r="AC35" s="1814">
        <f t="shared" si="5"/>
        <v>1.0204081632653061</v>
      </c>
    </row>
    <row r="36" spans="1:29" ht="15">
      <c r="A36" s="472"/>
      <c r="B36" s="422" t="s">
        <v>2666</v>
      </c>
      <c r="C36" s="460" t="s">
        <v>3100</v>
      </c>
      <c r="D36" s="435">
        <v>100</v>
      </c>
      <c r="E36" s="460" t="s">
        <v>3102</v>
      </c>
      <c r="F36" s="461">
        <f>SUMIF(104:104,E36,105:105)-SUMIF(104:104,C36,105:105)+100</f>
        <v>96</v>
      </c>
      <c r="G36" s="460" t="s">
        <v>3102</v>
      </c>
      <c r="H36" s="435">
        <f>SUMIF(104:104,G36,105:105)-SUMIF(104:104,C36,105:105)+100</f>
        <v>96</v>
      </c>
      <c r="I36" s="460" t="s">
        <v>3100</v>
      </c>
      <c r="J36" s="435">
        <f>SUMIF(104:104,I36,105:105)-SUMIF(104:104,C36,105:105)+100</f>
        <v>100</v>
      </c>
      <c r="K36" s="612">
        <v>2</v>
      </c>
      <c r="L36" s="1143"/>
      <c r="M36" s="1134"/>
      <c r="N36" s="1134"/>
      <c r="O36" s="1142"/>
      <c r="P36" s="3236"/>
      <c r="Q36" s="1813" t="str">
        <f t="shared" si="11"/>
        <v>内部装修</v>
      </c>
      <c r="R36" s="774" t="s">
        <v>17</v>
      </c>
      <c r="S36" s="775">
        <f t="shared" si="12"/>
        <v>96</v>
      </c>
      <c r="T36" s="774" t="s">
        <v>17</v>
      </c>
      <c r="U36" s="775">
        <f t="shared" si="13"/>
        <v>96</v>
      </c>
      <c r="V36" s="774" t="s">
        <v>17</v>
      </c>
      <c r="W36" s="775">
        <f t="shared" si="14"/>
        <v>100</v>
      </c>
      <c r="X36" s="1816"/>
      <c r="Y36" s="3236"/>
      <c r="Z36" s="1817" t="str">
        <f t="shared" si="15"/>
        <v>内部装修</v>
      </c>
      <c r="AA36" s="1814">
        <f t="shared" si="3"/>
        <v>1.0416666666666667</v>
      </c>
      <c r="AB36" s="1814">
        <f t="shared" si="4"/>
        <v>1.0416666666666667</v>
      </c>
      <c r="AC36" s="1814">
        <f t="shared" si="5"/>
        <v>1</v>
      </c>
    </row>
    <row r="37" spans="1:29" ht="15.75" thickBot="1">
      <c r="A37" s="472"/>
      <c r="B37" s="422" t="s">
        <v>2702</v>
      </c>
      <c r="C37" s="616" t="s">
        <v>3091</v>
      </c>
      <c r="D37" s="435">
        <v>100</v>
      </c>
      <c r="E37" s="616" t="s">
        <v>3091</v>
      </c>
      <c r="F37" s="461">
        <f>SUMIF(106:106,E37,107:107)-SUMIF(106:106,C37,107:107)+100</f>
        <v>100</v>
      </c>
      <c r="G37" s="616" t="s">
        <v>3091</v>
      </c>
      <c r="H37" s="435">
        <f>SUMIF(106:106,G37,107:107)-SUMIF(106:106,C37,107:107)+100</f>
        <v>100</v>
      </c>
      <c r="I37" s="616" t="s">
        <v>3091</v>
      </c>
      <c r="J37" s="435">
        <f>SUMIF(106:106,I37,107:107)-SUMIF(106:106,C37,107:107)+100</f>
        <v>100</v>
      </c>
      <c r="K37" s="612">
        <v>1</v>
      </c>
      <c r="L37" s="1143"/>
      <c r="M37" s="1134"/>
      <c r="N37" s="1134"/>
      <c r="O37" s="1142"/>
      <c r="P37" s="3236"/>
      <c r="Q37" s="1813" t="str">
        <f t="shared" si="11"/>
        <v>内部装修状况</v>
      </c>
      <c r="R37" s="774" t="s">
        <v>17</v>
      </c>
      <c r="S37" s="775">
        <f t="shared" si="12"/>
        <v>100</v>
      </c>
      <c r="T37" s="774" t="s">
        <v>17</v>
      </c>
      <c r="U37" s="775">
        <f t="shared" si="13"/>
        <v>100</v>
      </c>
      <c r="V37" s="774" t="s">
        <v>17</v>
      </c>
      <c r="W37" s="775">
        <f t="shared" si="14"/>
        <v>100</v>
      </c>
      <c r="X37" s="1816"/>
      <c r="Y37" s="3236"/>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6"/>
      <c r="Q39" s="1813">
        <f t="shared" si="11"/>
        <v>111</v>
      </c>
      <c r="R39" s="774" t="s">
        <v>17</v>
      </c>
      <c r="S39" s="775">
        <f t="shared" si="12"/>
        <v>100</v>
      </c>
      <c r="T39" s="774" t="s">
        <v>17</v>
      </c>
      <c r="U39" s="775">
        <f t="shared" si="13"/>
        <v>100</v>
      </c>
      <c r="V39" s="774" t="s">
        <v>17</v>
      </c>
      <c r="W39" s="775">
        <f t="shared" si="14"/>
        <v>100</v>
      </c>
      <c r="X39" s="1816"/>
      <c r="Y39" s="3236"/>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3">
        <f t="shared" si="11"/>
        <v>111</v>
      </c>
      <c r="R40" s="774" t="s">
        <v>17</v>
      </c>
      <c r="S40" s="775">
        <f t="shared" si="12"/>
        <v>100</v>
      </c>
      <c r="T40" s="774" t="s">
        <v>17</v>
      </c>
      <c r="U40" s="775">
        <f t="shared" si="13"/>
        <v>100</v>
      </c>
      <c r="V40" s="774" t="s">
        <v>17</v>
      </c>
      <c r="W40" s="775">
        <f t="shared" si="14"/>
        <v>100</v>
      </c>
      <c r="X40" s="1816"/>
      <c r="Y40" s="3237"/>
      <c r="Z40" s="1817">
        <f t="shared" si="15"/>
        <v>111</v>
      </c>
      <c r="AA40" s="1814">
        <f t="shared" si="3"/>
        <v>1</v>
      </c>
      <c r="AB40" s="1814">
        <f t="shared" si="4"/>
        <v>1</v>
      </c>
      <c r="AC40" s="1814">
        <f t="shared" si="5"/>
        <v>1</v>
      </c>
    </row>
    <row r="41" spans="1:29" ht="15">
      <c r="A41" s="479" t="s">
        <v>2575</v>
      </c>
      <c r="B41" s="480"/>
      <c r="C41" s="1410" t="s">
        <v>1</v>
      </c>
      <c r="D41" s="1411"/>
      <c r="E41" s="1412">
        <f>ROUND(35000*J50,0)</f>
        <v>33250</v>
      </c>
      <c r="F41" s="1413"/>
      <c r="G41" s="1414">
        <f>ROUND(38000*J50,0)</f>
        <v>36100</v>
      </c>
      <c r="H41" s="1415"/>
      <c r="I41" s="1412">
        <f>ROUND(36500*J50,0)</f>
        <v>34675</v>
      </c>
      <c r="J41" s="1415"/>
      <c r="K41" s="783"/>
      <c r="L41" s="1146"/>
      <c r="M41" s="1147"/>
      <c r="N41" s="1134"/>
      <c r="O41" s="1147"/>
      <c r="P41" s="3229" t="str">
        <f>A41</f>
        <v>成交单价（元/平方米）</v>
      </c>
      <c r="Q41" s="3229"/>
      <c r="R41" s="3230">
        <f>E41</f>
        <v>33250</v>
      </c>
      <c r="S41" s="3230"/>
      <c r="T41" s="3230">
        <f>G41</f>
        <v>36100</v>
      </c>
      <c r="U41" s="3230"/>
      <c r="V41" s="3230">
        <f>I41</f>
        <v>34675</v>
      </c>
      <c r="W41" s="3230"/>
      <c r="X41" s="759"/>
      <c r="Y41" s="781"/>
      <c r="Z41" s="759"/>
      <c r="AA41" s="759"/>
      <c r="AB41" s="759"/>
      <c r="AC41" s="759"/>
    </row>
    <row r="42" spans="1:29" ht="15.75" thickBot="1">
      <c r="A42" s="486" t="s">
        <v>2667</v>
      </c>
      <c r="B42" s="487"/>
      <c r="C42" s="1416">
        <f>R43</f>
        <v>37539</v>
      </c>
      <c r="D42" s="1417"/>
      <c r="E42" s="1418">
        <f>R42</f>
        <v>37293</v>
      </c>
      <c r="F42" s="1418"/>
      <c r="G42" s="1416">
        <f>T42</f>
        <v>40286</v>
      </c>
      <c r="H42" s="1417"/>
      <c r="I42" s="1418">
        <f>V42</f>
        <v>35039</v>
      </c>
      <c r="J42" s="1417"/>
      <c r="K42" s="784"/>
      <c r="L42" s="1146"/>
      <c r="M42" s="1147"/>
      <c r="N42" s="1134"/>
      <c r="O42" s="1147"/>
      <c r="P42" s="3229" t="str">
        <f>A42</f>
        <v>比较价值（元/平方米）</v>
      </c>
      <c r="Q42" s="3229"/>
      <c r="R42" s="3230">
        <f>IF(F1="售价",ROUND(PRODUCT(R41,AA7:AA40),0),ROUND(PRODUCT(R41,AA7:AA40),1))</f>
        <v>37293</v>
      </c>
      <c r="S42" s="3230"/>
      <c r="T42" s="3230">
        <f>IF(F1="售价",ROUND(PRODUCT(T41,AB7:AB40),0),ROUND(PRODUCT(T41,AB7:AB40),1))</f>
        <v>40286</v>
      </c>
      <c r="U42" s="3230"/>
      <c r="V42" s="3230">
        <f>IF(F1="售价",ROUND(PRODUCT(V41,AC7:AC40),0),ROUND(PRODUCT(V41,AC7:AC40),1))</f>
        <v>35039</v>
      </c>
      <c r="W42" s="3230"/>
      <c r="X42" s="759"/>
      <c r="Y42" s="759"/>
      <c r="Z42" s="759"/>
      <c r="AA42" s="759"/>
      <c r="AB42" s="759"/>
      <c r="AC42" s="759"/>
    </row>
    <row r="43" spans="1:29" ht="15.75" thickBot="1">
      <c r="A43" s="492" t="s">
        <v>2668</v>
      </c>
      <c r="B43" s="493"/>
      <c r="C43" s="1420">
        <f>R43</f>
        <v>37539</v>
      </c>
      <c r="D43" s="1420"/>
      <c r="E43" s="1420"/>
      <c r="F43" s="1420"/>
      <c r="G43" s="1420"/>
      <c r="H43" s="1420"/>
      <c r="I43" s="1420"/>
      <c r="J43" s="1420"/>
      <c r="K43" s="785"/>
      <c r="L43" s="1146"/>
      <c r="M43" s="1147"/>
      <c r="N43" s="1147"/>
      <c r="O43" s="1147"/>
      <c r="P43" s="3226" t="str">
        <f>A43</f>
        <v>估价对象XX用房的比较价值（楼面单价，元/平方米）</v>
      </c>
      <c r="Q43" s="3227"/>
      <c r="R43" s="3228">
        <f>IF(F1="售价",ROUND(AVERAGE(R42:V42),0),ROUND(AVERAGE(R42:V42),1))</f>
        <v>37539</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f>IF(E41&lt;E42,E42/E41-1,E41/E42-1)</f>
        <v>0.12159398496240592</v>
      </c>
      <c r="F46" s="500" t="str">
        <f>IF(OR(E46&gt;=0.3,E46&lt;=-0.3),"超过30%","")</f>
        <v/>
      </c>
      <c r="G46" s="499">
        <f>IF(G41&lt;G42,G42/G41-1,G41/G42-1)</f>
        <v>0.11595567867036016</v>
      </c>
      <c r="H46" s="500" t="str">
        <f>IF(OR(G46&gt;=0.3,G46&lt;=-0.3),"超过30%","")</f>
        <v/>
      </c>
      <c r="I46" s="499">
        <f>IF(I41&lt;I42,I42/I41-1,I41/I42-1)</f>
        <v>1.0497476568132713E-2</v>
      </c>
      <c r="J46" s="500" t="str">
        <f>IF(OR(I46&gt;=0.3,I46&lt;=-0.3),"超过30%","")</f>
        <v/>
      </c>
      <c r="K46" s="1108"/>
      <c r="L46" s="1109"/>
      <c r="M46" s="1147"/>
      <c r="N46" s="1147"/>
      <c r="O46" s="1147"/>
    </row>
    <row r="47" spans="1:29" ht="13.5" customHeight="1">
      <c r="A47" s="1147"/>
      <c r="B47" s="1147"/>
      <c r="C47" s="497" t="s">
        <v>2670</v>
      </c>
      <c r="D47" s="501"/>
      <c r="E47" s="499">
        <f>IF(E42&lt;G42,G42/E42-1,E42/G42-1)</f>
        <v>8.0256348376370967E-2</v>
      </c>
      <c r="F47" s="500" t="str">
        <f>IF(OR(E47&gt;=0.2,E47&lt;=-0.2),"超过20%","")</f>
        <v/>
      </c>
      <c r="G47" s="499">
        <f>IF(G42&lt;I42,I42/G42-1,G42/I42-1)</f>
        <v>0.14974742429863874</v>
      </c>
      <c r="H47" s="500" t="str">
        <f>IF(OR(G47&gt;=0.2,G47&lt;=-0.2),"超过20%","")</f>
        <v/>
      </c>
      <c r="I47" s="499">
        <f>IF(I42&lt;E42,E42/I42-1,I42/E42-1)</f>
        <v>6.4328319872142492E-2</v>
      </c>
      <c r="J47" s="500" t="str">
        <f>IF(OR(I47&gt;=0.2,I47&lt;=-0.2),"超过20%","")</f>
        <v/>
      </c>
      <c r="K47" s="1108"/>
      <c r="L47" s="1109"/>
      <c r="M47" s="1147"/>
      <c r="N47" s="1147"/>
      <c r="O47" s="1147"/>
    </row>
    <row r="48" spans="1:29" s="502" customFormat="1" ht="13.5" customHeight="1">
      <c r="A48" s="1148"/>
      <c r="B48" s="1148"/>
      <c r="C48" s="497" t="s">
        <v>2671</v>
      </c>
      <c r="D48" s="501"/>
      <c r="E48" s="499">
        <f>IF(E41&lt;G41,G41/E41-1,E41/G41-1)</f>
        <v>8.5714285714285632E-2</v>
      </c>
      <c r="F48" s="500" t="str">
        <f>IF(OR(E48&gt;=0.3,E48&lt;=-0.3),"超过30%","")</f>
        <v/>
      </c>
      <c r="G48" s="499">
        <f>IF(G41&lt;I41,I41/G41-1,G41/I41-1)</f>
        <v>4.1095890410958846E-2</v>
      </c>
      <c r="H48" s="500" t="str">
        <f>IF(OR(G48&gt;=0.3,G48&lt;=-0.3),"超过30%","")</f>
        <v/>
      </c>
      <c r="I48" s="499">
        <f>IF(I41&lt;E41,E41/I41-1,I41/E41-1)</f>
        <v>4.2857142857142927E-2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v>0.95</v>
      </c>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v>99.5</v>
      </c>
      <c r="E53" s="512">
        <v>99</v>
      </c>
      <c r="F53" s="512">
        <v>98.5</v>
      </c>
      <c r="G53" s="512">
        <v>98</v>
      </c>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2556</v>
      </c>
      <c r="C61" s="547" t="str">
        <f>C62&amp;"（含）"&amp;"-"&amp;D62</f>
        <v>0（含）-0.5</v>
      </c>
      <c r="D61" s="547" t="str">
        <f t="shared" ref="D61:L61" si="17">D62&amp;"（含）"&amp;"-"&amp;E62</f>
        <v>0.5（含）-1</v>
      </c>
      <c r="E61" s="547" t="str">
        <f t="shared" si="17"/>
        <v>1（含）-1.5</v>
      </c>
      <c r="F61" s="547" t="str">
        <f t="shared" si="17"/>
        <v>1.5（含）-2</v>
      </c>
      <c r="G61" s="547" t="str">
        <f t="shared" si="17"/>
        <v>2（含）-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0.5</v>
      </c>
      <c r="E62" s="549">
        <v>1</v>
      </c>
      <c r="F62" s="549">
        <v>1.5</v>
      </c>
      <c r="G62" s="549">
        <v>2</v>
      </c>
      <c r="H62" s="549"/>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97</v>
      </c>
      <c r="E73" s="544">
        <f>D73-$K17</f>
        <v>94</v>
      </c>
      <c r="F73" s="544">
        <f>E73-$K17</f>
        <v>91</v>
      </c>
      <c r="G73" s="544">
        <f>F73-$K17</f>
        <v>88</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2961" t="s">
        <v>3132</v>
      </c>
      <c r="D88" s="2961" t="s">
        <v>3109</v>
      </c>
      <c r="E88" s="2961"/>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customHeight="1" thickTop="1">
      <c r="A90" s="534"/>
      <c r="B90" s="538" t="s">
        <v>2611</v>
      </c>
      <c r="C90" s="578" t="str">
        <f>C91&amp;"(含)"&amp;"-"&amp;D91</f>
        <v>0(含)-5000</v>
      </c>
      <c r="D90" s="578" t="str">
        <f t="shared" ref="D90:L90" si="20">D91&amp;"(含)"&amp;"-"&amp;E91</f>
        <v>5000(含)-10000</v>
      </c>
      <c r="E90" s="578" t="str">
        <f t="shared" si="20"/>
        <v>10000(含)-15000</v>
      </c>
      <c r="F90" s="578" t="str">
        <f t="shared" si="20"/>
        <v>15000(含)-20000</v>
      </c>
      <c r="G90" s="578" t="str">
        <f t="shared" si="20"/>
        <v>20000(含)-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5000</v>
      </c>
      <c r="E91" s="595">
        <v>10000</v>
      </c>
      <c r="F91" s="595">
        <v>15000</v>
      </c>
      <c r="G91" s="595">
        <v>20000</v>
      </c>
      <c r="H91" s="595"/>
      <c r="I91" s="595"/>
      <c r="J91" s="596"/>
      <c r="K91" s="596"/>
      <c r="L91" s="597"/>
      <c r="M91" s="598"/>
      <c r="N91" s="1157"/>
      <c r="O91" s="1157"/>
      <c r="P91" s="558"/>
      <c r="Q91" s="559"/>
    </row>
    <row r="92" spans="1:17" s="471" customFormat="1" ht="15.75" thickBot="1">
      <c r="A92" s="553"/>
      <c r="B92" s="543"/>
      <c r="C92" s="560">
        <v>100</v>
      </c>
      <c r="D92" s="536">
        <v>101</v>
      </c>
      <c r="E92" s="536">
        <v>102</v>
      </c>
      <c r="F92" s="536">
        <v>101</v>
      </c>
      <c r="G92" s="536">
        <v>100</v>
      </c>
      <c r="H92" s="536"/>
      <c r="I92" s="536"/>
      <c r="J92" s="536"/>
      <c r="K92" s="536"/>
      <c r="L92" s="536"/>
      <c r="M92" s="537"/>
      <c r="N92" s="1156"/>
      <c r="O92" s="1156"/>
      <c r="P92" s="558"/>
      <c r="Q92" s="559"/>
    </row>
    <row r="93" spans="1:17" ht="15" thickTop="1">
      <c r="A93" s="599"/>
      <c r="B93" s="538" t="s">
        <v>2612</v>
      </c>
      <c r="C93" s="2962" t="s">
        <v>3096</v>
      </c>
      <c r="D93" s="2962" t="s">
        <v>3097</v>
      </c>
      <c r="E93" s="2963" t="s">
        <v>3098</v>
      </c>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2614</v>
      </c>
      <c r="C95" s="554" t="s">
        <v>3099</v>
      </c>
      <c r="D95" s="554" t="s">
        <v>3100</v>
      </c>
      <c r="E95" s="554" t="s">
        <v>3101</v>
      </c>
      <c r="F95" s="583" t="s">
        <v>3102</v>
      </c>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2615</v>
      </c>
      <c r="C100" s="554" t="s">
        <v>3103</v>
      </c>
      <c r="D100" s="2962" t="s">
        <v>3105</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2616</v>
      </c>
      <c r="C102" s="554" t="s">
        <v>3093</v>
      </c>
      <c r="D102" s="554" t="s">
        <v>3092</v>
      </c>
      <c r="E102" s="554" t="s">
        <v>3106</v>
      </c>
      <c r="F102" s="554" t="s">
        <v>3107</v>
      </c>
      <c r="G102" s="554" t="s">
        <v>3108</v>
      </c>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2618</v>
      </c>
      <c r="C104" s="554" t="s">
        <v>3099</v>
      </c>
      <c r="D104" s="554" t="s">
        <v>3100</v>
      </c>
      <c r="E104" s="554" t="s">
        <v>3101</v>
      </c>
      <c r="F104" s="554" t="s">
        <v>3102</v>
      </c>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195" t="s">
        <v>2646</v>
      </c>
      <c r="AC4" s="3194" t="s">
        <v>2647</v>
      </c>
    </row>
    <row r="5" spans="1:29" ht="15">
      <c r="A5" s="404"/>
      <c r="B5" s="405"/>
      <c r="C5" s="3205" t="s">
        <v>2540</v>
      </c>
      <c r="D5" s="3206"/>
      <c r="E5" s="3203" t="s">
        <v>2541</v>
      </c>
      <c r="F5" s="3204"/>
      <c r="G5" s="3205" t="s">
        <v>2542</v>
      </c>
      <c r="H5" s="3206"/>
      <c r="I5" s="3205" t="s">
        <v>2543</v>
      </c>
      <c r="J5" s="3206"/>
      <c r="K5" s="610"/>
      <c r="L5" s="1133"/>
      <c r="M5" s="1134"/>
      <c r="N5" s="1134"/>
      <c r="O5" s="1134"/>
      <c r="P5" s="3218"/>
      <c r="Q5" s="3219"/>
      <c r="R5" s="3201"/>
      <c r="S5" s="3202"/>
      <c r="T5" s="3201"/>
      <c r="U5" s="3202"/>
      <c r="V5" s="3224"/>
      <c r="W5" s="3224"/>
      <c r="X5" s="1816"/>
      <c r="Y5" s="3201"/>
      <c r="Z5" s="3202"/>
      <c r="AA5" s="3195"/>
      <c r="AB5" s="3195"/>
      <c r="AC5" s="3195"/>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224"/>
      <c r="W6" s="3224"/>
      <c r="X6" s="1816"/>
      <c r="Y6" s="3222"/>
      <c r="Z6" s="3223"/>
      <c r="AA6" s="3196"/>
      <c r="AB6" s="3196"/>
      <c r="AC6" s="3196"/>
    </row>
    <row r="7" spans="1:29" s="117" customFormat="1" ht="15.75" thickBot="1">
      <c r="A7" s="408" t="s">
        <v>2546</v>
      </c>
      <c r="B7" s="409"/>
      <c r="C7" s="410">
        <f>'数据-取费表'!B2</f>
        <v>43363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2547</v>
      </c>
      <c r="Q7" s="3225"/>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9" t="s">
        <v>2553</v>
      </c>
      <c r="Q9" s="1798" t="str">
        <f t="shared" ref="Q9:Q14" si="6">B9</f>
        <v>用途</v>
      </c>
      <c r="R9" s="770" t="s">
        <v>17</v>
      </c>
      <c r="S9" s="771">
        <f t="shared" si="0"/>
        <v>100</v>
      </c>
      <c r="T9" s="770" t="s">
        <v>17</v>
      </c>
      <c r="U9" s="771">
        <f t="shared" si="1"/>
        <v>100</v>
      </c>
      <c r="V9" s="770" t="s">
        <v>17</v>
      </c>
      <c r="W9" s="771">
        <f t="shared" si="2"/>
        <v>100</v>
      </c>
      <c r="X9" s="772"/>
      <c r="Y9" s="304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9"/>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9"/>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1" t="s">
        <v>2558</v>
      </c>
      <c r="Q14" s="1813" t="str">
        <f t="shared" si="6"/>
        <v>交通便捷度</v>
      </c>
      <c r="R14" s="774" t="s">
        <v>17</v>
      </c>
      <c r="S14" s="775">
        <f t="shared" si="0"/>
        <v>100</v>
      </c>
      <c r="T14" s="774" t="s">
        <v>17</v>
      </c>
      <c r="U14" s="775">
        <f t="shared" si="1"/>
        <v>100</v>
      </c>
      <c r="V14" s="774" t="s">
        <v>17</v>
      </c>
      <c r="W14" s="775">
        <f t="shared" si="2"/>
        <v>100</v>
      </c>
      <c r="X14" s="1816"/>
      <c r="Y14" s="3231"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2"/>
      <c r="Q15" s="1813"/>
      <c r="R15" s="774"/>
      <c r="S15" s="775"/>
      <c r="T15" s="774"/>
      <c r="U15" s="775"/>
      <c r="V15" s="774"/>
      <c r="W15" s="775"/>
      <c r="X15" s="1816"/>
      <c r="Y15" s="3232"/>
      <c r="Z15" s="1817"/>
      <c r="AA15" s="1814">
        <v>1</v>
      </c>
      <c r="AB15" s="1814">
        <v>1</v>
      </c>
      <c r="AC15" s="1814">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2"/>
      <c r="Q16" s="1813" t="str">
        <f>B16</f>
        <v>公共配套设施</v>
      </c>
      <c r="R16" s="774" t="s">
        <v>17</v>
      </c>
      <c r="S16" s="775">
        <f>F16</f>
        <v>100</v>
      </c>
      <c r="T16" s="774" t="s">
        <v>17</v>
      </c>
      <c r="U16" s="775">
        <f>H16</f>
        <v>100</v>
      </c>
      <c r="V16" s="774" t="s">
        <v>17</v>
      </c>
      <c r="W16" s="775">
        <f>J16</f>
        <v>100</v>
      </c>
      <c r="X16" s="1816"/>
      <c r="Y16" s="323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32"/>
      <c r="Q17" s="1813"/>
      <c r="R17" s="774"/>
      <c r="S17" s="775"/>
      <c r="T17" s="774"/>
      <c r="U17" s="775"/>
      <c r="V17" s="774"/>
      <c r="W17" s="775"/>
      <c r="X17" s="1816"/>
      <c r="Y17" s="3232"/>
      <c r="Z17" s="1817"/>
      <c r="AA17" s="1814">
        <v>1</v>
      </c>
      <c r="AB17" s="1814">
        <v>1</v>
      </c>
      <c r="AC17" s="1814">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2"/>
      <c r="Q18" s="1813" t="str">
        <f>B18</f>
        <v>基础设施水平</v>
      </c>
      <c r="R18" s="774" t="s">
        <v>17</v>
      </c>
      <c r="S18" s="775">
        <f>F18</f>
        <v>100</v>
      </c>
      <c r="T18" s="774" t="s">
        <v>17</v>
      </c>
      <c r="U18" s="775">
        <f>H18</f>
        <v>100</v>
      </c>
      <c r="V18" s="774" t="s">
        <v>17</v>
      </c>
      <c r="W18" s="775">
        <f>J18</f>
        <v>100</v>
      </c>
      <c r="X18" s="1816"/>
      <c r="Y18" s="323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32"/>
      <c r="Q19" s="1813"/>
      <c r="R19" s="774"/>
      <c r="S19" s="775"/>
      <c r="T19" s="774"/>
      <c r="U19" s="775"/>
      <c r="V19" s="774"/>
      <c r="W19" s="775"/>
      <c r="X19" s="1816"/>
      <c r="Y19" s="3232"/>
      <c r="Z19" s="1817"/>
      <c r="AA19" s="1814">
        <v>1</v>
      </c>
      <c r="AB19" s="1814">
        <v>1</v>
      </c>
      <c r="AC19" s="1814">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2"/>
      <c r="Q20" s="1813" t="str">
        <f>B20</f>
        <v>自然及人文环境</v>
      </c>
      <c r="R20" s="774" t="s">
        <v>17</v>
      </c>
      <c r="S20" s="775">
        <f>F20</f>
        <v>100</v>
      </c>
      <c r="T20" s="774" t="s">
        <v>17</v>
      </c>
      <c r="U20" s="775">
        <f>H20</f>
        <v>100</v>
      </c>
      <c r="V20" s="774" t="s">
        <v>17</v>
      </c>
      <c r="W20" s="775">
        <f>J20</f>
        <v>100</v>
      </c>
      <c r="X20" s="1816"/>
      <c r="Y20" s="323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2"/>
      <c r="Q21" s="1813"/>
      <c r="R21" s="774"/>
      <c r="S21" s="775"/>
      <c r="T21" s="774"/>
      <c r="U21" s="775"/>
      <c r="V21" s="774"/>
      <c r="W21" s="775"/>
      <c r="X21" s="1816"/>
      <c r="Y21" s="3232"/>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2"/>
      <c r="Q22" s="1813" t="str">
        <f>B22</f>
        <v>楼层</v>
      </c>
      <c r="R22" s="774" t="s">
        <v>17</v>
      </c>
      <c r="S22" s="775">
        <f>F22</f>
        <v>100</v>
      </c>
      <c r="T22" s="774" t="s">
        <v>17</v>
      </c>
      <c r="U22" s="775">
        <f>H22</f>
        <v>100</v>
      </c>
      <c r="V22" s="774" t="s">
        <v>17</v>
      </c>
      <c r="W22" s="775">
        <f>J22</f>
        <v>100</v>
      </c>
      <c r="X22" s="1816"/>
      <c r="Y22" s="323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2"/>
      <c r="Q23" s="1813">
        <f>B23</f>
        <v>111</v>
      </c>
      <c r="R23" s="774" t="s">
        <v>17</v>
      </c>
      <c r="S23" s="775">
        <f>F23</f>
        <v>100</v>
      </c>
      <c r="T23" s="774" t="s">
        <v>17</v>
      </c>
      <c r="U23" s="775">
        <f>H23</f>
        <v>100</v>
      </c>
      <c r="V23" s="774" t="s">
        <v>17</v>
      </c>
      <c r="W23" s="775">
        <f>J23</f>
        <v>100</v>
      </c>
      <c r="X23" s="1816"/>
      <c r="Y23" s="323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2"/>
      <c r="Q24" s="1813">
        <f t="shared" ref="Q24:Q36" si="11">B24</f>
        <v>111</v>
      </c>
      <c r="R24" s="774" t="s">
        <v>17</v>
      </c>
      <c r="S24" s="775">
        <f>F24</f>
        <v>100</v>
      </c>
      <c r="T24" s="774" t="s">
        <v>17</v>
      </c>
      <c r="U24" s="775">
        <f>H24</f>
        <v>100</v>
      </c>
      <c r="V24" s="774" t="s">
        <v>17</v>
      </c>
      <c r="W24" s="775">
        <f>J24</f>
        <v>100</v>
      </c>
      <c r="X24" s="1816"/>
      <c r="Y24" s="323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2"/>
      <c r="Q25" s="1798">
        <f t="shared" si="11"/>
        <v>111</v>
      </c>
      <c r="R25" s="770" t="s">
        <v>17</v>
      </c>
      <c r="S25" s="771">
        <f>F25</f>
        <v>100</v>
      </c>
      <c r="T25" s="770" t="s">
        <v>17</v>
      </c>
      <c r="U25" s="771">
        <f>H25</f>
        <v>100</v>
      </c>
      <c r="V25" s="770" t="s">
        <v>17</v>
      </c>
      <c r="W25" s="771">
        <f>J25</f>
        <v>100</v>
      </c>
      <c r="X25" s="772"/>
      <c r="Y25" s="3232"/>
      <c r="Z25" s="55">
        <f>Q25</f>
        <v>111</v>
      </c>
      <c r="AA25" s="1814">
        <f>D25/F25</f>
        <v>1</v>
      </c>
      <c r="AB25" s="1814">
        <f>D25/H25</f>
        <v>1</v>
      </c>
      <c r="AC25" s="1814">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6"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6"/>
      <c r="Q28" s="1813" t="str">
        <f t="shared" si="11"/>
        <v>公共部分装修</v>
      </c>
      <c r="R28" s="774" t="s">
        <v>17</v>
      </c>
      <c r="S28" s="775">
        <f t="shared" si="12"/>
        <v>100</v>
      </c>
      <c r="T28" s="774" t="s">
        <v>17</v>
      </c>
      <c r="U28" s="775">
        <f t="shared" si="13"/>
        <v>100</v>
      </c>
      <c r="V28" s="774" t="s">
        <v>17</v>
      </c>
      <c r="W28" s="775">
        <f t="shared" si="14"/>
        <v>100</v>
      </c>
      <c r="X28" s="1816"/>
      <c r="Y28" s="3236"/>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6"/>
      <c r="Q29" s="1813" t="str">
        <f t="shared" si="11"/>
        <v>成新率</v>
      </c>
      <c r="R29" s="774" t="s">
        <v>17</v>
      </c>
      <c r="S29" s="775" t="e">
        <f t="shared" si="12"/>
        <v>#N/A</v>
      </c>
      <c r="T29" s="774" t="s">
        <v>17</v>
      </c>
      <c r="U29" s="775" t="e">
        <f t="shared" si="13"/>
        <v>#N/A</v>
      </c>
      <c r="V29" s="774" t="s">
        <v>17</v>
      </c>
      <c r="W29" s="775" t="e">
        <f t="shared" si="14"/>
        <v>#N/A</v>
      </c>
      <c r="X29" s="1816"/>
      <c r="Y29" s="3236"/>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6"/>
      <c r="Q30" s="1813" t="str">
        <f t="shared" si="11"/>
        <v>物业等级</v>
      </c>
      <c r="R30" s="774" t="s">
        <v>17</v>
      </c>
      <c r="S30" s="775">
        <f t="shared" si="12"/>
        <v>100</v>
      </c>
      <c r="T30" s="774" t="s">
        <v>17</v>
      </c>
      <c r="U30" s="775">
        <f t="shared" si="13"/>
        <v>100</v>
      </c>
      <c r="V30" s="774" t="s">
        <v>17</v>
      </c>
      <c r="W30" s="775">
        <f t="shared" si="14"/>
        <v>100</v>
      </c>
      <c r="X30" s="1816"/>
      <c r="Y30" s="3236"/>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6"/>
      <c r="Q31" s="1798"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6" t="s">
        <v>2563</v>
      </c>
      <c r="Q32" s="1813" t="str">
        <f t="shared" si="11"/>
        <v>车位类型</v>
      </c>
      <c r="R32" s="774" t="s">
        <v>17</v>
      </c>
      <c r="S32" s="775">
        <f t="shared" si="12"/>
        <v>100</v>
      </c>
      <c r="T32" s="774" t="s">
        <v>17</v>
      </c>
      <c r="U32" s="775">
        <f t="shared" si="13"/>
        <v>100</v>
      </c>
      <c r="V32" s="774" t="s">
        <v>17</v>
      </c>
      <c r="W32" s="775">
        <f t="shared" si="14"/>
        <v>100</v>
      </c>
      <c r="X32" s="1816"/>
      <c r="Y32" s="3236"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6"/>
      <c r="Q33" s="1813" t="str">
        <f t="shared" si="11"/>
        <v>是否直接入户</v>
      </c>
      <c r="R33" s="774" t="s">
        <v>17</v>
      </c>
      <c r="S33" s="775">
        <f t="shared" si="12"/>
        <v>100</v>
      </c>
      <c r="T33" s="774" t="s">
        <v>17</v>
      </c>
      <c r="U33" s="775">
        <f t="shared" si="13"/>
        <v>100</v>
      </c>
      <c r="V33" s="774" t="s">
        <v>17</v>
      </c>
      <c r="W33" s="775">
        <f t="shared" si="14"/>
        <v>100</v>
      </c>
      <c r="X33" s="1816"/>
      <c r="Y33" s="323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6"/>
      <c r="Q34" s="1813">
        <f t="shared" si="11"/>
        <v>111</v>
      </c>
      <c r="R34" s="774" t="s">
        <v>17</v>
      </c>
      <c r="S34" s="775">
        <f t="shared" si="12"/>
        <v>100</v>
      </c>
      <c r="T34" s="774" t="s">
        <v>17</v>
      </c>
      <c r="U34" s="775">
        <f t="shared" si="13"/>
        <v>100</v>
      </c>
      <c r="V34" s="774" t="s">
        <v>17</v>
      </c>
      <c r="W34" s="775">
        <f t="shared" si="14"/>
        <v>100</v>
      </c>
      <c r="X34" s="1816"/>
      <c r="Y34" s="323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6"/>
      <c r="Q36" s="1813">
        <f t="shared" si="11"/>
        <v>111</v>
      </c>
      <c r="R36" s="774" t="s">
        <v>17</v>
      </c>
      <c r="S36" s="775">
        <f t="shared" si="12"/>
        <v>100</v>
      </c>
      <c r="T36" s="774" t="s">
        <v>17</v>
      </c>
      <c r="U36" s="775">
        <f t="shared" si="13"/>
        <v>100</v>
      </c>
      <c r="V36" s="774" t="s">
        <v>17</v>
      </c>
      <c r="W36" s="775">
        <f t="shared" si="14"/>
        <v>100</v>
      </c>
      <c r="X36" s="1816"/>
      <c r="Y36" s="3236"/>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195" t="s">
        <v>2646</v>
      </c>
      <c r="AC4" s="3194" t="s">
        <v>2647</v>
      </c>
    </row>
    <row r="5" spans="1:29" ht="15">
      <c r="A5" s="404"/>
      <c r="B5" s="405"/>
      <c r="C5" s="3205" t="s">
        <v>2540</v>
      </c>
      <c r="D5" s="3206"/>
      <c r="E5" s="3203" t="s">
        <v>2541</v>
      </c>
      <c r="F5" s="3204"/>
      <c r="G5" s="3205" t="s">
        <v>2542</v>
      </c>
      <c r="H5" s="3206"/>
      <c r="I5" s="3205" t="s">
        <v>2543</v>
      </c>
      <c r="J5" s="3206"/>
      <c r="K5" s="610"/>
      <c r="L5" s="1133"/>
      <c r="M5" s="1134"/>
      <c r="N5" s="1134"/>
      <c r="O5" s="1134"/>
      <c r="P5" s="3218"/>
      <c r="Q5" s="3219"/>
      <c r="R5" s="3201"/>
      <c r="S5" s="3202"/>
      <c r="T5" s="3201"/>
      <c r="U5" s="3202"/>
      <c r="V5" s="3224"/>
      <c r="W5" s="3224"/>
      <c r="X5" s="1816"/>
      <c r="Y5" s="3201"/>
      <c r="Z5" s="3202"/>
      <c r="AA5" s="3195"/>
      <c r="AB5" s="3195"/>
      <c r="AC5" s="3195"/>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224"/>
      <c r="W6" s="3224"/>
      <c r="X6" s="1816"/>
      <c r="Y6" s="3222"/>
      <c r="Z6" s="3223"/>
      <c r="AA6" s="3196"/>
      <c r="AB6" s="3196"/>
      <c r="AC6" s="3196"/>
    </row>
    <row r="7" spans="1:29" s="117" customFormat="1" ht="15.75" thickBot="1">
      <c r="A7" s="408" t="s">
        <v>2546</v>
      </c>
      <c r="B7" s="409"/>
      <c r="C7" s="410">
        <f>'数据-取费表'!B2</f>
        <v>43363</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7" t="s">
        <v>2547</v>
      </c>
      <c r="Q7" s="3225"/>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9" t="s">
        <v>2553</v>
      </c>
      <c r="Q9" s="1798" t="str">
        <f t="shared" ref="Q9:Q14" si="6">B9</f>
        <v>用途</v>
      </c>
      <c r="R9" s="770" t="s">
        <v>17</v>
      </c>
      <c r="S9" s="771">
        <f t="shared" si="0"/>
        <v>100</v>
      </c>
      <c r="T9" s="770" t="s">
        <v>17</v>
      </c>
      <c r="U9" s="771">
        <f t="shared" si="1"/>
        <v>100</v>
      </c>
      <c r="V9" s="770" t="s">
        <v>17</v>
      </c>
      <c r="W9" s="771">
        <f t="shared" si="2"/>
        <v>100</v>
      </c>
      <c r="X9" s="772"/>
      <c r="Y9" s="304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9"/>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9"/>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1" t="s">
        <v>2558</v>
      </c>
      <c r="Q14" s="1813" t="str">
        <f t="shared" si="6"/>
        <v>交通便捷度</v>
      </c>
      <c r="R14" s="774" t="s">
        <v>17</v>
      </c>
      <c r="S14" s="775">
        <f t="shared" si="0"/>
        <v>100</v>
      </c>
      <c r="T14" s="774" t="s">
        <v>17</v>
      </c>
      <c r="U14" s="775">
        <f t="shared" si="1"/>
        <v>100</v>
      </c>
      <c r="V14" s="774" t="s">
        <v>17</v>
      </c>
      <c r="W14" s="775">
        <f t="shared" si="2"/>
        <v>100</v>
      </c>
      <c r="X14" s="1816"/>
      <c r="Y14" s="3231"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2"/>
      <c r="Q15" s="1813"/>
      <c r="R15" s="774"/>
      <c r="S15" s="775"/>
      <c r="T15" s="774"/>
      <c r="U15" s="775"/>
      <c r="V15" s="774"/>
      <c r="W15" s="775"/>
      <c r="X15" s="1816"/>
      <c r="Y15" s="3232"/>
      <c r="Z15" s="1817"/>
      <c r="AA15" s="1814">
        <v>1</v>
      </c>
      <c r="AB15" s="1814">
        <v>1</v>
      </c>
      <c r="AC15" s="1814">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2"/>
      <c r="Q16" s="1813" t="str">
        <f>B16</f>
        <v>公共配套设施</v>
      </c>
      <c r="R16" s="774" t="s">
        <v>17</v>
      </c>
      <c r="S16" s="775">
        <f>F16</f>
        <v>100</v>
      </c>
      <c r="T16" s="774" t="s">
        <v>17</v>
      </c>
      <c r="U16" s="775">
        <f>H16</f>
        <v>100</v>
      </c>
      <c r="V16" s="774" t="s">
        <v>17</v>
      </c>
      <c r="W16" s="775">
        <f>J16</f>
        <v>100</v>
      </c>
      <c r="X16" s="1816"/>
      <c r="Y16" s="323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2"/>
      <c r="Q17" s="1813"/>
      <c r="R17" s="774"/>
      <c r="S17" s="775"/>
      <c r="T17" s="774"/>
      <c r="U17" s="775"/>
      <c r="V17" s="774"/>
      <c r="W17" s="775"/>
      <c r="X17" s="1816"/>
      <c r="Y17" s="3232"/>
      <c r="Z17" s="1817"/>
      <c r="AA17" s="1814">
        <v>1</v>
      </c>
      <c r="AB17" s="1814">
        <v>1</v>
      </c>
      <c r="AC17" s="1814">
        <v>1</v>
      </c>
    </row>
    <row r="18" spans="1:29" ht="28.5">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2"/>
      <c r="Q18" s="1813" t="str">
        <f>B18</f>
        <v>基础设施水平</v>
      </c>
      <c r="R18" s="774" t="s">
        <v>17</v>
      </c>
      <c r="S18" s="775">
        <f>F18</f>
        <v>100</v>
      </c>
      <c r="T18" s="774" t="s">
        <v>17</v>
      </c>
      <c r="U18" s="775">
        <f>H18</f>
        <v>100</v>
      </c>
      <c r="V18" s="774" t="s">
        <v>17</v>
      </c>
      <c r="W18" s="775">
        <f>J18</f>
        <v>100</v>
      </c>
      <c r="X18" s="1816"/>
      <c r="Y18" s="323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2"/>
      <c r="Q19" s="1813"/>
      <c r="R19" s="774"/>
      <c r="S19" s="775"/>
      <c r="T19" s="774"/>
      <c r="U19" s="775"/>
      <c r="V19" s="774"/>
      <c r="W19" s="775"/>
      <c r="X19" s="1816"/>
      <c r="Y19" s="3232"/>
      <c r="Z19" s="1817"/>
      <c r="AA19" s="1814">
        <v>1</v>
      </c>
      <c r="AB19" s="1814">
        <v>1</v>
      </c>
      <c r="AC19" s="1814">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2"/>
      <c r="Q20" s="1813" t="str">
        <f>B20</f>
        <v>自然及人文环境</v>
      </c>
      <c r="R20" s="774" t="s">
        <v>17</v>
      </c>
      <c r="S20" s="775">
        <f>F20</f>
        <v>100</v>
      </c>
      <c r="T20" s="774" t="s">
        <v>17</v>
      </c>
      <c r="U20" s="775">
        <f>H20</f>
        <v>100</v>
      </c>
      <c r="V20" s="774" t="s">
        <v>17</v>
      </c>
      <c r="W20" s="775">
        <f>J20</f>
        <v>100</v>
      </c>
      <c r="X20" s="1816"/>
      <c r="Y20" s="323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2"/>
      <c r="Q21" s="1813"/>
      <c r="R21" s="774"/>
      <c r="S21" s="775"/>
      <c r="T21" s="774"/>
      <c r="U21" s="775"/>
      <c r="V21" s="774"/>
      <c r="W21" s="775"/>
      <c r="X21" s="1816"/>
      <c r="Y21" s="3232"/>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2"/>
      <c r="Q22" s="1813" t="str">
        <f>B22</f>
        <v>楼层</v>
      </c>
      <c r="R22" s="774" t="s">
        <v>17</v>
      </c>
      <c r="S22" s="775">
        <f>F22</f>
        <v>100</v>
      </c>
      <c r="T22" s="774" t="s">
        <v>17</v>
      </c>
      <c r="U22" s="775">
        <f>H22</f>
        <v>100</v>
      </c>
      <c r="V22" s="774" t="s">
        <v>17</v>
      </c>
      <c r="W22" s="775">
        <f>J22</f>
        <v>100</v>
      </c>
      <c r="X22" s="1816"/>
      <c r="Y22" s="323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2"/>
      <c r="Q23" s="1813">
        <f>B23</f>
        <v>111</v>
      </c>
      <c r="R23" s="774" t="s">
        <v>17</v>
      </c>
      <c r="S23" s="775">
        <f>F23</f>
        <v>100</v>
      </c>
      <c r="T23" s="774" t="s">
        <v>17</v>
      </c>
      <c r="U23" s="775">
        <f>H23</f>
        <v>100</v>
      </c>
      <c r="V23" s="774" t="s">
        <v>17</v>
      </c>
      <c r="W23" s="775">
        <f>J23</f>
        <v>100</v>
      </c>
      <c r="X23" s="1816"/>
      <c r="Y23" s="323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2"/>
      <c r="Q24" s="1813">
        <f t="shared" ref="Q24:Q34" si="11">B24</f>
        <v>111</v>
      </c>
      <c r="R24" s="774" t="s">
        <v>17</v>
      </c>
      <c r="S24" s="775">
        <f>F24</f>
        <v>100</v>
      </c>
      <c r="T24" s="774" t="s">
        <v>17</v>
      </c>
      <c r="U24" s="775">
        <f>H24</f>
        <v>100</v>
      </c>
      <c r="V24" s="774" t="s">
        <v>17</v>
      </c>
      <c r="W24" s="775">
        <f>J24</f>
        <v>100</v>
      </c>
      <c r="X24" s="1816"/>
      <c r="Y24" s="3232"/>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2"/>
      <c r="Q25" s="1798">
        <f t="shared" si="11"/>
        <v>111</v>
      </c>
      <c r="R25" s="770" t="s">
        <v>17</v>
      </c>
      <c r="S25" s="771">
        <f>F25</f>
        <v>100</v>
      </c>
      <c r="T25" s="770" t="s">
        <v>17</v>
      </c>
      <c r="U25" s="771">
        <f>H25</f>
        <v>100</v>
      </c>
      <c r="V25" s="770" t="s">
        <v>17</v>
      </c>
      <c r="W25" s="771">
        <f>J25</f>
        <v>100</v>
      </c>
      <c r="X25" s="772"/>
      <c r="Y25" s="3232"/>
      <c r="Z25" s="55">
        <f>Q25</f>
        <v>111</v>
      </c>
      <c r="AA25" s="1814">
        <f>D25/F25</f>
        <v>1</v>
      </c>
      <c r="AB25" s="1814">
        <f>D25/H25</f>
        <v>1</v>
      </c>
      <c r="AC25" s="1814">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7"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6"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6"/>
      <c r="Q28" s="1813" t="str">
        <f t="shared" si="11"/>
        <v>物业等级</v>
      </c>
      <c r="R28" s="774" t="s">
        <v>17</v>
      </c>
      <c r="S28" s="775">
        <f t="shared" si="12"/>
        <v>100</v>
      </c>
      <c r="T28" s="774" t="s">
        <v>17</v>
      </c>
      <c r="U28" s="775">
        <f t="shared" si="13"/>
        <v>100</v>
      </c>
      <c r="V28" s="774" t="s">
        <v>17</v>
      </c>
      <c r="W28" s="775">
        <f t="shared" si="14"/>
        <v>100</v>
      </c>
      <c r="X28" s="1816"/>
      <c r="Y28" s="3236"/>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6"/>
      <c r="Q29" s="1813" t="str">
        <f t="shared" si="11"/>
        <v>有无电梯</v>
      </c>
      <c r="R29" s="774" t="s">
        <v>17</v>
      </c>
      <c r="S29" s="775">
        <f t="shared" si="12"/>
        <v>100</v>
      </c>
      <c r="T29" s="774" t="s">
        <v>17</v>
      </c>
      <c r="U29" s="775">
        <f t="shared" si="13"/>
        <v>100</v>
      </c>
      <c r="V29" s="774" t="s">
        <v>17</v>
      </c>
      <c r="W29" s="775">
        <f t="shared" si="14"/>
        <v>100</v>
      </c>
      <c r="X29" s="1816"/>
      <c r="Y29" s="3236"/>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6"/>
      <c r="Q30" s="1813" t="str">
        <f t="shared" si="11"/>
        <v>建筑面积</v>
      </c>
      <c r="R30" s="774" t="s">
        <v>17</v>
      </c>
      <c r="S30" s="775" t="e">
        <f t="shared" si="12"/>
        <v>#N/A</v>
      </c>
      <c r="T30" s="774" t="s">
        <v>17</v>
      </c>
      <c r="U30" s="775" t="e">
        <f t="shared" si="13"/>
        <v>#N/A</v>
      </c>
      <c r="V30" s="774" t="s">
        <v>17</v>
      </c>
      <c r="W30" s="775" t="e">
        <f t="shared" si="14"/>
        <v>#N/A</v>
      </c>
      <c r="X30" s="1816"/>
      <c r="Y30" s="3236"/>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6"/>
      <c r="Q31" s="1798"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6" t="s">
        <v>2563</v>
      </c>
      <c r="Q32" s="1813">
        <f t="shared" si="11"/>
        <v>111</v>
      </c>
      <c r="R32" s="774" t="s">
        <v>17</v>
      </c>
      <c r="S32" s="775">
        <f t="shared" si="12"/>
        <v>100</v>
      </c>
      <c r="T32" s="774" t="s">
        <v>17</v>
      </c>
      <c r="U32" s="775">
        <f t="shared" si="13"/>
        <v>100</v>
      </c>
      <c r="V32" s="774" t="s">
        <v>17</v>
      </c>
      <c r="W32" s="775">
        <f t="shared" si="14"/>
        <v>100</v>
      </c>
      <c r="X32" s="1816"/>
      <c r="Y32" s="3236"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6"/>
      <c r="Q33" s="1813">
        <f t="shared" si="11"/>
        <v>111</v>
      </c>
      <c r="R33" s="774" t="s">
        <v>17</v>
      </c>
      <c r="S33" s="775">
        <f t="shared" si="12"/>
        <v>100</v>
      </c>
      <c r="T33" s="774" t="s">
        <v>17</v>
      </c>
      <c r="U33" s="775">
        <f t="shared" si="13"/>
        <v>100</v>
      </c>
      <c r="V33" s="774" t="s">
        <v>17</v>
      </c>
      <c r="W33" s="775">
        <f t="shared" si="14"/>
        <v>100</v>
      </c>
      <c r="X33" s="1816"/>
      <c r="Y33" s="3236"/>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6"/>
      <c r="Q34" s="1813">
        <f t="shared" si="11"/>
        <v>111</v>
      </c>
      <c r="R34" s="774" t="s">
        <v>17</v>
      </c>
      <c r="S34" s="775">
        <f t="shared" si="12"/>
        <v>100</v>
      </c>
      <c r="T34" s="774" t="s">
        <v>17</v>
      </c>
      <c r="U34" s="775">
        <f t="shared" si="13"/>
        <v>100</v>
      </c>
      <c r="V34" s="774" t="s">
        <v>17</v>
      </c>
      <c r="W34" s="775">
        <f t="shared" si="14"/>
        <v>100</v>
      </c>
      <c r="X34" s="1816"/>
      <c r="Y34" s="3236"/>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195" t="s">
        <v>2646</v>
      </c>
      <c r="AC4" s="3194" t="s">
        <v>2647</v>
      </c>
    </row>
    <row r="5" spans="1:30" ht="15">
      <c r="A5" s="404"/>
      <c r="B5" s="405"/>
      <c r="C5" s="3205" t="s">
        <v>2540</v>
      </c>
      <c r="D5" s="3206"/>
      <c r="E5" s="3203" t="s">
        <v>2541</v>
      </c>
      <c r="F5" s="3204"/>
      <c r="G5" s="3205" t="s">
        <v>2542</v>
      </c>
      <c r="H5" s="3206"/>
      <c r="I5" s="3205" t="s">
        <v>2543</v>
      </c>
      <c r="J5" s="3206"/>
      <c r="K5" s="610"/>
      <c r="L5" s="1133"/>
      <c r="M5" s="1134"/>
      <c r="N5" s="1134"/>
      <c r="O5" s="1134"/>
      <c r="P5" s="3218"/>
      <c r="Q5" s="3219"/>
      <c r="R5" s="3201"/>
      <c r="S5" s="3202"/>
      <c r="T5" s="3201"/>
      <c r="U5" s="3202"/>
      <c r="V5" s="3224"/>
      <c r="W5" s="3224"/>
      <c r="X5" s="1816"/>
      <c r="Y5" s="3201"/>
      <c r="Z5" s="3202"/>
      <c r="AA5" s="3195"/>
      <c r="AB5" s="3195"/>
      <c r="AC5" s="3195"/>
    </row>
    <row r="6" spans="1:30"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224"/>
      <c r="W6" s="3224"/>
      <c r="X6" s="1816"/>
      <c r="Y6" s="3222"/>
      <c r="Z6" s="3223"/>
      <c r="AA6" s="3196"/>
      <c r="AB6" s="3196"/>
      <c r="AC6" s="3196"/>
    </row>
    <row r="7" spans="1:30" s="117" customFormat="1" ht="15.75" thickBot="1">
      <c r="A7" s="408" t="s">
        <v>2546</v>
      </c>
      <c r="B7" s="409"/>
      <c r="C7" s="410">
        <f>'数据-取费表'!B2</f>
        <v>43363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7" t="s">
        <v>2547</v>
      </c>
      <c r="Q7" s="3225"/>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9"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29"/>
      <c r="Q10" s="1798" t="str">
        <f t="shared" si="6"/>
        <v>土地使用年限（年）</v>
      </c>
      <c r="R10" s="770" t="s">
        <v>17</v>
      </c>
      <c r="S10" s="771">
        <f t="shared" si="0"/>
        <v>112</v>
      </c>
      <c r="T10" s="770" t="s">
        <v>17</v>
      </c>
      <c r="U10" s="771">
        <f t="shared" si="1"/>
        <v>112</v>
      </c>
      <c r="V10" s="770" t="s">
        <v>17</v>
      </c>
      <c r="W10" s="771">
        <f t="shared" si="2"/>
        <v>112</v>
      </c>
      <c r="X10" s="772"/>
      <c r="Y10" s="3044"/>
      <c r="Z10" s="55" t="str">
        <f t="shared" si="7"/>
        <v>土地使用年限（年）</v>
      </c>
      <c r="AA10" s="773">
        <f t="shared" si="3"/>
        <v>0.8928571428571429</v>
      </c>
      <c r="AB10" s="773">
        <f t="shared" si="4"/>
        <v>0.8928571428571429</v>
      </c>
      <c r="AC10" s="773">
        <f t="shared" si="5"/>
        <v>0.8928571428571429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9"/>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9"/>
      <c r="Q12" s="1798"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9"/>
      <c r="Q13" s="1798">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9"/>
      <c r="Q14" s="1798">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1" t="s">
        <v>2558</v>
      </c>
      <c r="Q15" s="1813" t="str">
        <f t="shared" si="6"/>
        <v>居住社区成熟度</v>
      </c>
      <c r="R15" s="774" t="s">
        <v>17</v>
      </c>
      <c r="S15" s="775">
        <f t="shared" si="0"/>
        <v>100</v>
      </c>
      <c r="T15" s="774" t="s">
        <v>17</v>
      </c>
      <c r="U15" s="775">
        <f t="shared" si="1"/>
        <v>100</v>
      </c>
      <c r="V15" s="774" t="s">
        <v>17</v>
      </c>
      <c r="W15" s="775">
        <f t="shared" si="2"/>
        <v>100</v>
      </c>
      <c r="X15" s="1816"/>
      <c r="Y15" s="3231"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32"/>
      <c r="Q16" s="1813"/>
      <c r="R16" s="774"/>
      <c r="S16" s="775"/>
      <c r="T16" s="774"/>
      <c r="U16" s="775"/>
      <c r="V16" s="774"/>
      <c r="W16" s="775"/>
      <c r="X16" s="1816"/>
      <c r="Y16" s="3232"/>
      <c r="Z16" s="1817"/>
      <c r="AA16" s="1814">
        <v>1</v>
      </c>
      <c r="AB16" s="1814">
        <v>1</v>
      </c>
      <c r="AC16" s="1814">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2"/>
      <c r="Q17" s="1813" t="str">
        <f>B17</f>
        <v>商业繁华度</v>
      </c>
      <c r="R17" s="774" t="s">
        <v>17</v>
      </c>
      <c r="S17" s="775">
        <f>F17</f>
        <v>100</v>
      </c>
      <c r="T17" s="774" t="s">
        <v>17</v>
      </c>
      <c r="U17" s="775">
        <f>H17</f>
        <v>100</v>
      </c>
      <c r="V17" s="774" t="s">
        <v>17</v>
      </c>
      <c r="W17" s="775">
        <f>J17</f>
        <v>100</v>
      </c>
      <c r="X17" s="1816"/>
      <c r="Y17" s="3232"/>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32"/>
      <c r="Q18" s="1813"/>
      <c r="R18" s="774"/>
      <c r="S18" s="775"/>
      <c r="T18" s="774"/>
      <c r="U18" s="775"/>
      <c r="V18" s="774"/>
      <c r="W18" s="775"/>
      <c r="X18" s="1816"/>
      <c r="Y18" s="3232"/>
      <c r="Z18" s="1817"/>
      <c r="AA18" s="1814">
        <v>1</v>
      </c>
      <c r="AB18" s="1814">
        <v>1</v>
      </c>
      <c r="AC18" s="1814">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2"/>
      <c r="Q19" s="1813" t="str">
        <f>B19</f>
        <v>办公集聚程度</v>
      </c>
      <c r="R19" s="774" t="s">
        <v>17</v>
      </c>
      <c r="S19" s="775">
        <f>F19</f>
        <v>100</v>
      </c>
      <c r="T19" s="774" t="s">
        <v>17</v>
      </c>
      <c r="U19" s="775">
        <f>H19</f>
        <v>100</v>
      </c>
      <c r="V19" s="774" t="s">
        <v>17</v>
      </c>
      <c r="W19" s="775">
        <f>J19</f>
        <v>100</v>
      </c>
      <c r="X19" s="1816"/>
      <c r="Y19" s="3232"/>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32"/>
      <c r="Q20" s="1813"/>
      <c r="R20" s="774"/>
      <c r="S20" s="775"/>
      <c r="T20" s="774"/>
      <c r="U20" s="775"/>
      <c r="V20" s="774"/>
      <c r="W20" s="775"/>
      <c r="X20" s="1816"/>
      <c r="Y20" s="3232"/>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2"/>
      <c r="Q21" s="1813" t="str">
        <f>B21</f>
        <v>交通便捷度</v>
      </c>
      <c r="R21" s="774" t="s">
        <v>17</v>
      </c>
      <c r="S21" s="775">
        <f>F21</f>
        <v>100</v>
      </c>
      <c r="T21" s="774" t="s">
        <v>17</v>
      </c>
      <c r="U21" s="775">
        <f>H21</f>
        <v>100</v>
      </c>
      <c r="V21" s="774" t="s">
        <v>17</v>
      </c>
      <c r="W21" s="775">
        <f>J21</f>
        <v>100</v>
      </c>
      <c r="X21" s="1816"/>
      <c r="Y21" s="3232"/>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32"/>
      <c r="Q22" s="1813"/>
      <c r="R22" s="774"/>
      <c r="S22" s="775"/>
      <c r="T22" s="774"/>
      <c r="U22" s="775"/>
      <c r="V22" s="774"/>
      <c r="W22" s="775"/>
      <c r="X22" s="1816"/>
      <c r="Y22" s="3232"/>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2"/>
      <c r="Q23" s="1813" t="str">
        <f t="shared" ref="Q23:Q37" si="8">B23</f>
        <v>区域土地利用方向</v>
      </c>
      <c r="R23" s="774" t="s">
        <v>17</v>
      </c>
      <c r="S23" s="775">
        <f>F23</f>
        <v>100</v>
      </c>
      <c r="T23" s="774" t="s">
        <v>17</v>
      </c>
      <c r="U23" s="775">
        <f>H23</f>
        <v>100</v>
      </c>
      <c r="V23" s="774" t="s">
        <v>17</v>
      </c>
      <c r="W23" s="775">
        <f>J23</f>
        <v>100</v>
      </c>
      <c r="X23" s="1816"/>
      <c r="Y23" s="3232"/>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32"/>
      <c r="Q24" s="1813"/>
      <c r="R24" s="774"/>
      <c r="S24" s="775"/>
      <c r="T24" s="774"/>
      <c r="U24" s="775"/>
      <c r="V24" s="774"/>
      <c r="W24" s="775"/>
      <c r="X24" s="1816"/>
      <c r="Y24" s="3232"/>
      <c r="Z24" s="1817"/>
      <c r="AA24" s="1814"/>
      <c r="AB24" s="1814"/>
      <c r="AC24" s="1814"/>
    </row>
    <row r="25" spans="1:29" ht="57">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2"/>
      <c r="Q25" s="1813" t="str">
        <f t="shared" si="8"/>
        <v>自然及人文环境状况</v>
      </c>
      <c r="R25" s="774" t="s">
        <v>17</v>
      </c>
      <c r="S25" s="775">
        <f>F25</f>
        <v>100</v>
      </c>
      <c r="T25" s="774" t="s">
        <v>17</v>
      </c>
      <c r="U25" s="775">
        <f>H25</f>
        <v>100</v>
      </c>
      <c r="V25" s="774" t="s">
        <v>17</v>
      </c>
      <c r="W25" s="775">
        <f>J25</f>
        <v>100</v>
      </c>
      <c r="X25" s="1816"/>
      <c r="Y25" s="3232"/>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32"/>
      <c r="Q26" s="1813"/>
      <c r="R26" s="774"/>
      <c r="S26" s="775"/>
      <c r="T26" s="774"/>
      <c r="U26" s="775"/>
      <c r="V26" s="774"/>
      <c r="W26" s="775"/>
      <c r="X26" s="1816"/>
      <c r="Y26" s="3232"/>
      <c r="Z26" s="1817"/>
      <c r="AA26" s="1814">
        <v>1</v>
      </c>
      <c r="AB26" s="1814">
        <v>1</v>
      </c>
      <c r="AC26" s="1814">
        <v>1</v>
      </c>
    </row>
    <row r="27" spans="1:29" s="117" customFormat="1" ht="42.75">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2"/>
      <c r="Q27" s="1798" t="str">
        <f t="shared" si="8"/>
        <v>公共配套设施</v>
      </c>
      <c r="R27" s="770" t="s">
        <v>17</v>
      </c>
      <c r="S27" s="771">
        <f>F27</f>
        <v>100</v>
      </c>
      <c r="T27" s="770" t="s">
        <v>17</v>
      </c>
      <c r="U27" s="771">
        <f>H27</f>
        <v>100</v>
      </c>
      <c r="V27" s="770" t="s">
        <v>17</v>
      </c>
      <c r="W27" s="771">
        <f>J27</f>
        <v>100</v>
      </c>
      <c r="X27" s="772"/>
      <c r="Y27" s="3232"/>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32"/>
      <c r="Q28" s="1798"/>
      <c r="R28" s="770"/>
      <c r="S28" s="771"/>
      <c r="T28" s="770"/>
      <c r="U28" s="771"/>
      <c r="V28" s="770"/>
      <c r="W28" s="771"/>
      <c r="X28" s="772"/>
      <c r="Y28" s="3232"/>
      <c r="Z28" s="55"/>
      <c r="AA28" s="1814">
        <v>1</v>
      </c>
      <c r="AB28" s="1814">
        <v>1</v>
      </c>
      <c r="AC28" s="1814">
        <v>1</v>
      </c>
    </row>
    <row r="29" spans="1:29" s="117" customFormat="1" ht="28.5">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2"/>
      <c r="Q29" s="1798" t="str">
        <f t="shared" ref="Q29" si="9">B29</f>
        <v>基础设施水平</v>
      </c>
      <c r="R29" s="770" t="s">
        <v>17</v>
      </c>
      <c r="S29" s="771">
        <f>F29</f>
        <v>100</v>
      </c>
      <c r="T29" s="770" t="s">
        <v>17</v>
      </c>
      <c r="U29" s="771">
        <f>H29</f>
        <v>100</v>
      </c>
      <c r="V29" s="770" t="s">
        <v>17</v>
      </c>
      <c r="W29" s="771">
        <f>J29</f>
        <v>100</v>
      </c>
      <c r="X29" s="772"/>
      <c r="Y29" s="3232"/>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32"/>
      <c r="Q30" s="1798"/>
      <c r="R30" s="770"/>
      <c r="S30" s="771"/>
      <c r="T30" s="770"/>
      <c r="U30" s="771"/>
      <c r="V30" s="770"/>
      <c r="W30" s="771"/>
      <c r="X30" s="772"/>
      <c r="Y30" s="3232"/>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2"/>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2"/>
      <c r="Q32" s="1813" t="str">
        <f t="shared" si="8"/>
        <v>毗邻道路的类型与等级</v>
      </c>
      <c r="R32" s="774" t="s">
        <v>17</v>
      </c>
      <c r="S32" s="775">
        <f t="shared" si="10"/>
        <v>100</v>
      </c>
      <c r="T32" s="774" t="s">
        <v>17</v>
      </c>
      <c r="U32" s="775">
        <f t="shared" si="11"/>
        <v>100</v>
      </c>
      <c r="V32" s="774" t="s">
        <v>17</v>
      </c>
      <c r="W32" s="775">
        <f t="shared" si="12"/>
        <v>100</v>
      </c>
      <c r="X32" s="1816"/>
      <c r="Y32" s="3232"/>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32"/>
      <c r="Q33" s="1813"/>
      <c r="R33" s="774"/>
      <c r="S33" s="775"/>
      <c r="T33" s="774"/>
      <c r="U33" s="775"/>
      <c r="V33" s="774"/>
      <c r="W33" s="775"/>
      <c r="X33" s="1816"/>
      <c r="Y33" s="3232"/>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2"/>
      <c r="Q34" s="1813" t="str">
        <f t="shared" si="8"/>
        <v>土地级别</v>
      </c>
      <c r="R34" s="774" t="s">
        <v>17</v>
      </c>
      <c r="S34" s="775">
        <f t="shared" si="10"/>
        <v>100</v>
      </c>
      <c r="T34" s="774" t="s">
        <v>17</v>
      </c>
      <c r="U34" s="775">
        <f t="shared" si="11"/>
        <v>100</v>
      </c>
      <c r="V34" s="774" t="s">
        <v>17</v>
      </c>
      <c r="W34" s="775">
        <f t="shared" si="12"/>
        <v>100</v>
      </c>
      <c r="X34" s="1816"/>
      <c r="Y34" s="323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2"/>
      <c r="Q35" s="1813">
        <f t="shared" si="8"/>
        <v>111</v>
      </c>
      <c r="R35" s="774" t="s">
        <v>17</v>
      </c>
      <c r="S35" s="775">
        <f t="shared" si="10"/>
        <v>100</v>
      </c>
      <c r="T35" s="774" t="s">
        <v>17</v>
      </c>
      <c r="U35" s="775">
        <f t="shared" si="11"/>
        <v>100</v>
      </c>
      <c r="V35" s="774" t="s">
        <v>17</v>
      </c>
      <c r="W35" s="775">
        <f t="shared" si="12"/>
        <v>100</v>
      </c>
      <c r="X35" s="1816"/>
      <c r="Y35" s="323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2563</v>
      </c>
      <c r="Q36" s="1813">
        <f t="shared" si="8"/>
        <v>111</v>
      </c>
      <c r="R36" s="774" t="s">
        <v>17</v>
      </c>
      <c r="S36" s="775">
        <f t="shared" si="10"/>
        <v>100</v>
      </c>
      <c r="T36" s="774" t="s">
        <v>17</v>
      </c>
      <c r="U36" s="775">
        <f t="shared" si="11"/>
        <v>100</v>
      </c>
      <c r="V36" s="774" t="s">
        <v>17</v>
      </c>
      <c r="W36" s="775">
        <f t="shared" si="12"/>
        <v>100</v>
      </c>
      <c r="X36" s="1816"/>
      <c r="Y36" s="3236"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6"/>
      <c r="Q37" s="1813">
        <f t="shared" si="8"/>
        <v>111</v>
      </c>
      <c r="R37" s="777" t="s">
        <v>17</v>
      </c>
      <c r="S37" s="778">
        <f t="shared" si="10"/>
        <v>100</v>
      </c>
      <c r="T37" s="777" t="s">
        <v>17</v>
      </c>
      <c r="U37" s="778">
        <f t="shared" si="11"/>
        <v>100</v>
      </c>
      <c r="V37" s="777" t="s">
        <v>17</v>
      </c>
      <c r="W37" s="778">
        <f t="shared" si="12"/>
        <v>100</v>
      </c>
      <c r="X37" s="779"/>
      <c r="Y37" s="3236"/>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6"/>
      <c r="Q38" s="1813" t="str">
        <f>B38</f>
        <v>宗地面积</v>
      </c>
      <c r="R38" s="774" t="s">
        <v>17</v>
      </c>
      <c r="S38" s="775" t="e">
        <f t="shared" si="10"/>
        <v>#N/A</v>
      </c>
      <c r="T38" s="774" t="s">
        <v>17</v>
      </c>
      <c r="U38" s="775" t="e">
        <f t="shared" si="11"/>
        <v>#N/A</v>
      </c>
      <c r="V38" s="774" t="s">
        <v>17</v>
      </c>
      <c r="W38" s="775" t="e">
        <f t="shared" si="12"/>
        <v>#N/A</v>
      </c>
      <c r="X38" s="1816"/>
      <c r="Y38" s="3236"/>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6"/>
      <c r="Q39" s="1813" t="str">
        <f t="shared" ref="Q39:Q45" si="14">B39</f>
        <v>宗地形状</v>
      </c>
      <c r="R39" s="774" t="s">
        <v>17</v>
      </c>
      <c r="S39" s="775">
        <f t="shared" si="10"/>
        <v>100</v>
      </c>
      <c r="T39" s="774" t="s">
        <v>17</v>
      </c>
      <c r="U39" s="775">
        <f t="shared" si="11"/>
        <v>100</v>
      </c>
      <c r="V39" s="774" t="s">
        <v>17</v>
      </c>
      <c r="W39" s="775">
        <f t="shared" si="12"/>
        <v>100</v>
      </c>
      <c r="X39" s="1816"/>
      <c r="Y39" s="3236"/>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6"/>
      <c r="Q40" s="1813" t="str">
        <f t="shared" si="14"/>
        <v>临街宽度及深度</v>
      </c>
      <c r="R40" s="774" t="s">
        <v>17</v>
      </c>
      <c r="S40" s="775">
        <f t="shared" si="10"/>
        <v>100</v>
      </c>
      <c r="T40" s="774" t="s">
        <v>17</v>
      </c>
      <c r="U40" s="775">
        <f t="shared" si="11"/>
        <v>100</v>
      </c>
      <c r="V40" s="774" t="s">
        <v>17</v>
      </c>
      <c r="W40" s="775">
        <f t="shared" si="12"/>
        <v>100</v>
      </c>
      <c r="X40" s="1816"/>
      <c r="Y40" s="3236"/>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6"/>
      <c r="Q41" s="1813"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6" t="s">
        <v>2563</v>
      </c>
      <c r="Q42" s="1813" t="str">
        <f t="shared" si="14"/>
        <v>工程地质条件</v>
      </c>
      <c r="R42" s="774" t="s">
        <v>17</v>
      </c>
      <c r="S42" s="775">
        <f t="shared" si="10"/>
        <v>100</v>
      </c>
      <c r="T42" s="774" t="s">
        <v>17</v>
      </c>
      <c r="U42" s="775">
        <f t="shared" si="11"/>
        <v>100</v>
      </c>
      <c r="V42" s="774" t="s">
        <v>17</v>
      </c>
      <c r="W42" s="775">
        <f t="shared" si="12"/>
        <v>100</v>
      </c>
      <c r="X42" s="1816"/>
      <c r="Y42" s="3236"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6"/>
      <c r="Q43" s="1813">
        <f t="shared" si="14"/>
        <v>111</v>
      </c>
      <c r="R43" s="774" t="s">
        <v>17</v>
      </c>
      <c r="S43" s="775">
        <f t="shared" si="10"/>
        <v>100</v>
      </c>
      <c r="T43" s="774" t="s">
        <v>17</v>
      </c>
      <c r="U43" s="775">
        <f t="shared" si="11"/>
        <v>100</v>
      </c>
      <c r="V43" s="774" t="s">
        <v>17</v>
      </c>
      <c r="W43" s="775">
        <f t="shared" si="12"/>
        <v>100</v>
      </c>
      <c r="X43" s="1816"/>
      <c r="Y43" s="323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6"/>
      <c r="Q44" s="1813">
        <f t="shared" si="14"/>
        <v>111</v>
      </c>
      <c r="R44" s="774" t="s">
        <v>17</v>
      </c>
      <c r="S44" s="775">
        <f t="shared" si="10"/>
        <v>100</v>
      </c>
      <c r="T44" s="774" t="s">
        <v>17</v>
      </c>
      <c r="U44" s="775">
        <f t="shared" si="11"/>
        <v>100</v>
      </c>
      <c r="V44" s="774" t="s">
        <v>17</v>
      </c>
      <c r="W44" s="775">
        <f t="shared" si="12"/>
        <v>100</v>
      </c>
      <c r="X44" s="1816"/>
      <c r="Y44" s="3236"/>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6"/>
      <c r="Q45" s="1813">
        <f t="shared" si="14"/>
        <v>111</v>
      </c>
      <c r="R45" s="777" t="s">
        <v>17</v>
      </c>
      <c r="S45" s="778">
        <f t="shared" si="10"/>
        <v>100</v>
      </c>
      <c r="T45" s="777" t="s">
        <v>17</v>
      </c>
      <c r="U45" s="778">
        <f t="shared" si="11"/>
        <v>100</v>
      </c>
      <c r="V45" s="777" t="s">
        <v>17</v>
      </c>
      <c r="W45" s="778">
        <f t="shared" si="12"/>
        <v>100</v>
      </c>
      <c r="X45" s="779"/>
      <c r="Y45" s="3236"/>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29" t="str">
        <f>A46</f>
        <v>成交单价</v>
      </c>
      <c r="Q46" s="3229"/>
      <c r="R46" s="3224">
        <f>E46</f>
        <v>0</v>
      </c>
      <c r="S46" s="3224"/>
      <c r="T46" s="3224">
        <f>G46</f>
        <v>0</v>
      </c>
      <c r="U46" s="3224"/>
      <c r="V46" s="3224">
        <f>I46</f>
        <v>0</v>
      </c>
      <c r="W46" s="322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29" t="str">
        <f>A47</f>
        <v>比较价值（元/平方米）</v>
      </c>
      <c r="Q47" s="3229"/>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26" t="str">
        <f>A48</f>
        <v>估价对象XX用房的比较价值（楼面单价，元/平方米）</v>
      </c>
      <c r="Q48" s="3227"/>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2" t="s">
        <v>2762</v>
      </c>
      <c r="H55" s="3260"/>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18037.400000000001</v>
      </c>
      <c r="F56" s="1106" t="e">
        <f t="shared" ref="F56:F65" si="15">ROUND(B56*E56/10000,0)</f>
        <v>#DIV/0!</v>
      </c>
      <c r="G56" s="3211"/>
      <c r="H56" s="3229"/>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61"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61"/>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61"/>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61"/>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18037.400000000001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2781</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224" t="s">
        <v>2647</v>
      </c>
      <c r="W4" s="3224"/>
      <c r="X4" s="1816"/>
      <c r="Y4" s="3199" t="s">
        <v>2649</v>
      </c>
      <c r="Z4" s="3200"/>
      <c r="AA4" s="3194" t="s">
        <v>2645</v>
      </c>
      <c r="AB4" s="3195" t="s">
        <v>2646</v>
      </c>
      <c r="AC4" s="3194" t="s">
        <v>2647</v>
      </c>
    </row>
    <row r="5" spans="1:29" ht="15">
      <c r="A5" s="404"/>
      <c r="B5" s="405"/>
      <c r="C5" s="3205" t="s">
        <v>2540</v>
      </c>
      <c r="D5" s="3206"/>
      <c r="E5" s="3203" t="s">
        <v>2541</v>
      </c>
      <c r="F5" s="3204"/>
      <c r="G5" s="3205" t="s">
        <v>2542</v>
      </c>
      <c r="H5" s="3206"/>
      <c r="I5" s="3205" t="s">
        <v>2543</v>
      </c>
      <c r="J5" s="3206"/>
      <c r="K5" s="610"/>
      <c r="L5" s="1133"/>
      <c r="M5" s="1134"/>
      <c r="N5" s="1134"/>
      <c r="O5" s="1134"/>
      <c r="P5" s="3218"/>
      <c r="Q5" s="3219"/>
      <c r="R5" s="3201"/>
      <c r="S5" s="3202"/>
      <c r="T5" s="3201"/>
      <c r="U5" s="3202"/>
      <c r="V5" s="3224"/>
      <c r="W5" s="3224"/>
      <c r="X5" s="1816"/>
      <c r="Y5" s="3201"/>
      <c r="Z5" s="3202"/>
      <c r="AA5" s="3195"/>
      <c r="AB5" s="3195"/>
      <c r="AC5" s="3195"/>
    </row>
    <row r="6" spans="1:29" ht="15.75" thickBot="1">
      <c r="A6" s="406"/>
      <c r="B6" s="407"/>
      <c r="C6" s="3262" t="s">
        <v>2795</v>
      </c>
      <c r="D6" s="3263"/>
      <c r="E6" s="3264" t="s">
        <v>2795</v>
      </c>
      <c r="F6" s="3265"/>
      <c r="G6" s="3262" t="s">
        <v>2795</v>
      </c>
      <c r="H6" s="3263"/>
      <c r="I6" s="3262" t="s">
        <v>2795</v>
      </c>
      <c r="J6" s="3263"/>
      <c r="K6" s="610" t="s">
        <v>2545</v>
      </c>
      <c r="L6" s="1133"/>
      <c r="M6" s="1134"/>
      <c r="N6" s="1134"/>
      <c r="O6" s="1134"/>
      <c r="P6" s="3220"/>
      <c r="Q6" s="3221"/>
      <c r="R6" s="3201"/>
      <c r="S6" s="3202"/>
      <c r="T6" s="3222"/>
      <c r="U6" s="3223"/>
      <c r="V6" s="3224"/>
      <c r="W6" s="3224"/>
      <c r="X6" s="1816"/>
      <c r="Y6" s="3222"/>
      <c r="Z6" s="3223"/>
      <c r="AA6" s="3196"/>
      <c r="AB6" s="3196"/>
      <c r="AC6" s="3196"/>
    </row>
    <row r="7" spans="1:29" s="117" customFormat="1" ht="15.75" thickBot="1">
      <c r="A7" s="408" t="s">
        <v>2546</v>
      </c>
      <c r="B7" s="409"/>
      <c r="C7" s="410">
        <f>'数据-取费表'!B2</f>
        <v>43363</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7" t="s">
        <v>2547</v>
      </c>
      <c r="Q7" s="3225"/>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9" t="s">
        <v>2553</v>
      </c>
      <c r="Q9" s="1798"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29"/>
      <c r="Q10" s="1798" t="str">
        <f t="shared" si="6"/>
        <v>土地使用年限（年）</v>
      </c>
      <c r="R10" s="770" t="s">
        <v>17</v>
      </c>
      <c r="S10" s="771">
        <f t="shared" si="0"/>
        <v>112</v>
      </c>
      <c r="T10" s="770" t="s">
        <v>17</v>
      </c>
      <c r="U10" s="771">
        <f t="shared" si="1"/>
        <v>112</v>
      </c>
      <c r="V10" s="770" t="s">
        <v>17</v>
      </c>
      <c r="W10" s="771">
        <f t="shared" si="2"/>
        <v>112</v>
      </c>
      <c r="X10" s="772"/>
      <c r="Y10" s="3044"/>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9"/>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9"/>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2557</v>
      </c>
      <c r="B15" s="629" t="s">
        <v>2796</v>
      </c>
      <c r="C15" s="2696"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1" t="s">
        <v>2558</v>
      </c>
      <c r="Q15" s="1813" t="str">
        <f t="shared" si="6"/>
        <v>产业集聚程度</v>
      </c>
      <c r="R15" s="774" t="s">
        <v>17</v>
      </c>
      <c r="S15" s="775">
        <f t="shared" si="0"/>
        <v>100</v>
      </c>
      <c r="T15" s="774" t="s">
        <v>17</v>
      </c>
      <c r="U15" s="775">
        <f t="shared" si="1"/>
        <v>100</v>
      </c>
      <c r="V15" s="774" t="s">
        <v>17</v>
      </c>
      <c r="W15" s="775">
        <f t="shared" si="2"/>
        <v>100</v>
      </c>
      <c r="X15" s="1816"/>
      <c r="Y15" s="3231"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2"/>
      <c r="Q16" s="1813"/>
      <c r="R16" s="774"/>
      <c r="S16" s="775"/>
      <c r="T16" s="774"/>
      <c r="U16" s="775"/>
      <c r="V16" s="774"/>
      <c r="W16" s="775"/>
      <c r="X16" s="1816"/>
      <c r="Y16" s="3232"/>
      <c r="Z16" s="1817"/>
      <c r="AA16" s="1814">
        <v>1</v>
      </c>
      <c r="AB16" s="1814">
        <v>1</v>
      </c>
      <c r="AC16" s="1814">
        <v>1</v>
      </c>
    </row>
    <row r="17" spans="1:29" ht="99.75">
      <c r="A17" s="428"/>
      <c r="B17" s="631" t="s">
        <v>2707</v>
      </c>
      <c r="C17" s="2610"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2"/>
      <c r="Q17" s="1813" t="str">
        <f>B17</f>
        <v>交通便捷度</v>
      </c>
      <c r="R17" s="774" t="s">
        <v>17</v>
      </c>
      <c r="S17" s="775">
        <f>F17</f>
        <v>100</v>
      </c>
      <c r="T17" s="774" t="s">
        <v>17</v>
      </c>
      <c r="U17" s="775">
        <f>H17</f>
        <v>100</v>
      </c>
      <c r="V17" s="774" t="s">
        <v>17</v>
      </c>
      <c r="W17" s="775">
        <f>J17</f>
        <v>100</v>
      </c>
      <c r="X17" s="1816"/>
      <c r="Y17" s="323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2"/>
      <c r="Q18" s="1813"/>
      <c r="R18" s="774"/>
      <c r="S18" s="775"/>
      <c r="T18" s="774"/>
      <c r="U18" s="775"/>
      <c r="V18" s="774"/>
      <c r="W18" s="775"/>
      <c r="X18" s="1816"/>
      <c r="Y18" s="3232"/>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2"/>
      <c r="Q19" s="1813" t="str">
        <f t="shared" ref="Q19:Q33" si="8">B19</f>
        <v>区域土地利用方向</v>
      </c>
      <c r="R19" s="774" t="s">
        <v>17</v>
      </c>
      <c r="S19" s="775">
        <f>F19</f>
        <v>100</v>
      </c>
      <c r="T19" s="774" t="s">
        <v>17</v>
      </c>
      <c r="U19" s="775">
        <f>H19</f>
        <v>100</v>
      </c>
      <c r="V19" s="774" t="s">
        <v>17</v>
      </c>
      <c r="W19" s="775">
        <f>J19</f>
        <v>100</v>
      </c>
      <c r="X19" s="1816"/>
      <c r="Y19" s="323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2"/>
      <c r="Q20" s="1813"/>
      <c r="R20" s="774"/>
      <c r="S20" s="775"/>
      <c r="T20" s="774"/>
      <c r="U20" s="775"/>
      <c r="V20" s="774"/>
      <c r="W20" s="775"/>
      <c r="X20" s="1816"/>
      <c r="Y20" s="3232"/>
      <c r="Z20" s="1817"/>
      <c r="AA20" s="1814"/>
      <c r="AB20" s="1814"/>
      <c r="AC20" s="1814"/>
    </row>
    <row r="21" spans="1:29" ht="71.25">
      <c r="A21" s="404"/>
      <c r="B21" s="631" t="s">
        <v>2797</v>
      </c>
      <c r="C21" s="2610"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2"/>
      <c r="Q21" s="1813" t="str">
        <f t="shared" si="8"/>
        <v>环境状况</v>
      </c>
      <c r="R21" s="774" t="s">
        <v>17</v>
      </c>
      <c r="S21" s="775">
        <f>F21</f>
        <v>100</v>
      </c>
      <c r="T21" s="774" t="s">
        <v>17</v>
      </c>
      <c r="U21" s="775">
        <f>H21</f>
        <v>100</v>
      </c>
      <c r="V21" s="774" t="s">
        <v>17</v>
      </c>
      <c r="W21" s="775">
        <f>J21</f>
        <v>100</v>
      </c>
      <c r="X21" s="1816"/>
      <c r="Y21" s="323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2"/>
      <c r="Q22" s="1813"/>
      <c r="R22" s="774"/>
      <c r="S22" s="775"/>
      <c r="T22" s="774"/>
      <c r="U22" s="775"/>
      <c r="V22" s="774"/>
      <c r="W22" s="775"/>
      <c r="X22" s="1816"/>
      <c r="Y22" s="3232"/>
      <c r="Z22" s="1817"/>
      <c r="AA22" s="1814">
        <v>1</v>
      </c>
      <c r="AB22" s="1814">
        <v>1</v>
      </c>
      <c r="AC22" s="1814">
        <v>1</v>
      </c>
    </row>
    <row r="23" spans="1:29" s="117" customFormat="1" ht="42.75">
      <c r="A23" s="649"/>
      <c r="B23" s="633" t="s">
        <v>2652</v>
      </c>
      <c r="C23" s="2610"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2"/>
      <c r="Q23" s="1798" t="str">
        <f t="shared" si="8"/>
        <v>公共配套设施</v>
      </c>
      <c r="R23" s="770" t="s">
        <v>17</v>
      </c>
      <c r="S23" s="771">
        <f>F23</f>
        <v>100</v>
      </c>
      <c r="T23" s="770" t="s">
        <v>17</v>
      </c>
      <c r="U23" s="771">
        <f>H23</f>
        <v>100</v>
      </c>
      <c r="V23" s="770" t="s">
        <v>17</v>
      </c>
      <c r="W23" s="771">
        <f>J23</f>
        <v>100</v>
      </c>
      <c r="X23" s="772"/>
      <c r="Y23" s="323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2"/>
      <c r="Q24" s="1798"/>
      <c r="R24" s="770"/>
      <c r="S24" s="771"/>
      <c r="T24" s="770"/>
      <c r="U24" s="771"/>
      <c r="V24" s="770"/>
      <c r="W24" s="771"/>
      <c r="X24" s="772"/>
      <c r="Y24" s="3232"/>
      <c r="Z24" s="55"/>
      <c r="AA24" s="773">
        <v>1</v>
      </c>
      <c r="AB24" s="773">
        <v>1</v>
      </c>
      <c r="AC24" s="773">
        <v>1</v>
      </c>
    </row>
    <row r="25" spans="1:29" s="117" customFormat="1" ht="42.75">
      <c r="A25" s="649"/>
      <c r="B25" s="633" t="s">
        <v>2653</v>
      </c>
      <c r="C25" s="2610"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2"/>
      <c r="Q25" s="1798" t="str">
        <f t="shared" ref="Q25" si="9">B25</f>
        <v>基础设施水平</v>
      </c>
      <c r="R25" s="770" t="s">
        <v>17</v>
      </c>
      <c r="S25" s="771">
        <f>F25</f>
        <v>100</v>
      </c>
      <c r="T25" s="770" t="s">
        <v>17</v>
      </c>
      <c r="U25" s="771">
        <f>H25</f>
        <v>100</v>
      </c>
      <c r="V25" s="770" t="s">
        <v>17</v>
      </c>
      <c r="W25" s="771">
        <f>J25</f>
        <v>100</v>
      </c>
      <c r="X25" s="772"/>
      <c r="Y25" s="323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2"/>
      <c r="Q26" s="1798"/>
      <c r="R26" s="770"/>
      <c r="S26" s="771"/>
      <c r="T26" s="770"/>
      <c r="U26" s="771"/>
      <c r="V26" s="770"/>
      <c r="W26" s="771"/>
      <c r="X26" s="772"/>
      <c r="Y26" s="323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2"/>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2"/>
      <c r="Q28" s="1813" t="str">
        <f t="shared" si="8"/>
        <v>毗邻道路的类型与等级</v>
      </c>
      <c r="R28" s="774" t="s">
        <v>17</v>
      </c>
      <c r="S28" s="775">
        <f t="shared" si="10"/>
        <v>100</v>
      </c>
      <c r="T28" s="774" t="s">
        <v>17</v>
      </c>
      <c r="U28" s="775">
        <f t="shared" si="11"/>
        <v>100</v>
      </c>
      <c r="V28" s="774" t="s">
        <v>17</v>
      </c>
      <c r="W28" s="775">
        <f t="shared" si="12"/>
        <v>100</v>
      </c>
      <c r="X28" s="1816"/>
      <c r="Y28" s="323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2"/>
      <c r="Q29" s="1813"/>
      <c r="R29" s="774"/>
      <c r="S29" s="775"/>
      <c r="T29" s="774"/>
      <c r="U29" s="775"/>
      <c r="V29" s="774"/>
      <c r="W29" s="775"/>
      <c r="X29" s="1816"/>
      <c r="Y29" s="3232"/>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2"/>
      <c r="Q30" s="1813" t="str">
        <f t="shared" si="8"/>
        <v>土地级别</v>
      </c>
      <c r="R30" s="774" t="s">
        <v>17</v>
      </c>
      <c r="S30" s="775">
        <f t="shared" si="10"/>
        <v>100</v>
      </c>
      <c r="T30" s="774" t="s">
        <v>17</v>
      </c>
      <c r="U30" s="775">
        <f t="shared" si="11"/>
        <v>100</v>
      </c>
      <c r="V30" s="774" t="s">
        <v>17</v>
      </c>
      <c r="W30" s="775">
        <f t="shared" si="12"/>
        <v>100</v>
      </c>
      <c r="X30" s="1816"/>
      <c r="Y30" s="323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2"/>
      <c r="Q31" s="1813">
        <f t="shared" si="8"/>
        <v>111</v>
      </c>
      <c r="R31" s="774" t="s">
        <v>17</v>
      </c>
      <c r="S31" s="775">
        <f t="shared" si="10"/>
        <v>100</v>
      </c>
      <c r="T31" s="774" t="s">
        <v>17</v>
      </c>
      <c r="U31" s="775">
        <f t="shared" si="11"/>
        <v>100</v>
      </c>
      <c r="V31" s="774" t="s">
        <v>17</v>
      </c>
      <c r="W31" s="775">
        <f t="shared" si="12"/>
        <v>100</v>
      </c>
      <c r="X31" s="1816"/>
      <c r="Y31" s="323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2563</v>
      </c>
      <c r="Q32" s="1813">
        <f t="shared" si="8"/>
        <v>111</v>
      </c>
      <c r="R32" s="774" t="s">
        <v>17</v>
      </c>
      <c r="S32" s="775">
        <f t="shared" si="10"/>
        <v>100</v>
      </c>
      <c r="T32" s="774" t="s">
        <v>17</v>
      </c>
      <c r="U32" s="775">
        <f t="shared" si="11"/>
        <v>100</v>
      </c>
      <c r="V32" s="774" t="s">
        <v>17</v>
      </c>
      <c r="W32" s="775">
        <f t="shared" si="12"/>
        <v>100</v>
      </c>
      <c r="X32" s="1816"/>
      <c r="Y32" s="3236"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6"/>
      <c r="Q33" s="1813">
        <f t="shared" si="8"/>
        <v>111</v>
      </c>
      <c r="R33" s="777" t="s">
        <v>17</v>
      </c>
      <c r="S33" s="778">
        <f t="shared" si="10"/>
        <v>100</v>
      </c>
      <c r="T33" s="777" t="s">
        <v>17</v>
      </c>
      <c r="U33" s="778">
        <f t="shared" si="11"/>
        <v>100</v>
      </c>
      <c r="V33" s="777" t="s">
        <v>17</v>
      </c>
      <c r="W33" s="778">
        <f t="shared" si="12"/>
        <v>100</v>
      </c>
      <c r="X33" s="779"/>
      <c r="Y33" s="3236"/>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6"/>
      <c r="Q34" s="1813" t="str">
        <f>B34</f>
        <v>宗地面积</v>
      </c>
      <c r="R34" s="774" t="s">
        <v>17</v>
      </c>
      <c r="S34" s="775" t="e">
        <f t="shared" si="10"/>
        <v>#N/A</v>
      </c>
      <c r="T34" s="774" t="s">
        <v>17</v>
      </c>
      <c r="U34" s="775" t="e">
        <f t="shared" si="11"/>
        <v>#N/A</v>
      </c>
      <c r="V34" s="774" t="s">
        <v>17</v>
      </c>
      <c r="W34" s="775" t="e">
        <f t="shared" si="12"/>
        <v>#N/A</v>
      </c>
      <c r="X34" s="1816"/>
      <c r="Y34" s="3236"/>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6"/>
      <c r="Q35" s="1813" t="str">
        <f t="shared" ref="Q35:Q40" si="14">B35</f>
        <v>宗地形状</v>
      </c>
      <c r="R35" s="774" t="s">
        <v>17</v>
      </c>
      <c r="S35" s="775">
        <f t="shared" si="10"/>
        <v>100</v>
      </c>
      <c r="T35" s="774" t="s">
        <v>17</v>
      </c>
      <c r="U35" s="775">
        <f t="shared" si="11"/>
        <v>100</v>
      </c>
      <c r="V35" s="774" t="s">
        <v>17</v>
      </c>
      <c r="W35" s="775">
        <f t="shared" si="12"/>
        <v>100</v>
      </c>
      <c r="X35" s="1816"/>
      <c r="Y35" s="3236"/>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6"/>
      <c r="Q36" s="1813"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6" t="s">
        <v>2563</v>
      </c>
      <c r="Q37" s="1813" t="str">
        <f t="shared" si="14"/>
        <v>工程地质条件</v>
      </c>
      <c r="R37" s="774" t="s">
        <v>17</v>
      </c>
      <c r="S37" s="775">
        <f t="shared" si="10"/>
        <v>100</v>
      </c>
      <c r="T37" s="774" t="s">
        <v>17</v>
      </c>
      <c r="U37" s="775">
        <f t="shared" si="11"/>
        <v>100</v>
      </c>
      <c r="V37" s="774" t="s">
        <v>17</v>
      </c>
      <c r="W37" s="775">
        <f t="shared" si="12"/>
        <v>100</v>
      </c>
      <c r="X37" s="1816"/>
      <c r="Y37" s="3236"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6"/>
      <c r="Q38" s="1813">
        <f t="shared" si="14"/>
        <v>111</v>
      </c>
      <c r="R38" s="774" t="s">
        <v>17</v>
      </c>
      <c r="S38" s="775">
        <f t="shared" si="10"/>
        <v>100</v>
      </c>
      <c r="T38" s="774" t="s">
        <v>17</v>
      </c>
      <c r="U38" s="775">
        <f t="shared" si="11"/>
        <v>100</v>
      </c>
      <c r="V38" s="774" t="s">
        <v>17</v>
      </c>
      <c r="W38" s="775">
        <f t="shared" si="12"/>
        <v>100</v>
      </c>
      <c r="X38" s="1816"/>
      <c r="Y38" s="323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6"/>
      <c r="Q39" s="1813">
        <f t="shared" si="14"/>
        <v>111</v>
      </c>
      <c r="R39" s="774" t="s">
        <v>17</v>
      </c>
      <c r="S39" s="775">
        <f t="shared" si="10"/>
        <v>100</v>
      </c>
      <c r="T39" s="774" t="s">
        <v>17</v>
      </c>
      <c r="U39" s="775">
        <f t="shared" si="11"/>
        <v>100</v>
      </c>
      <c r="V39" s="774" t="s">
        <v>17</v>
      </c>
      <c r="W39" s="775">
        <f t="shared" si="12"/>
        <v>100</v>
      </c>
      <c r="X39" s="1816"/>
      <c r="Y39" s="3236"/>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6"/>
      <c r="Q40" s="1813">
        <f t="shared" si="14"/>
        <v>111</v>
      </c>
      <c r="R40" s="777" t="s">
        <v>17</v>
      </c>
      <c r="S40" s="778">
        <f t="shared" si="10"/>
        <v>100</v>
      </c>
      <c r="T40" s="777" t="s">
        <v>17</v>
      </c>
      <c r="U40" s="778">
        <f t="shared" si="11"/>
        <v>100</v>
      </c>
      <c r="V40" s="777" t="s">
        <v>17</v>
      </c>
      <c r="W40" s="778">
        <f t="shared" si="12"/>
        <v>100</v>
      </c>
      <c r="X40" s="779"/>
      <c r="Y40" s="3236"/>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29" t="str">
        <f>A41</f>
        <v>成交单价</v>
      </c>
      <c r="Q41" s="3229"/>
      <c r="R41" s="3224">
        <f>E41</f>
        <v>0</v>
      </c>
      <c r="S41" s="3224"/>
      <c r="T41" s="3224">
        <f>G41</f>
        <v>0</v>
      </c>
      <c r="U41" s="3224"/>
      <c r="V41" s="3224">
        <f>I41</f>
        <v>0</v>
      </c>
      <c r="W41" s="322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29" t="str">
        <f>A42</f>
        <v>比较价值（元/平方米）</v>
      </c>
      <c r="Q42" s="3229"/>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26" t="str">
        <f>A43</f>
        <v>估价对象XX用房的比较价值（楼面单价，元/平方米）</v>
      </c>
      <c r="Q43" s="3227"/>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2" t="s">
        <v>2762</v>
      </c>
      <c r="H50" s="3260"/>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18037.400000000001</v>
      </c>
      <c r="F51" s="691" t="e">
        <f t="shared" ref="F51:F60" si="15">ROUND(B51*E51/10000,0)</f>
        <v>#DIV/0!</v>
      </c>
      <c r="G51" s="3211"/>
      <c r="H51" s="322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61"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61"/>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61"/>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61"/>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9282.25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t="str">
        <f>IF(E2="商业",项目基本情况!B37,IF(E2="办公",项目基本情况!C37,IF(E2="住宅",项目基本情况!D37,项目基本情况!E37)))</f>
        <v>五级</v>
      </c>
      <c r="H2" s="2725" t="s">
        <v>2814</v>
      </c>
      <c r="I2" s="2727" t="str">
        <f>IF(E2="商业",项目基本情况!B38,IF(E2="办公",项目基本情况!C38,IF(E2="住宅",项目基本情况!D38,项目基本情况!E38)))</f>
        <v>Ⅴ-01</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1.94</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66"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2833</v>
      </c>
      <c r="X7" s="1607" t="str">
        <f>G2</f>
        <v>五级</v>
      </c>
      <c r="Y7" s="1607" t="s">
        <v>2834</v>
      </c>
      <c r="Z7" s="1608">
        <f>G3</f>
        <v>1.94</v>
      </c>
      <c r="AA7" s="1609"/>
      <c r="AB7" s="1609"/>
      <c r="AC7" s="1610"/>
      <c r="AD7" s="1611"/>
      <c r="AE7" s="1611"/>
      <c r="AF7" s="1611"/>
      <c r="AG7" s="1611"/>
      <c r="AH7" s="1611"/>
      <c r="AI7" s="1611"/>
      <c r="AJ7" s="1612"/>
    </row>
    <row r="8" spans="1:36" ht="15">
      <c r="A8" s="3267"/>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7" t="s">
        <v>2838</v>
      </c>
      <c r="X8" s="3278"/>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67"/>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9"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9" t="s">
        <v>2862</v>
      </c>
      <c r="X11" s="1617" t="s">
        <v>2863</v>
      </c>
      <c r="Y11" s="1618">
        <f>$G$3</f>
        <v>1.94</v>
      </c>
      <c r="Z11" s="1618">
        <f t="shared" ref="Z11:AJ11" si="3">$G$3</f>
        <v>1.94</v>
      </c>
      <c r="AA11" s="1618">
        <f t="shared" si="3"/>
        <v>1.94</v>
      </c>
      <c r="AB11" s="1618">
        <f t="shared" si="3"/>
        <v>1.94</v>
      </c>
      <c r="AC11" s="1618">
        <f t="shared" si="3"/>
        <v>1.94</v>
      </c>
      <c r="AD11" s="1618">
        <f t="shared" si="3"/>
        <v>1.94</v>
      </c>
      <c r="AE11" s="1618">
        <f t="shared" si="3"/>
        <v>1.94</v>
      </c>
      <c r="AF11" s="1618">
        <f t="shared" si="3"/>
        <v>1.94</v>
      </c>
      <c r="AG11" s="1618">
        <f t="shared" si="3"/>
        <v>1.94</v>
      </c>
      <c r="AH11" s="1618">
        <f t="shared" si="3"/>
        <v>1.94</v>
      </c>
      <c r="AI11" s="1618">
        <f t="shared" si="3"/>
        <v>1.94</v>
      </c>
      <c r="AJ11" s="1618">
        <f t="shared" si="3"/>
        <v>1.94</v>
      </c>
    </row>
    <row r="12" spans="1:36" ht="25.5" thickBot="1">
      <c r="A12" s="3266"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9"/>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79"/>
      <c r="X13" s="1619"/>
      <c r="Y13" s="1616">
        <f>(-0.163*(Y12^2)-0.59*Y12+7617)*(10^(-4))/Y11</f>
        <v>0.39262886597938146</v>
      </c>
      <c r="Z13" s="1616">
        <f t="shared" ref="Z13:AJ13" si="5">(-0.163*(Z12^2)-0.59*Z12+7617)*(10^(-4))/Z11</f>
        <v>0.39262886597938146</v>
      </c>
      <c r="AA13" s="1616">
        <f t="shared" si="5"/>
        <v>0.39262886597938146</v>
      </c>
      <c r="AB13" s="1616">
        <f t="shared" si="5"/>
        <v>0.39262886597938146</v>
      </c>
      <c r="AC13" s="1616">
        <f t="shared" si="5"/>
        <v>0.39262886597938146</v>
      </c>
      <c r="AD13" s="1616">
        <f t="shared" si="5"/>
        <v>0.39262886597938146</v>
      </c>
      <c r="AE13" s="1616">
        <f t="shared" si="5"/>
        <v>0.39262886597938146</v>
      </c>
      <c r="AF13" s="1616">
        <f t="shared" si="5"/>
        <v>0.39262886597938146</v>
      </c>
      <c r="AG13" s="1616">
        <f t="shared" si="5"/>
        <v>0.39262886597938146</v>
      </c>
      <c r="AH13" s="1616">
        <f t="shared" si="5"/>
        <v>0.39262886597938146</v>
      </c>
      <c r="AI13" s="1616">
        <f t="shared" si="5"/>
        <v>0.39262886597938146</v>
      </c>
      <c r="AJ13" s="1616">
        <f t="shared" si="5"/>
        <v>0.39262886597938146</v>
      </c>
    </row>
    <row r="14" spans="1:36" ht="15">
      <c r="A14" s="3284"/>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5"/>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ROUND(IF(H19="按公示增长率计算",SUMPRODUCT((地价!A3:A23=YEAR(G19)&amp;"-"&amp;ROUNDUP(MONTH(G19)/3,0))*(地价!X2:AB2=E2)*(地价!X3:AB23)),IF(H19="地价指数",M20/M19,(1+I19)^O19)),4)</f>
        <v>#DIV/0!</v>
      </c>
      <c r="D19" s="2800" t="s">
        <v>2891</v>
      </c>
      <c r="E19" s="928">
        <v>41640</v>
      </c>
      <c r="F19" s="2800" t="s">
        <v>2892</v>
      </c>
      <c r="G19" s="929">
        <f>'数据-取费表'!B2</f>
        <v>43363</v>
      </c>
      <c r="H19" s="2801" t="s">
        <v>2893</v>
      </c>
      <c r="I19" s="930" t="str">
        <f>IF(H19="季度增幅（自定义）",SUMIF(N21:N24,E2,O21:O24),"")</f>
        <v/>
      </c>
      <c r="J19" s="2798"/>
      <c r="K19" s="1380"/>
      <c r="L19" s="2802" t="s">
        <v>2894</v>
      </c>
      <c r="M19" s="1737">
        <f>ROUND(SUMIF(地价!B2:F2,E2,地价!B23:F23),0)</f>
        <v>0</v>
      </c>
      <c r="N19" s="2803"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ROUND(SUMPRODUCT((地价!A4:A23=YEAR(G19)&amp;"-"&amp;ROUNDUP(MONTH(G19)/3,0))*(地价!B2:F2=E2)*(地价!B4:F23)),0)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0.35599999999999998</v>
      </c>
      <c r="E22" s="916">
        <f>ROUNDDOWN(G3,1)</f>
        <v>1.9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0.8901</v>
      </c>
      <c r="I22" s="1813" t="s">
        <v>155</v>
      </c>
      <c r="J22" s="941" t="str">
        <f>IF(G3&gt;10,D113,"——")</f>
        <v>——</v>
      </c>
      <c r="K22" s="1380"/>
      <c r="N22" s="2818"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74" t="s">
        <v>2930</v>
      </c>
      <c r="B33" s="2864" t="s">
        <v>2931</v>
      </c>
      <c r="C33" s="206" t="e">
        <f>ROUND(D5*C19*C20*C24*F33,0)</f>
        <v>#DIV/0!</v>
      </c>
      <c r="D33" s="2848"/>
      <c r="E33" s="200" t="e">
        <f>ROUND(C33*D33/10000,0)</f>
        <v>#DIV/0!</v>
      </c>
      <c r="F33" s="200">
        <f>SUMIF(修正!A45:A56,G2,修正!B45:B56)</f>
        <v>0.7</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68" t="s">
        <v>2932</v>
      </c>
      <c r="C34" s="206" t="e">
        <f>ROUND(D5*C19*C20*C24*F34,0)</f>
        <v>#DIV/0!</v>
      </c>
      <c r="D34" s="2848"/>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68" t="s">
        <v>2933</v>
      </c>
      <c r="C35" s="206" t="e">
        <f>ROUND(D5*C19*C20*C24*F35,0)</f>
        <v>#DIV/0!</v>
      </c>
      <c r="D35" s="2848"/>
      <c r="E35" s="200" t="e">
        <f t="shared" si="7"/>
        <v>#DIV/0!</v>
      </c>
      <c r="F35" s="200">
        <f>SUMIF(修正!A45:A56,G2,修正!D45:D56)</f>
        <v>0.28000000000000003</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76"/>
      <c r="B36" s="2768" t="s">
        <v>2934</v>
      </c>
      <c r="C36" s="206" t="e">
        <f>ROUND(D5*C19*C20*C24*F36,0)</f>
        <v>#DIV/0!</v>
      </c>
      <c r="D36" s="2848"/>
      <c r="E36" s="200" t="e">
        <f t="shared" si="7"/>
        <v>#DIV/0!</v>
      </c>
      <c r="F36" s="200">
        <f>SUMIF(修正!A45:A56,G2,修正!E45:E56)</f>
        <v>0.25</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0.25</v>
      </c>
      <c r="G37" s="200" t="e">
        <f>ROUND(IF(E2="工业",C37*$M$39,C37*$M$38),0)</f>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0.25</v>
      </c>
      <c r="G38" s="200" t="e">
        <f>ROUND(IF(E2="工业",C38*$M$39,C38*$M$38),0)</f>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0.2</v>
      </c>
      <c r="G39" s="229" t="e">
        <f>ROUND(IF(E2="工业",C39*$M$39,C39*$M$38),0)</f>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估价对象位于海淀区上地园区，园区建设成熟度较好，产业集聚程度较好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估价对象周边道路状况较好、公共交通通达情况较好、停车便捷程度较好，综合评价交通便捷度较好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估价对象所在区域公共配套设施齐备情况好</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估价对象所在区域基础设施水平较好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该园区内无污染型企业，绿化较好，卫生条件良好，整体环境状况较好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68" t="s">
        <v>2972</v>
      </c>
      <c r="B90" s="3268"/>
      <c r="C90" s="3268"/>
      <c r="D90" s="3268"/>
      <c r="E90" s="3268"/>
      <c r="F90" s="3268"/>
      <c r="G90" s="3268"/>
      <c r="H90" s="3268"/>
      <c r="I90" s="3268"/>
      <c r="J90" s="3268"/>
      <c r="K90" s="2895"/>
      <c r="L90" s="2895"/>
      <c r="M90" s="2895"/>
      <c r="N90" s="2895"/>
    </row>
    <row r="91" spans="1:37">
      <c r="A91" s="3270" t="s">
        <v>2973</v>
      </c>
      <c r="B91" s="3270" t="s">
        <v>2974</v>
      </c>
      <c r="C91" s="2849" t="s">
        <v>2975</v>
      </c>
      <c r="D91" s="2850"/>
      <c r="E91" s="2850"/>
      <c r="F91" s="2850"/>
      <c r="G91" s="2850"/>
      <c r="H91" s="2850"/>
      <c r="I91" s="2850"/>
      <c r="J91" s="2896"/>
      <c r="K91" s="2897"/>
      <c r="L91" s="2897"/>
      <c r="M91" s="2897"/>
      <c r="N91" s="2897"/>
    </row>
    <row r="92" spans="1:37">
      <c r="A92" s="3270"/>
      <c r="B92" s="327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71"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2"/>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1" t="s">
        <v>2977</v>
      </c>
      <c r="B101" s="2902" t="s">
        <v>2978</v>
      </c>
      <c r="C101" s="2903">
        <f>$G$3</f>
        <v>1.94</v>
      </c>
      <c r="D101" s="2903">
        <f t="shared" ref="D101:N101" si="31">$G$3</f>
        <v>1.94</v>
      </c>
      <c r="E101" s="2903">
        <f t="shared" si="31"/>
        <v>1.94</v>
      </c>
      <c r="F101" s="2903">
        <f t="shared" si="31"/>
        <v>1.94</v>
      </c>
      <c r="G101" s="2903">
        <f t="shared" si="31"/>
        <v>1.94</v>
      </c>
      <c r="H101" s="2903">
        <f t="shared" si="31"/>
        <v>1.94</v>
      </c>
      <c r="I101" s="2903">
        <f t="shared" si="31"/>
        <v>1.94</v>
      </c>
      <c r="J101" s="2903">
        <f t="shared" si="31"/>
        <v>1.94</v>
      </c>
      <c r="K101" s="2903">
        <f t="shared" si="31"/>
        <v>1.94</v>
      </c>
      <c r="L101" s="2903">
        <f t="shared" si="31"/>
        <v>1.94</v>
      </c>
      <c r="M101" s="2903">
        <f t="shared" si="31"/>
        <v>1.94</v>
      </c>
      <c r="N101" s="2903">
        <f t="shared" si="31"/>
        <v>1.94</v>
      </c>
    </row>
    <row r="102" spans="1:14">
      <c r="A102" s="3272"/>
      <c r="B102" s="2898">
        <v>1</v>
      </c>
      <c r="C102" s="2899">
        <f>1.9362/C101</f>
        <v>0.99804123711340209</v>
      </c>
      <c r="D102" s="2899">
        <f>1.9362/D101</f>
        <v>0.99804123711340209</v>
      </c>
      <c r="E102" s="2899">
        <f>1.8629/E101</f>
        <v>0.96025773195876296</v>
      </c>
      <c r="F102" s="2899">
        <f>1.8629/F101</f>
        <v>0.96025773195876296</v>
      </c>
      <c r="G102" s="2899">
        <f>1.8629/G101</f>
        <v>0.96025773195876296</v>
      </c>
      <c r="H102" s="2899">
        <f>1.8629/H101</f>
        <v>0.96025773195876296</v>
      </c>
      <c r="I102" s="2899">
        <f>1.8629/I101</f>
        <v>0.96025773195876296</v>
      </c>
      <c r="J102" s="2899">
        <f>1.942/J101</f>
        <v>1.0010309278350515</v>
      </c>
      <c r="K102" s="2899">
        <f>1.942/K101</f>
        <v>1.0010309278350515</v>
      </c>
      <c r="L102" s="2899">
        <f>1.942/L101</f>
        <v>1.0010309278350515</v>
      </c>
      <c r="M102" s="2899">
        <f>1.942/M101</f>
        <v>1.0010309278350515</v>
      </c>
      <c r="N102" s="2899">
        <f>1.942/N101</f>
        <v>1.0010309278350515</v>
      </c>
    </row>
    <row r="103" spans="1:14">
      <c r="A103" s="3272"/>
      <c r="B103" s="2898">
        <v>2</v>
      </c>
      <c r="C103" s="2899">
        <f>1.4198/C101</f>
        <v>0.73185567010309283</v>
      </c>
      <c r="D103" s="2899">
        <f>1.4198/D101</f>
        <v>0.73185567010309283</v>
      </c>
      <c r="E103" s="2899">
        <f>1.3372/E101</f>
        <v>0.68927835051546393</v>
      </c>
      <c r="F103" s="2899">
        <f>1.3372/F101</f>
        <v>0.68927835051546393</v>
      </c>
      <c r="G103" s="2899">
        <f>1.3372/G101</f>
        <v>0.68927835051546393</v>
      </c>
      <c r="H103" s="2899">
        <f>1.3372/H101</f>
        <v>0.68927835051546393</v>
      </c>
      <c r="I103" s="2899">
        <f>1.3372/I101</f>
        <v>0.68927835051546393</v>
      </c>
      <c r="J103" s="2899">
        <f>1.2799/J101</f>
        <v>0.65974226804123715</v>
      </c>
      <c r="K103" s="2899">
        <f>1.2799/K101</f>
        <v>0.65974226804123715</v>
      </c>
      <c r="L103" s="2899">
        <f>1.2799/L101</f>
        <v>0.65974226804123715</v>
      </c>
      <c r="M103" s="2899">
        <f>1.2799/M101</f>
        <v>0.65974226804123715</v>
      </c>
      <c r="N103" s="2899">
        <f>1.2799/N101</f>
        <v>0.65974226804123715</v>
      </c>
    </row>
    <row r="104" spans="1:14">
      <c r="A104" s="3272"/>
      <c r="B104" s="2898">
        <v>3</v>
      </c>
      <c r="C104" s="2899">
        <f>1.1594/C101</f>
        <v>0.59762886597938147</v>
      </c>
      <c r="D104" s="2899">
        <f>1.1594/D101</f>
        <v>0.59762886597938147</v>
      </c>
      <c r="E104" s="2899">
        <f>1.0788/E101</f>
        <v>0.55608247422680412</v>
      </c>
      <c r="F104" s="2899">
        <f>1.0788/F101</f>
        <v>0.55608247422680412</v>
      </c>
      <c r="G104" s="2899">
        <f>1.0788/G101</f>
        <v>0.55608247422680412</v>
      </c>
      <c r="H104" s="2899">
        <f>1.0788/H101</f>
        <v>0.55608247422680412</v>
      </c>
      <c r="I104" s="2899">
        <f>1.0788/I101</f>
        <v>0.55608247422680412</v>
      </c>
      <c r="J104" s="2899">
        <f>1.0072/J101</f>
        <v>0.51917525773195883</v>
      </c>
      <c r="K104" s="2899">
        <f>1.0072/K101</f>
        <v>0.51917525773195883</v>
      </c>
      <c r="L104" s="2899">
        <f>1.0072/L101</f>
        <v>0.51917525773195883</v>
      </c>
      <c r="M104" s="2899">
        <f>1.0072/M101</f>
        <v>0.51917525773195883</v>
      </c>
      <c r="N104" s="2899">
        <f>1.0072/N101</f>
        <v>0.51917525773195883</v>
      </c>
    </row>
    <row r="105" spans="1:14">
      <c r="A105" s="3272"/>
      <c r="B105" s="2898">
        <v>4</v>
      </c>
      <c r="C105" s="2899">
        <f>0.9622/C101</f>
        <v>0.49597938144329901</v>
      </c>
      <c r="D105" s="2899">
        <f>0.9622/D101</f>
        <v>0.49597938144329901</v>
      </c>
      <c r="E105" s="2899">
        <f>0.8656/E101</f>
        <v>0.44618556701030931</v>
      </c>
      <c r="F105" s="2899">
        <f>0.8656/F101</f>
        <v>0.44618556701030931</v>
      </c>
      <c r="G105" s="2899">
        <f>0.8656/G101</f>
        <v>0.44618556701030931</v>
      </c>
      <c r="H105" s="2899">
        <f>0.8656/H101</f>
        <v>0.44618556701030931</v>
      </c>
      <c r="I105" s="2899">
        <f>0.8656/I101</f>
        <v>0.44618556701030931</v>
      </c>
      <c r="J105" s="2899">
        <f>0.7525/J101</f>
        <v>0.38788659793814434</v>
      </c>
      <c r="K105" s="2899">
        <f>0.7525/K101</f>
        <v>0.38788659793814434</v>
      </c>
      <c r="L105" s="2899">
        <f>0.7525/L101</f>
        <v>0.38788659793814434</v>
      </c>
      <c r="M105" s="2899">
        <f>0.7525/M101</f>
        <v>0.38788659793814434</v>
      </c>
      <c r="N105" s="2899">
        <f>0.7525/N101</f>
        <v>0.38788659793814434</v>
      </c>
    </row>
    <row r="106" spans="1:14">
      <c r="A106" s="3272"/>
      <c r="B106" s="2898">
        <v>5</v>
      </c>
      <c r="C106" s="2899">
        <f>0.8417/C101</f>
        <v>0.43386597938144333</v>
      </c>
      <c r="D106" s="2899">
        <f>0.8417/D101</f>
        <v>0.43386597938144333</v>
      </c>
      <c r="E106" s="2899">
        <f>0.7371/E101</f>
        <v>0.37994845360824742</v>
      </c>
      <c r="F106" s="2899">
        <f>0.7371/F101</f>
        <v>0.37994845360824742</v>
      </c>
      <c r="G106" s="2899">
        <f>0.7371/G101</f>
        <v>0.37994845360824742</v>
      </c>
      <c r="H106" s="2899">
        <f>0.7371/H101</f>
        <v>0.37994845360824742</v>
      </c>
      <c r="I106" s="2899">
        <f>0.7371/I101</f>
        <v>0.37994845360824742</v>
      </c>
      <c r="J106" s="2899">
        <f>0.5659/J101</f>
        <v>0.29170103092783506</v>
      </c>
      <c r="K106" s="2899">
        <f>0.5659/K101</f>
        <v>0.29170103092783506</v>
      </c>
      <c r="L106" s="2899">
        <f>0.5659/L101</f>
        <v>0.29170103092783506</v>
      </c>
      <c r="M106" s="2899">
        <f>0.5659/M101</f>
        <v>0.29170103092783506</v>
      </c>
      <c r="N106" s="2899">
        <f>0.5659/N101</f>
        <v>0.29170103092783506</v>
      </c>
    </row>
    <row r="107" spans="1:14">
      <c r="A107" s="3272"/>
      <c r="B107" s="2898">
        <v>6</v>
      </c>
      <c r="C107" s="2899">
        <f>0.7608/C101</f>
        <v>0.39216494845360828</v>
      </c>
      <c r="D107" s="2899">
        <f>0.7608/D101</f>
        <v>0.39216494845360828</v>
      </c>
      <c r="E107" s="2899">
        <f>0.6482/E101</f>
        <v>0.33412371134020619</v>
      </c>
      <c r="F107" s="2899">
        <f>0.6482/F101</f>
        <v>0.33412371134020619</v>
      </c>
      <c r="G107" s="2899">
        <f>0.6482/G101</f>
        <v>0.33412371134020619</v>
      </c>
      <c r="H107" s="2899">
        <f>0.6482/H101</f>
        <v>0.33412371134020619</v>
      </c>
      <c r="I107" s="2899">
        <f>0.6482/I101</f>
        <v>0.33412371134020619</v>
      </c>
      <c r="J107" s="2899">
        <f>0.4525/J101</f>
        <v>0.23324742268041238</v>
      </c>
      <c r="K107" s="2899">
        <f>0.4525/K101</f>
        <v>0.23324742268041238</v>
      </c>
      <c r="L107" s="2899">
        <f>0.4525/L101</f>
        <v>0.23324742268041238</v>
      </c>
      <c r="M107" s="2899">
        <f>0.4525/M101</f>
        <v>0.23324742268041238</v>
      </c>
      <c r="N107" s="2899">
        <f>0.4525/N101</f>
        <v>0.23324742268041238</v>
      </c>
    </row>
    <row r="108" spans="1:14">
      <c r="A108" s="3272"/>
      <c r="B108" s="3098"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3"/>
      <c r="B109" s="3099"/>
      <c r="C109" s="2901">
        <f>(-0.163*(C108^2)-0.59*C108+7617)*(10^(-4))/C101</f>
        <v>0.39262886597938146</v>
      </c>
      <c r="D109" s="2901">
        <f>(-0.163*(D108^2)-0.59*D108+7617)*(10^(-4))/D101</f>
        <v>0.39262886597938146</v>
      </c>
      <c r="E109" s="2901">
        <f>(-0.161*(E108^2)-7.509*E108+6533)*(10^(-4))/E101</f>
        <v>0.33675257731958763</v>
      </c>
      <c r="F109" s="2901">
        <f>(-0.161*(F108^2)-7.509*F108+6533)*(10^(-4))/F101</f>
        <v>0.33675257731958763</v>
      </c>
      <c r="G109" s="2901">
        <f>(-0.161*(G108^2)-7.509*G108+6533)*(10^(-4))/G101</f>
        <v>0.33675257731958763</v>
      </c>
      <c r="H109" s="2901">
        <f>(-0.161*(H108^2)-7.509*H108+6533)*(10^(-4))/H101</f>
        <v>0.33675257731958763</v>
      </c>
      <c r="I109" s="2901">
        <f>(-0.161*(I108^2)-7.509*I108+6533)*(10^(-4))/I101</f>
        <v>0.33675257731958763</v>
      </c>
      <c r="J109" s="2901">
        <f>(-0.214*(J108^2)-21.991*J108+4665)*(10^(-4))/J101</f>
        <v>0.2404639175257732</v>
      </c>
      <c r="K109" s="2901">
        <f>(-0.214*(K108^2)-21.991*K108+4665)*(10^(-4))/K101</f>
        <v>0.2404639175257732</v>
      </c>
      <c r="L109" s="2901">
        <f>(-0.214*(L108^2)-21.991*L108+4665)*(10^(-4))/L101</f>
        <v>0.2404639175257732</v>
      </c>
      <c r="M109" s="2901">
        <f>(-0.214*(M108^2)-21.991*M108+4665)*(10^(-4))/M101</f>
        <v>0.2404639175257732</v>
      </c>
      <c r="N109" s="2901">
        <f>(-0.214*(N108^2)-21.991*N108+4665)*(10^(-4))/N101</f>
        <v>0.2404639175257732</v>
      </c>
    </row>
    <row r="110" spans="1:14">
      <c r="A110" s="3269" t="s">
        <v>2980</v>
      </c>
      <c r="B110" s="3269"/>
      <c r="C110" s="3269"/>
      <c r="D110" s="3269"/>
      <c r="E110" s="3269"/>
      <c r="F110" s="3269"/>
      <c r="G110" s="3269"/>
      <c r="H110" s="3269"/>
      <c r="I110" s="3269"/>
      <c r="J110" s="3269"/>
      <c r="K110" s="2904"/>
      <c r="L110" s="2904"/>
      <c r="M110" s="2904"/>
      <c r="N110" s="2904"/>
    </row>
    <row r="112" spans="1:14" ht="13.5" thickBot="1"/>
    <row r="113" spans="1:13" ht="25.5" thickBot="1">
      <c r="A113" s="903" t="s">
        <v>2981</v>
      </c>
      <c r="B113" s="1290">
        <f>G3</f>
        <v>1.94</v>
      </c>
      <c r="C113" s="904" t="s">
        <v>2982</v>
      </c>
      <c r="D113" s="905">
        <f>SUMPRODUCT((A115:A118=F113)*(B114:M114=H113)*B115:M118)</f>
        <v>0</v>
      </c>
      <c r="E113" s="2727" t="s">
        <v>2812</v>
      </c>
      <c r="F113" s="2906">
        <f>E2</f>
        <v>0</v>
      </c>
      <c r="G113" s="2727" t="s">
        <v>2813</v>
      </c>
      <c r="H113" s="2906" t="str">
        <f>G2</f>
        <v>五级</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0.9153</v>
      </c>
      <c r="C115" s="910">
        <f>B115</f>
        <v>0.9153</v>
      </c>
      <c r="D115" s="910">
        <f>ROUND(0.8331-0.0109*B113,4)</f>
        <v>0.81200000000000006</v>
      </c>
      <c r="E115" s="910">
        <f>D115</f>
        <v>0.81200000000000006</v>
      </c>
      <c r="F115" s="910">
        <f>E115</f>
        <v>0.81200000000000006</v>
      </c>
      <c r="G115" s="910">
        <f>F115</f>
        <v>0.81200000000000006</v>
      </c>
      <c r="H115" s="910">
        <f>G115</f>
        <v>0.81200000000000006</v>
      </c>
      <c r="I115" s="910">
        <f>ROUND(0.689-0.0155*B113,4)</f>
        <v>0.65890000000000004</v>
      </c>
      <c r="J115" s="910">
        <f t="shared" ref="J115:M118" si="33">I115</f>
        <v>0.65890000000000004</v>
      </c>
      <c r="K115" s="910">
        <f t="shared" si="33"/>
        <v>0.65890000000000004</v>
      </c>
      <c r="L115" s="910">
        <f t="shared" si="33"/>
        <v>0.65890000000000004</v>
      </c>
      <c r="M115" s="911">
        <f t="shared" si="33"/>
        <v>0.65890000000000004</v>
      </c>
    </row>
    <row r="116" spans="1:13">
      <c r="A116" s="909" t="s">
        <v>2878</v>
      </c>
      <c r="B116" s="910">
        <f>ROUND(0.949-0.012*B113,4)</f>
        <v>0.92569999999999997</v>
      </c>
      <c r="C116" s="910">
        <f>B116</f>
        <v>0.92569999999999997</v>
      </c>
      <c r="D116" s="910">
        <f>ROUND(0.8567-0.013*B113,4)</f>
        <v>0.83150000000000002</v>
      </c>
      <c r="E116" s="910">
        <f t="shared" ref="E116:H117" si="34">D116</f>
        <v>0.83150000000000002</v>
      </c>
      <c r="F116" s="910">
        <f t="shared" si="34"/>
        <v>0.83150000000000002</v>
      </c>
      <c r="G116" s="910">
        <f t="shared" si="34"/>
        <v>0.83150000000000002</v>
      </c>
      <c r="H116" s="910">
        <f t="shared" si="34"/>
        <v>0.83150000000000002</v>
      </c>
      <c r="I116" s="910">
        <f>ROUND(0.7694-0.014*B113,4)</f>
        <v>0.74219999999999997</v>
      </c>
      <c r="J116" s="910">
        <f t="shared" si="33"/>
        <v>0.74219999999999997</v>
      </c>
      <c r="K116" s="910">
        <f t="shared" si="33"/>
        <v>0.74219999999999997</v>
      </c>
      <c r="L116" s="910">
        <f t="shared" si="33"/>
        <v>0.74219999999999997</v>
      </c>
      <c r="M116" s="911">
        <f t="shared" si="33"/>
        <v>0.74219999999999997</v>
      </c>
    </row>
    <row r="117" spans="1:13">
      <c r="A117" s="909" t="s">
        <v>2879</v>
      </c>
      <c r="B117" s="910">
        <f>ROUND(0.8808-0.006*B113,4)</f>
        <v>0.86919999999999997</v>
      </c>
      <c r="C117" s="910">
        <f>B117</f>
        <v>0.86919999999999997</v>
      </c>
      <c r="D117" s="910">
        <f>ROUND(0.8748-0.008*B113,4)</f>
        <v>0.85929999999999995</v>
      </c>
      <c r="E117" s="910">
        <f t="shared" si="34"/>
        <v>0.85929999999999995</v>
      </c>
      <c r="F117" s="910">
        <f t="shared" si="34"/>
        <v>0.85929999999999995</v>
      </c>
      <c r="G117" s="910">
        <f t="shared" si="34"/>
        <v>0.85929999999999995</v>
      </c>
      <c r="H117" s="910">
        <f t="shared" si="34"/>
        <v>0.85929999999999995</v>
      </c>
      <c r="I117" s="910">
        <f>ROUND(0.7412-0.0095*B113,4)</f>
        <v>0.7228</v>
      </c>
      <c r="J117" s="910">
        <f t="shared" si="33"/>
        <v>0.7228</v>
      </c>
      <c r="K117" s="910">
        <f t="shared" si="33"/>
        <v>0.7228</v>
      </c>
      <c r="L117" s="910">
        <f t="shared" si="33"/>
        <v>0.7228</v>
      </c>
      <c r="M117" s="911">
        <f t="shared" si="33"/>
        <v>0.7228</v>
      </c>
    </row>
    <row r="118" spans="1:13" ht="13.5" thickBot="1">
      <c r="A118" s="714" t="s">
        <v>2880</v>
      </c>
      <c r="B118" s="912">
        <f>ROUND(0.7275-0.01*B113,4)</f>
        <v>0.70809999999999995</v>
      </c>
      <c r="C118" s="912">
        <f>B118</f>
        <v>0.70809999999999995</v>
      </c>
      <c r="D118" s="912">
        <f>ROUND(0.7043-0.012*B113,4)</f>
        <v>0.68100000000000005</v>
      </c>
      <c r="E118" s="912">
        <f>D118</f>
        <v>0.68100000000000005</v>
      </c>
      <c r="F118" s="912">
        <f>E118</f>
        <v>0.68100000000000005</v>
      </c>
      <c r="G118" s="912">
        <f>ROUND(0.6299-0.0122*B113,4)</f>
        <v>0.60619999999999996</v>
      </c>
      <c r="H118" s="912">
        <f>G118</f>
        <v>0.60619999999999996</v>
      </c>
      <c r="I118" s="912">
        <f>ROUND(0.5667-0.0136*B113,4)</f>
        <v>0.5403</v>
      </c>
      <c r="J118" s="912">
        <f t="shared" si="33"/>
        <v>0.5403</v>
      </c>
      <c r="K118" s="912">
        <f t="shared" si="33"/>
        <v>0.5403</v>
      </c>
      <c r="L118" s="912">
        <f t="shared" si="33"/>
        <v>0.5403</v>
      </c>
      <c r="M118" s="913">
        <f t="shared" si="33"/>
        <v>0.5403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2" t="s">
        <v>1150</v>
      </c>
      <c r="C1" s="3292"/>
      <c r="D1" s="3292"/>
      <c r="E1" s="3292"/>
      <c r="F1" s="3292"/>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9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9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9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9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9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9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9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9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9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9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9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9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9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9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9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9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9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9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9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9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9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9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9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9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9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9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9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9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9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60028</v>
      </c>
      <c r="E5" s="1962"/>
    </row>
    <row r="6" spans="1:5" ht="15.75">
      <c r="A6" s="1962"/>
      <c r="B6" s="2980"/>
      <c r="C6" s="1965" t="s">
        <v>1624</v>
      </c>
      <c r="D6" s="1043" t="str">
        <f ca="1">NUMBERSTRING(INT(D5*10000),2)&amp;"元整"</f>
        <v>陆亿零贰拾捌万元整</v>
      </c>
      <c r="E6" s="1962"/>
    </row>
    <row r="7" spans="1:5" ht="15.75">
      <c r="A7" s="1962"/>
      <c r="B7" s="2985"/>
      <c r="C7" s="1966" t="s">
        <v>1625</v>
      </c>
      <c r="D7" s="1044">
        <f ca="1">结果表!H102</f>
        <v>33280</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v>
      </c>
      <c r="C13" s="1970" t="s">
        <v>1623</v>
      </c>
      <c r="D13" s="1046" t="str">
        <f>结果表!H107</f>
        <v>——</v>
      </c>
      <c r="E13" s="1962"/>
    </row>
    <row r="14" spans="1:5" ht="15.75">
      <c r="A14" s="1962"/>
      <c r="B14" s="2980"/>
      <c r="C14" s="1965" t="s">
        <v>1624</v>
      </c>
      <c r="D14" s="1043" t="e">
        <f>NUMBERSTRING(INT(D13*10000),2)&amp;"元整"</f>
        <v>#VALUE!</v>
      </c>
      <c r="E14" s="1962"/>
    </row>
    <row r="15" spans="1:5" ht="15">
      <c r="A15" s="1962"/>
      <c r="B15" s="2985"/>
      <c r="C15" s="1966" t="s">
        <v>1634</v>
      </c>
      <c r="D15" s="1055" t="e">
        <f>结果表!H108</f>
        <v>#VALUE!</v>
      </c>
      <c r="E15" s="1962"/>
    </row>
    <row r="16" spans="1:5" ht="15">
      <c r="A16" s="1962"/>
      <c r="B16" s="2986" t="str">
        <f>结果表!E109</f>
        <v>3.抵押担保权已注销时的房地产抵押价值</v>
      </c>
      <c r="C16" s="1970" t="s">
        <v>1635</v>
      </c>
      <c r="D16" s="1971">
        <f ca="1">结果表!H109</f>
        <v>60028</v>
      </c>
      <c r="E16" s="1962"/>
    </row>
    <row r="17" spans="1:5" ht="15.75">
      <c r="A17" s="1962"/>
      <c r="B17" s="2987"/>
      <c r="C17" s="1965" t="s">
        <v>1636</v>
      </c>
      <c r="D17" s="1043" t="str">
        <f ca="1">NUMBERSTRING(INT(D16*10000),2)&amp;"元整"</f>
        <v>陆亿零贰拾捌万元整</v>
      </c>
      <c r="E17" s="1962"/>
    </row>
    <row r="18" spans="1:5" ht="15">
      <c r="A18" s="1962"/>
      <c r="B18" s="2988"/>
      <c r="C18" s="1966" t="s">
        <v>1625</v>
      </c>
      <c r="D18" s="1055">
        <f ca="1">结果表!H110</f>
        <v>33280</v>
      </c>
      <c r="E18" s="1962"/>
    </row>
    <row r="19" spans="1:5" ht="15.75">
      <c r="A19" s="1962"/>
      <c r="B19" s="2979" t="str">
        <f>结果表!E111</f>
        <v>——</v>
      </c>
      <c r="C19" s="1970" t="s">
        <v>1623</v>
      </c>
      <c r="D19" s="1044" t="str">
        <f>结果表!H111</f>
        <v>——</v>
      </c>
      <c r="E19" s="1962"/>
    </row>
    <row r="20" spans="1:5" ht="15.75">
      <c r="A20" s="1962"/>
      <c r="B20" s="2980"/>
      <c r="C20" s="1965" t="s">
        <v>1636</v>
      </c>
      <c r="D20" s="1043" t="e">
        <f>NUMBERSTRING(INT(D19*10000),2)&amp;"元整"</f>
        <v>#VALUE!</v>
      </c>
      <c r="E20" s="1962"/>
    </row>
    <row r="21" spans="1:5" ht="15.75" thickBot="1">
      <c r="A21" s="1962"/>
      <c r="B21" s="298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98" t="s">
        <v>3006</v>
      </c>
      <c r="D1" s="3299"/>
      <c r="E1" s="3299"/>
      <c r="F1" s="3299"/>
      <c r="G1" s="3299"/>
      <c r="H1" s="3299"/>
      <c r="I1" s="3299"/>
      <c r="J1" s="3299"/>
      <c r="K1" s="3299"/>
      <c r="L1" s="3299"/>
      <c r="M1" s="3299"/>
      <c r="N1" s="3299"/>
      <c r="O1" s="3299"/>
      <c r="P1" s="3299"/>
      <c r="Q1" s="3299"/>
      <c r="R1" s="3299"/>
      <c r="S1" s="330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2" t="s">
        <v>3019</v>
      </c>
      <c r="E20" s="1796"/>
      <c r="F20" s="1207" t="e">
        <f ca="1">SUMIF(INDIRECT("'"&amp;H20&amp;"'"&amp;"!A:A"),"承租人权益价值",INDIRECT("'"&amp;H20&amp;"'"&amp;"!c:c"))</f>
        <v>#REF!</v>
      </c>
      <c r="G20" s="1207" t="s">
        <v>3020</v>
      </c>
      <c r="H20" s="2923"/>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79" t="s">
        <v>33</v>
      </c>
      <c r="D22" s="3080"/>
      <c r="E22" s="3080"/>
      <c r="F22" s="3080"/>
      <c r="G22" s="3080"/>
      <c r="H22" s="3080"/>
      <c r="I22" s="3080"/>
      <c r="J22" s="3080"/>
      <c r="K22" s="3080"/>
      <c r="L22" s="3080"/>
      <c r="M22" s="3080"/>
      <c r="N22" s="3080"/>
      <c r="O22" s="3080"/>
      <c r="P22" s="3080"/>
      <c r="Q22" s="329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35893</v>
      </c>
      <c r="C2" s="2" t="s">
        <v>133</v>
      </c>
      <c r="D2" s="243"/>
      <c r="E2" s="243"/>
      <c r="F2" s="243"/>
      <c r="G2" s="243"/>
    </row>
    <row r="3" spans="1:7" s="244" customFormat="1" ht="18" customHeight="1" thickBot="1">
      <c r="A3" s="247" t="s">
        <v>85</v>
      </c>
      <c r="B3" s="248">
        <f ca="1">ROUND(B2*10000/'数据-汇总表'!E3,0)</f>
        <v>19899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361</v>
      </c>
      <c r="D10" s="1035">
        <f>'数据-汇总表'!E6</f>
        <v>18037.400000000001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361</v>
      </c>
      <c r="D19" s="1039">
        <f>'数据-汇总表'!E3</f>
        <v>18037.400000000001</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35</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3209</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3209</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6958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6313</v>
      </c>
      <c r="D34" s="261"/>
      <c r="E34" s="264"/>
      <c r="F34" s="301">
        <f>IF('数据-取费表'!B24=0,1,'数据-取费表'!N16)</f>
        <v>1</v>
      </c>
      <c r="G34" s="263" t="s">
        <v>116</v>
      </c>
    </row>
    <row r="35" spans="1:7" ht="13.5" customHeight="1">
      <c r="A35" s="954" t="s">
        <v>796</v>
      </c>
      <c r="B35" s="259" t="s">
        <v>60</v>
      </c>
      <c r="C35" s="264">
        <f>ROUND(C34*F35,0)</f>
        <v>189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361</v>
      </c>
      <c r="D37" s="261">
        <f>'数据-汇总表'!E3</f>
        <v>18037.400000000001</v>
      </c>
      <c r="E37" s="293">
        <f>'数据-取费表'!B35</f>
        <v>200</v>
      </c>
      <c r="F37" s="303"/>
      <c r="G37" s="305" t="s">
        <v>119</v>
      </c>
    </row>
    <row r="38" spans="1:7" ht="13.5" customHeight="1">
      <c r="A38" s="954" t="s">
        <v>799</v>
      </c>
      <c r="B38" s="259" t="s">
        <v>63</v>
      </c>
      <c r="C38" s="264">
        <f>ROUND(C34*F38,0)</f>
        <v>95</v>
      </c>
      <c r="D38" s="264"/>
      <c r="E38" s="264"/>
      <c r="F38" s="303">
        <f>'数据-取费表'!B36</f>
        <v>1.4999999999999999E-2</v>
      </c>
      <c r="G38" s="263" t="s">
        <v>117</v>
      </c>
    </row>
    <row r="39" spans="1:7" s="258" customFormat="1" ht="13.5" customHeight="1">
      <c r="A39" s="951" t="s">
        <v>783</v>
      </c>
      <c r="B39" s="254" t="s">
        <v>104</v>
      </c>
      <c r="C39" s="276">
        <f>ROUND(C33*F20,0)</f>
        <v>139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338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331</v>
      </c>
      <c r="D42" s="282"/>
      <c r="E42" s="282"/>
      <c r="F42" s="283"/>
      <c r="G42" s="3164" t="s">
        <v>121</v>
      </c>
    </row>
    <row r="43" spans="1:7" ht="13.5" customHeight="1">
      <c r="A43" s="954" t="s">
        <v>792</v>
      </c>
      <c r="B43" s="259" t="s">
        <v>1064</v>
      </c>
      <c r="C43" s="282">
        <f ca="1">ROUND(IF('数据-取费表'!B22&lt;=1,C39*F22*'数据-取费表'!B21/2,C39*(POWER((1+F22),'数据-取费表'!B21/2)-1)),0)</f>
        <v>7</v>
      </c>
      <c r="D43" s="282"/>
      <c r="E43" s="282"/>
      <c r="F43" s="283"/>
      <c r="G43" s="3165"/>
    </row>
    <row r="44" spans="1:7" ht="13.5" customHeight="1">
      <c r="A44" s="954" t="s">
        <v>793</v>
      </c>
      <c r="B44" s="259" t="s">
        <v>1066</v>
      </c>
      <c r="C44" s="282">
        <f ca="1">ROUND(IF('数据-取费表'!B22&lt;=1,C40*F22*'数据-取费表'!B21/2,C40*(POWER((1+F22),'数据-取费表'!B21/2)-1)),4)</f>
        <v>1E-3</v>
      </c>
      <c r="D44" s="282"/>
      <c r="E44" s="282"/>
      <c r="F44" s="283"/>
      <c r="G44" s="3166"/>
    </row>
    <row r="45" spans="1:7" s="258" customFormat="1" ht="13.5" customHeight="1">
      <c r="A45" s="951" t="s">
        <v>786</v>
      </c>
      <c r="B45" s="288" t="s">
        <v>112</v>
      </c>
      <c r="C45" s="289">
        <f>C46</f>
        <v>1065</v>
      </c>
      <c r="D45" s="279">
        <f>C47</f>
        <v>3.0000000000000001E-3</v>
      </c>
      <c r="E45" s="280" t="s">
        <v>129</v>
      </c>
      <c r="F45" s="290"/>
      <c r="G45" s="291" t="s">
        <v>1072</v>
      </c>
    </row>
    <row r="46" spans="1:7" s="258" customFormat="1" ht="13.5" customHeight="1">
      <c r="A46" s="954" t="s">
        <v>794</v>
      </c>
      <c r="B46" s="292" t="s">
        <v>1065</v>
      </c>
      <c r="C46" s="293">
        <f>ROUND((C33+C39)*F27,0)</f>
        <v>1065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9212</v>
      </c>
      <c r="D49" s="276"/>
      <c r="E49" s="276"/>
      <c r="F49" s="308"/>
      <c r="G49" s="278" t="s">
        <v>1073</v>
      </c>
    </row>
    <row r="50" spans="1:7" s="302" customFormat="1" ht="24">
      <c r="A50" s="951" t="s">
        <v>789</v>
      </c>
      <c r="B50" s="254" t="s">
        <v>124</v>
      </c>
      <c r="C50" s="276"/>
      <c r="D50" s="276"/>
      <c r="E50" s="276"/>
      <c r="F50" s="308">
        <f>IF('数据-取费表'!B24=0,'数据-取费表'!N16,1)</f>
        <v>0.76</v>
      </c>
      <c r="G50" s="291" t="s">
        <v>125</v>
      </c>
    </row>
    <row r="51" spans="1:7" ht="16.5" customHeight="1">
      <c r="A51" s="951" t="s">
        <v>790</v>
      </c>
      <c r="B51" s="254" t="s">
        <v>132</v>
      </c>
      <c r="C51" s="276">
        <f ca="1">ROUND(C49*F50,0)</f>
        <v>7001</v>
      </c>
      <c r="D51" s="276"/>
      <c r="E51" s="276"/>
      <c r="F51" s="308"/>
      <c r="G51" s="278" t="s">
        <v>64</v>
      </c>
    </row>
    <row r="52" spans="1:7" s="252" customFormat="1" ht="16.5" thickBot="1">
      <c r="A52" s="309" t="s">
        <v>65</v>
      </c>
      <c r="B52" s="310"/>
      <c r="C52" s="311">
        <f ca="1">C31+C51</f>
        <v>35893</v>
      </c>
      <c r="D52" s="310"/>
      <c r="E52" s="310"/>
      <c r="F52" s="310"/>
      <c r="G52" s="312"/>
    </row>
    <row r="55" spans="1:7" ht="15">
      <c r="B55" s="314" t="s">
        <v>66</v>
      </c>
      <c r="C55" s="315"/>
    </row>
    <row r="56" spans="1:7">
      <c r="B56" s="317" t="s">
        <v>67</v>
      </c>
      <c r="C56" s="318">
        <f ca="1">ROUND(C51/C52,3)</f>
        <v>0.19500000000000001</v>
      </c>
    </row>
    <row r="57" spans="1:7">
      <c r="B57" s="317" t="s">
        <v>68</v>
      </c>
      <c r="C57" s="31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871</v>
      </c>
      <c r="B1" s="330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43363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G54"/>
  <sheetViews>
    <sheetView workbookViewId="0">
      <selection activeCell="U24" sqref="U24"/>
    </sheetView>
  </sheetViews>
  <sheetFormatPr defaultRowHeight="13.5"/>
  <cols>
    <col min="2" max="2" width="12.625" customWidth="1"/>
    <col min="3" max="3" width="10.5" bestFit="1" customWidth="1"/>
    <col min="6" max="7" width="9.5" bestFit="1" customWidth="1"/>
  </cols>
  <sheetData>
    <row r="37" spans="1:7">
      <c r="B37" s="2966" t="s">
        <v>3112</v>
      </c>
      <c r="C37" s="2966" t="s">
        <v>3111</v>
      </c>
      <c r="E37" s="2966" t="s">
        <v>3112</v>
      </c>
      <c r="F37" s="2966" t="s">
        <v>3111</v>
      </c>
    </row>
    <row r="38" spans="1:7">
      <c r="A38">
        <f>'数据-基础表'!B3</f>
        <v>18037.400000000001</v>
      </c>
      <c r="B38" s="2965">
        <f>ROUND(1-(2018-1998)/60,2)</f>
        <v>0.67</v>
      </c>
      <c r="C38" s="2965">
        <v>0.85</v>
      </c>
      <c r="E38" s="2965">
        <f>ROUND(1-(2030-1998)/60,2)</f>
        <v>0.47</v>
      </c>
      <c r="F38" s="2965">
        <v>0.8</v>
      </c>
    </row>
    <row r="39" spans="1:7">
      <c r="B39" s="2967">
        <f>ROUND(B38*0.5+C38*0.5,2)</f>
        <v>0.76</v>
      </c>
      <c r="E39" s="2967">
        <f>ROUND(E38*0.5+F38*0.5,2)</f>
        <v>0.64</v>
      </c>
    </row>
    <row r="42" spans="1:7">
      <c r="B42" s="2973" t="s">
        <v>3121</v>
      </c>
      <c r="C42" s="2970"/>
      <c r="D42" s="2970"/>
      <c r="E42" s="2969" t="s">
        <v>3122</v>
      </c>
      <c r="F42" s="2970"/>
    </row>
    <row r="43" spans="1:7">
      <c r="A43" s="2972">
        <v>4600</v>
      </c>
      <c r="B43" s="2971">
        <v>43363</v>
      </c>
      <c r="C43" s="2971">
        <v>43921</v>
      </c>
      <c r="D43" s="2970">
        <v>3.07</v>
      </c>
      <c r="E43" s="2970">
        <f>365+191</f>
        <v>556</v>
      </c>
      <c r="F43" s="2970">
        <f>D43*E43*$A$43</f>
        <v>7851831.9999999991</v>
      </c>
    </row>
    <row r="44" spans="1:7">
      <c r="B44" s="2971">
        <v>43922</v>
      </c>
      <c r="C44" s="2971">
        <v>45016</v>
      </c>
      <c r="D44" s="2970">
        <v>3.3889999999999998</v>
      </c>
      <c r="E44" s="2970">
        <f>365*3</f>
        <v>1095</v>
      </c>
      <c r="F44" s="2970">
        <f t="shared" ref="F44:F46" si="0">D44*E44*$A$43</f>
        <v>17070393</v>
      </c>
    </row>
    <row r="45" spans="1:7">
      <c r="B45" s="2971">
        <v>45017</v>
      </c>
      <c r="C45" s="2971">
        <v>46112</v>
      </c>
      <c r="D45" s="2970">
        <v>3.74</v>
      </c>
      <c r="E45" s="2970">
        <f t="shared" ref="E45:E46" si="1">365*3</f>
        <v>1095</v>
      </c>
      <c r="F45" s="2970">
        <f t="shared" si="0"/>
        <v>18838380</v>
      </c>
    </row>
    <row r="46" spans="1:7">
      <c r="B46" s="2971">
        <v>46113</v>
      </c>
      <c r="C46" s="2971">
        <v>47208</v>
      </c>
      <c r="D46" s="2970">
        <v>4.1260000000000003</v>
      </c>
      <c r="E46" s="2970">
        <f t="shared" si="1"/>
        <v>1095</v>
      </c>
      <c r="F46" s="2970">
        <f t="shared" si="0"/>
        <v>20782662</v>
      </c>
    </row>
    <row r="47" spans="1:7">
      <c r="B47" s="2971">
        <v>47209</v>
      </c>
      <c r="C47" s="2971">
        <v>47498</v>
      </c>
      <c r="D47" s="2970">
        <v>4.5510000000000002</v>
      </c>
      <c r="E47" s="2970">
        <v>284</v>
      </c>
      <c r="F47" s="2970">
        <f t="shared" ref="F47" si="2">D47*E47*$A$43</f>
        <v>5945426.4000000004</v>
      </c>
    </row>
    <row r="48" spans="1:7">
      <c r="E48">
        <f>SUM(E43:E47)</f>
        <v>4125</v>
      </c>
      <c r="F48" s="2970">
        <f>SUM(F43:F47)</f>
        <v>70488693.400000006</v>
      </c>
      <c r="G48" s="2974">
        <f>ROUND(F48/E48/A43,1)</f>
        <v>3.7</v>
      </c>
    </row>
    <row r="49" spans="1:7">
      <c r="B49" s="2975" t="s">
        <v>3123</v>
      </c>
    </row>
    <row r="50" spans="1:7">
      <c r="A50" s="2972">
        <v>547</v>
      </c>
      <c r="B50" s="2968">
        <v>43363</v>
      </c>
      <c r="C50" s="2968">
        <v>44377</v>
      </c>
      <c r="D50" s="2970">
        <v>2.2000000000000002</v>
      </c>
      <c r="E50">
        <f>2*365+280</f>
        <v>1010</v>
      </c>
      <c r="F50">
        <f>D50*E50*$A$50</f>
        <v>1215434</v>
      </c>
    </row>
    <row r="51" spans="1:7">
      <c r="B51" s="2968">
        <v>44378</v>
      </c>
      <c r="C51" s="2968">
        <v>45473</v>
      </c>
      <c r="D51" s="2970">
        <v>2.2999999999999998</v>
      </c>
      <c r="E51">
        <f>365*3</f>
        <v>1095</v>
      </c>
      <c r="F51">
        <f t="shared" ref="F51:F52" si="3">D51*E51*$A$50</f>
        <v>1377619.5</v>
      </c>
    </row>
    <row r="52" spans="1:7">
      <c r="B52" s="2968">
        <v>45474</v>
      </c>
      <c r="C52" s="2968">
        <v>45838</v>
      </c>
      <c r="D52" s="2970">
        <v>2.4</v>
      </c>
      <c r="E52">
        <v>365</v>
      </c>
      <c r="F52">
        <f t="shared" si="3"/>
        <v>479172</v>
      </c>
    </row>
    <row r="53" spans="1:7">
      <c r="E53">
        <f>SUM(E50:E52)</f>
        <v>2470</v>
      </c>
      <c r="F53">
        <f>SUM(F50:F52)</f>
        <v>3072225.5</v>
      </c>
      <c r="G53" s="2974">
        <f>ROUND(F53/E53/A50,1)</f>
        <v>2.2999999999999998</v>
      </c>
    </row>
    <row r="54" spans="1:7">
      <c r="A54" s="2976">
        <f>ROUND((A43*G48+A50*G53)/(A43+A50),1)</f>
        <v>3.6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7" t="s">
        <v>1638</v>
      </c>
      <c r="E3" s="1047" t="s">
        <v>1644</v>
      </c>
      <c r="F3" s="1047" t="s">
        <v>1638</v>
      </c>
      <c r="G3" s="1047" t="s">
        <v>1639</v>
      </c>
      <c r="H3" s="1047" t="s">
        <v>1638</v>
      </c>
      <c r="I3" s="1047" t="s">
        <v>1639</v>
      </c>
    </row>
    <row r="4" spans="1:9" ht="30">
      <c r="A4" s="1976" t="str">
        <f>项目基本情况!S2</f>
        <v>北京市海淀区上地六街17号全部工业用房房地产</v>
      </c>
      <c r="B4" s="1047">
        <f>项目基本情况!C17</f>
        <v>18037.400000000001</v>
      </c>
      <c r="C4" s="1047">
        <f>项目基本情况!C18</f>
        <v>9282.25</v>
      </c>
      <c r="D4" s="1047">
        <f ca="1">结果表!D118</f>
        <v>53028</v>
      </c>
      <c r="E4" s="1047">
        <f ca="1">结果表!E118</f>
        <v>29399</v>
      </c>
      <c r="F4" s="1047">
        <f ca="1">结果表!F118</f>
        <v>7000</v>
      </c>
      <c r="G4" s="1047">
        <f ca="1">结果表!G118</f>
        <v>3881</v>
      </c>
      <c r="H4" s="1047">
        <f ca="1">结果表!H118</f>
        <v>60028</v>
      </c>
      <c r="I4" s="1047">
        <f ca="1">结果表!I118</f>
        <v>33280</v>
      </c>
    </row>
    <row r="5" spans="1:9" ht="30" customHeight="1">
      <c r="A5" s="2991" t="s">
        <v>1640</v>
      </c>
      <c r="B5" s="2991"/>
      <c r="C5" s="2991"/>
      <c r="D5" s="2992" t="str">
        <f ca="1">结果表!D119</f>
        <v>伍亿叁仟零贰拾捌万元整</v>
      </c>
      <c r="E5" s="2992"/>
      <c r="F5" s="2992" t="str">
        <f ca="1">结果表!F119</f>
        <v>柒仟万元整</v>
      </c>
      <c r="G5" s="2992"/>
      <c r="H5" s="2992" t="str">
        <f ca="1">结果表!H119</f>
        <v>陆亿零贰拾捌万元整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
      </c>
      <c r="B8" s="2993"/>
      <c r="C8" s="2993"/>
      <c r="D8" s="2993" t="str">
        <f>结果表!D122</f>
        <v>——</v>
      </c>
      <c r="E8" s="2993"/>
      <c r="F8" s="2993"/>
      <c r="G8" s="2993"/>
      <c r="H8" s="2993"/>
      <c r="I8" s="2993"/>
    </row>
    <row r="9" spans="1:9" ht="15">
      <c r="A9" s="2991" t="s">
        <v>1640</v>
      </c>
      <c r="B9" s="2991"/>
      <c r="C9" s="2991"/>
      <c r="D9" s="2992" t="e">
        <f>结果表!D123</f>
        <v>#VALUE!</v>
      </c>
      <c r="E9" s="2992"/>
      <c r="F9" s="2992"/>
      <c r="G9" s="2992"/>
      <c r="H9" s="2992"/>
      <c r="I9" s="2992"/>
    </row>
    <row r="10" spans="1:9" ht="15.75">
      <c r="A10" s="2993" t="str">
        <f>结果表!A124</f>
        <v>抵押担保权已注销时的房地产抵押价值</v>
      </c>
      <c r="B10" s="2993"/>
      <c r="C10" s="2993"/>
      <c r="D10" s="2993">
        <f ca="1">结果表!D124</f>
        <v>60028</v>
      </c>
      <c r="E10" s="2993"/>
      <c r="F10" s="2993"/>
      <c r="G10" s="2993"/>
      <c r="H10" s="2993"/>
      <c r="I10" s="2993"/>
    </row>
    <row r="11" spans="1:9" ht="15">
      <c r="A11" s="2991" t="s">
        <v>1640</v>
      </c>
      <c r="B11" s="2991"/>
      <c r="C11" s="2991"/>
      <c r="D11" s="2992" t="str">
        <f ca="1">结果表!D125</f>
        <v>陆亿零贰拾捌万元整</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崔锴</v>
      </c>
      <c r="B5" s="1982">
        <f ca="1">项目基本情况!E4</f>
        <v>1120100036</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1658</v>
      </c>
      <c r="B22" s="3008"/>
      <c r="C22" s="3008"/>
      <c r="D22" s="300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3044</v>
      </c>
      <c r="B12" s="1025">
        <v>1120110054</v>
      </c>
      <c r="C12" s="2943">
        <v>43937</v>
      </c>
      <c r="D12" s="1705" t="s">
        <v>3044</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2018-09-20T09:24:45Z</dcterms:modified>
</cp:coreProperties>
</file>