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2"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土地案例位置" sheetId="68" r:id="rId41"/>
    <sheet name="土地案例" sheetId="69"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47" i="21" l="1"/>
  <c r="H104" i="21"/>
  <c r="G47" i="21"/>
  <c r="E47" i="21"/>
  <c r="D27" i="9"/>
  <c r="E104" i="21"/>
  <c r="F104" i="21"/>
  <c r="G104" i="21"/>
  <c r="D104" i="21"/>
  <c r="I5" i="3"/>
  <c r="F19" i="6"/>
  <c r="H13" i="3"/>
  <c r="AC13" i="3"/>
  <c r="G13" i="3"/>
  <c r="AC14" i="3"/>
  <c r="H14" i="3"/>
  <c r="G14" i="3"/>
  <c r="AC15" i="3"/>
  <c r="H15" i="3"/>
  <c r="G15" i="3"/>
  <c r="AC16" i="3"/>
  <c r="H16" i="3"/>
  <c r="G16" i="3"/>
  <c r="AC17" i="3"/>
  <c r="H17" i="3"/>
  <c r="G17" i="3"/>
  <c r="AC18" i="3"/>
  <c r="H18" i="3"/>
  <c r="G18" i="3"/>
  <c r="AC19" i="3"/>
  <c r="H19" i="3"/>
  <c r="G19" i="3"/>
  <c r="AC20" i="3"/>
  <c r="H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E19" i="6"/>
  <c r="C33" i="21"/>
  <c r="F33" i="21"/>
  <c r="AA33" i="21"/>
  <c r="F32" i="21"/>
  <c r="AA32" i="21"/>
  <c r="F36" i="21"/>
  <c r="AA36" i="21"/>
  <c r="F42" i="21"/>
  <c r="AA42" i="21"/>
  <c r="F34" i="21"/>
  <c r="AA34" i="21"/>
  <c r="R47" i="21"/>
  <c r="R48" i="21"/>
  <c r="H33" i="21"/>
  <c r="AB33" i="21"/>
  <c r="D101" i="21"/>
  <c r="E101" i="21"/>
  <c r="H32" i="21"/>
  <c r="AB32" i="21"/>
  <c r="H36" i="21"/>
  <c r="AB36" i="21"/>
  <c r="H42" i="21"/>
  <c r="AB42" i="21"/>
  <c r="H34" i="21"/>
  <c r="AB34" i="21"/>
  <c r="T47" i="21"/>
  <c r="T48" i="21"/>
  <c r="J33" i="21"/>
  <c r="AC33" i="21"/>
  <c r="J32" i="21"/>
  <c r="AC32" i="21"/>
  <c r="D110" i="21"/>
  <c r="E110" i="21"/>
  <c r="J36" i="21"/>
  <c r="AC36" i="21"/>
  <c r="J42" i="21"/>
  <c r="AC42" i="21"/>
  <c r="J34" i="21"/>
  <c r="AC34" i="21"/>
  <c r="V47" i="21"/>
  <c r="J11" i="21"/>
  <c r="AC11" i="21"/>
  <c r="V48" i="21"/>
  <c r="R49" i="21"/>
  <c r="C49" i="21"/>
  <c r="B3" i="21"/>
  <c r="C8" i="12"/>
  <c r="I59" i="21"/>
  <c r="J59" i="21"/>
  <c r="K59" i="21"/>
  <c r="H59" i="21"/>
  <c r="C9" i="12"/>
  <c r="C10" i="12"/>
  <c r="E120" i="39"/>
  <c r="F120" i="39"/>
  <c r="G120" i="39"/>
  <c r="H120" i="39"/>
  <c r="D120" i="39"/>
  <c r="F73" i="39"/>
  <c r="G73" i="39"/>
  <c r="H73" i="39"/>
  <c r="I73" i="39"/>
  <c r="J73" i="39"/>
  <c r="K73" i="39"/>
  <c r="L73" i="39"/>
  <c r="M73" i="39"/>
  <c r="N73" i="39"/>
  <c r="E73" i="39"/>
  <c r="I48" i="39"/>
  <c r="G48" i="39"/>
  <c r="E48" i="39"/>
  <c r="I40" i="39"/>
  <c r="G40" i="39"/>
  <c r="E40" i="39"/>
  <c r="I9" i="39"/>
  <c r="G9" i="39"/>
  <c r="I7" i="39"/>
  <c r="G7" i="39"/>
  <c r="E8" i="39"/>
  <c r="E7" i="39"/>
  <c r="E9" i="39"/>
  <c r="BB14" i="3"/>
  <c r="BC14" i="3"/>
  <c r="BD14" i="3"/>
  <c r="BE14" i="3"/>
  <c r="BF14" i="3"/>
  <c r="BG14" i="3"/>
  <c r="BH14" i="3"/>
  <c r="BI14" i="3"/>
  <c r="BJ14" i="3"/>
  <c r="BK14" i="3"/>
  <c r="BA14" i="3"/>
  <c r="BM14" i="3"/>
  <c r="BN14" i="3"/>
  <c r="BO14" i="3"/>
  <c r="BP14" i="3"/>
  <c r="BQ14" i="3"/>
  <c r="BR14" i="3"/>
  <c r="BS14" i="3"/>
  <c r="BT14" i="3"/>
  <c r="BL14" i="3"/>
  <c r="AZ14" i="3"/>
  <c r="BB13" i="3"/>
  <c r="BC13" i="3"/>
  <c r="BD13" i="3"/>
  <c r="BE13" i="3"/>
  <c r="BF13" i="3"/>
  <c r="BG13" i="3"/>
  <c r="BH13" i="3"/>
  <c r="BI13" i="3"/>
  <c r="BJ13" i="3"/>
  <c r="BK13" i="3"/>
  <c r="BA13" i="3"/>
  <c r="BM13" i="3"/>
  <c r="BQ13" i="3"/>
  <c r="BR13" i="3"/>
  <c r="BN13" i="3"/>
  <c r="BO13" i="3"/>
  <c r="BP13" i="3"/>
  <c r="BS13" i="3"/>
  <c r="BT13" i="3"/>
  <c r="BL13" i="3"/>
  <c r="AZ13"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BB5" i="3"/>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3" i="6"/>
  <c r="D5" i="6"/>
  <c r="C40" i="39"/>
  <c r="D73" i="39"/>
  <c r="U3" i="69"/>
  <c r="U4" i="69"/>
  <c r="U5" i="69"/>
  <c r="U6" i="69"/>
  <c r="U7" i="69"/>
  <c r="U8" i="69"/>
  <c r="U9" i="69"/>
  <c r="U10" i="69"/>
  <c r="U11" i="69"/>
  <c r="U12" i="69"/>
  <c r="U13" i="69"/>
  <c r="U14" i="69"/>
  <c r="U15" i="69"/>
  <c r="U16" i="69"/>
  <c r="U17" i="69"/>
  <c r="U18" i="69"/>
  <c r="U19" i="69"/>
  <c r="U20" i="69"/>
  <c r="U21" i="69"/>
  <c r="U22" i="69"/>
  <c r="U23" i="69"/>
  <c r="U24" i="69"/>
  <c r="U25" i="69"/>
  <c r="U26" i="69"/>
  <c r="U27" i="69"/>
  <c r="U28" i="69"/>
  <c r="U29" i="69"/>
  <c r="U30" i="69"/>
  <c r="U31" i="69"/>
  <c r="U32" i="69"/>
  <c r="U33" i="69"/>
  <c r="U34" i="69"/>
  <c r="U35" i="69"/>
  <c r="U36" i="69"/>
  <c r="U37" i="69"/>
  <c r="U38" i="69"/>
  <c r="U39" i="69"/>
  <c r="U40" i="69"/>
  <c r="U41" i="69"/>
  <c r="U42" i="69"/>
  <c r="U43" i="69"/>
  <c r="U44" i="69"/>
  <c r="U45" i="69"/>
  <c r="U46" i="69"/>
  <c r="U47" i="69"/>
  <c r="U48" i="69"/>
  <c r="U49" i="69"/>
  <c r="U50" i="69"/>
  <c r="U51" i="69"/>
  <c r="U2" i="6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P62" i="15"/>
  <c r="P75" i="15"/>
  <c r="Q74" i="44"/>
  <c r="Q61" i="44"/>
  <c r="Q60" i="44"/>
  <c r="Q53" i="44"/>
  <c r="J51" i="44"/>
  <c r="J52" i="44"/>
  <c r="M48" i="44"/>
  <c r="A16" i="55"/>
  <c r="A15" i="55"/>
  <c r="A14" i="55"/>
  <c r="A10" i="55"/>
  <c r="A9" i="55"/>
  <c r="B60" i="63"/>
  <c r="A8" i="55"/>
  <c r="A6" i="54"/>
  <c r="A8" i="54"/>
  <c r="A7" i="54"/>
  <c r="B51" i="63"/>
  <c r="A27" i="51"/>
  <c r="Q12" i="59"/>
  <c r="O12" i="59"/>
  <c r="N13" i="59"/>
  <c r="O13" i="59"/>
  <c r="P13" i="59"/>
  <c r="Q13" i="59"/>
  <c r="N12" i="59"/>
  <c r="P12" i="59"/>
  <c r="K75" i="9"/>
  <c r="K6" i="4"/>
  <c r="O76" i="9"/>
  <c r="L76" i="9"/>
  <c r="B22" i="31"/>
  <c r="E15" i="66"/>
  <c r="F15" i="66"/>
  <c r="E16" i="66"/>
  <c r="F16" i="66"/>
  <c r="E17" i="66"/>
  <c r="F17" i="66"/>
  <c r="E18" i="66"/>
  <c r="F18" i="66"/>
  <c r="E19" i="66"/>
  <c r="F19" i="66"/>
  <c r="E20" i="66"/>
  <c r="F20" i="66"/>
  <c r="E21" i="66"/>
  <c r="F21" i="66"/>
  <c r="E22" i="66"/>
  <c r="F22" i="66"/>
  <c r="E23" i="66"/>
  <c r="F23" i="66"/>
  <c r="B3" i="66"/>
  <c r="B10" i="59"/>
  <c r="B9" i="59"/>
  <c r="B8" i="59"/>
  <c r="E10" i="59"/>
  <c r="E9" i="59"/>
  <c r="E8" i="59"/>
  <c r="E7" i="59"/>
  <c r="E6" i="59"/>
  <c r="F10" i="59"/>
  <c r="F9" i="59"/>
  <c r="F8" i="59"/>
  <c r="F7" i="59"/>
  <c r="F6"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C9" i="59"/>
  <c r="C3" i="65"/>
  <c r="C1" i="65"/>
  <c r="N1"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20" i="63"/>
  <c r="B17" i="63"/>
  <c r="A15" i="51"/>
  <c r="B12" i="63"/>
  <c r="A14" i="51"/>
  <c r="B11" i="63"/>
  <c r="B66" i="63"/>
  <c r="A4" i="55"/>
  <c r="B57" i="63"/>
  <c r="G5" i="54"/>
  <c r="B34" i="63"/>
  <c r="E5" i="54"/>
  <c r="B32" i="63"/>
  <c r="R2" i="54"/>
  <c r="B24" i="63"/>
  <c r="B49" i="50"/>
  <c r="B5" i="63"/>
  <c r="B40" i="50"/>
  <c r="B3" i="63"/>
  <c r="B67" i="63"/>
  <c r="I19" i="46"/>
  <c r="Q14" i="59"/>
  <c r="P14" i="59"/>
  <c r="E14" i="59"/>
  <c r="O14" i="59"/>
  <c r="N14" i="59"/>
  <c r="B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C29" i="59"/>
  <c r="N27" i="59"/>
  <c r="B28" i="59"/>
  <c r="B29" i="59"/>
  <c r="B30" i="59"/>
  <c r="S30" i="59"/>
  <c r="D27" i="59"/>
  <c r="Q26" i="59"/>
  <c r="P26" i="59"/>
  <c r="O26" i="59"/>
  <c r="N26" i="59"/>
  <c r="Q25" i="59"/>
  <c r="AB25" i="59"/>
  <c r="P25" i="59"/>
  <c r="O25" i="59"/>
  <c r="Y25" i="59"/>
  <c r="Z25" i="59"/>
  <c r="N25" i="59"/>
  <c r="X25" i="59"/>
  <c r="Q24" i="59"/>
  <c r="AB24" i="59"/>
  <c r="P24" i="59"/>
  <c r="O24" i="59"/>
  <c r="Y24" i="59"/>
  <c r="N24" i="59"/>
  <c r="Q23" i="59"/>
  <c r="P23" i="59"/>
  <c r="O23" i="59"/>
  <c r="C24" i="59"/>
  <c r="N23" i="59"/>
  <c r="B24" i="59"/>
  <c r="B25" i="59"/>
  <c r="B26" i="59"/>
  <c r="S26" i="59"/>
  <c r="D23" i="59"/>
  <c r="Q22" i="59"/>
  <c r="P22" i="59"/>
  <c r="AA22" i="59"/>
  <c r="O22" i="59"/>
  <c r="N22" i="59"/>
  <c r="X22" i="59"/>
  <c r="Q21" i="59"/>
  <c r="P21" i="59"/>
  <c r="AA21" i="59"/>
  <c r="O21" i="59"/>
  <c r="N21" i="59"/>
  <c r="X21" i="59"/>
  <c r="Q20" i="59"/>
  <c r="P20" i="59"/>
  <c r="AA20" i="59"/>
  <c r="O20" i="59"/>
  <c r="N20" i="59"/>
  <c r="X20" i="59"/>
  <c r="Q19" i="59"/>
  <c r="F20" i="59"/>
  <c r="P19" i="59"/>
  <c r="E20" i="59"/>
  <c r="E21" i="59"/>
  <c r="E22" i="59"/>
  <c r="U22" i="59"/>
  <c r="O19" i="59"/>
  <c r="N19" i="59"/>
  <c r="D19" i="59"/>
  <c r="Q18" i="59"/>
  <c r="AB18" i="59"/>
  <c r="P18" i="59"/>
  <c r="O18" i="59"/>
  <c r="Y18" i="59"/>
  <c r="Z18" i="59"/>
  <c r="N18" i="59"/>
  <c r="Q17" i="59"/>
  <c r="AB17" i="59"/>
  <c r="P17" i="59"/>
  <c r="O17" i="59"/>
  <c r="Y17" i="59"/>
  <c r="Z17" i="59"/>
  <c r="N17" i="59"/>
  <c r="Q16" i="59"/>
  <c r="AB16" i="59"/>
  <c r="P16" i="59"/>
  <c r="O16" i="59"/>
  <c r="Y16" i="59"/>
  <c r="Z16" i="59"/>
  <c r="N16" i="59"/>
  <c r="Q15" i="59"/>
  <c r="P15" i="59"/>
  <c r="O15" i="59"/>
  <c r="C16" i="59"/>
  <c r="N15" i="59"/>
  <c r="B16" i="59"/>
  <c r="D15" i="59"/>
  <c r="X12" i="59"/>
  <c r="AA11" i="59"/>
  <c r="AA13" i="59"/>
  <c r="Y11" i="59"/>
  <c r="Z11" i="59"/>
  <c r="Y13" i="59"/>
  <c r="Z13" i="59"/>
  <c r="AB14" i="59"/>
  <c r="AB11" i="59"/>
  <c r="AB13" i="59"/>
  <c r="B17" i="59"/>
  <c r="B18" i="59"/>
  <c r="S18" i="59"/>
  <c r="E16" i="59"/>
  <c r="E17" i="59"/>
  <c r="E18" i="59"/>
  <c r="U18" i="59"/>
  <c r="B37" i="59"/>
  <c r="B38" i="59"/>
  <c r="S38" i="59"/>
  <c r="E37" i="59"/>
  <c r="E38" i="59"/>
  <c r="U38" i="59"/>
  <c r="S54" i="59"/>
  <c r="Z24" i="59"/>
  <c r="AA25" i="59"/>
  <c r="F21" i="59"/>
  <c r="F22" i="59"/>
  <c r="V22" i="59"/>
  <c r="F29" i="59"/>
  <c r="F30" i="59"/>
  <c r="V30" i="59"/>
  <c r="F33" i="59"/>
  <c r="F34" i="59"/>
  <c r="V34" i="59"/>
  <c r="F41" i="59"/>
  <c r="F42" i="59"/>
  <c r="V42" i="59"/>
  <c r="F45" i="59"/>
  <c r="F46" i="59"/>
  <c r="V46" i="59"/>
  <c r="F49" i="59"/>
  <c r="F50" i="59"/>
  <c r="V50" i="59"/>
  <c r="D16" i="59"/>
  <c r="C25" i="59"/>
  <c r="D24" i="59"/>
  <c r="D28" i="59"/>
  <c r="C33" i="59"/>
  <c r="D33" i="59"/>
  <c r="D32" i="59"/>
  <c r="C37" i="59"/>
  <c r="C38" i="59"/>
  <c r="D36" i="59"/>
  <c r="C41" i="59"/>
  <c r="C42" i="59"/>
  <c r="C45" i="59"/>
  <c r="D45" i="59"/>
  <c r="D44" i="59"/>
  <c r="C49" i="59"/>
  <c r="C50" i="59"/>
  <c r="E52" i="59"/>
  <c r="P51" i="59"/>
  <c r="N53" i="59"/>
  <c r="B52" i="59"/>
  <c r="N51" i="59"/>
  <c r="Q53" i="59"/>
  <c r="T54" i="59"/>
  <c r="O54" i="59"/>
  <c r="D54" i="59"/>
  <c r="C53" i="59"/>
  <c r="P54" i="59"/>
  <c r="U54" i="59"/>
  <c r="Q54" i="59"/>
  <c r="C57" i="59"/>
  <c r="E57" i="59"/>
  <c r="E56" i="59"/>
  <c r="D58" i="59"/>
  <c r="C61" i="59"/>
  <c r="E61" i="59"/>
  <c r="E60" i="59"/>
  <c r="D62" i="59"/>
  <c r="C65" i="59"/>
  <c r="E65" i="59"/>
  <c r="E64" i="59"/>
  <c r="D66" i="59"/>
  <c r="C69" i="59"/>
  <c r="C73" i="59"/>
  <c r="D73" i="59"/>
  <c r="U16" i="4"/>
  <c r="S16" i="4"/>
  <c r="Q16" i="4"/>
  <c r="O16" i="4"/>
  <c r="N16" i="4"/>
  <c r="M16" i="4"/>
  <c r="K16" i="4"/>
  <c r="L16" i="4"/>
  <c r="K17" i="4"/>
  <c r="A22" i="51"/>
  <c r="B16" i="63"/>
  <c r="P52" i="59"/>
  <c r="C72" i="59"/>
  <c r="D72" i="59"/>
  <c r="D65" i="59"/>
  <c r="C64" i="59"/>
  <c r="D64" i="59"/>
  <c r="D57" i="59"/>
  <c r="C56" i="59"/>
  <c r="D56" i="59"/>
  <c r="C52" i="59"/>
  <c r="O52" i="59"/>
  <c r="O53" i="59"/>
  <c r="D53" i="59"/>
  <c r="D69" i="59"/>
  <c r="C68" i="59"/>
  <c r="D68" i="59"/>
  <c r="D61" i="59"/>
  <c r="C60" i="59"/>
  <c r="D60" i="59"/>
  <c r="N52" i="59"/>
  <c r="D49" i="59"/>
  <c r="C46" i="59"/>
  <c r="T46" i="59"/>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Z21" i="33"/>
  <c r="Q21" i="33"/>
  <c r="C21" i="33"/>
  <c r="D83" i="33"/>
  <c r="E83" i="33"/>
  <c r="F83" i="33"/>
  <c r="G83" i="33"/>
  <c r="Q21" i="21"/>
  <c r="Z21" i="21"/>
  <c r="D83" i="21"/>
  <c r="E83" i="21"/>
  <c r="F21" i="21"/>
  <c r="AA21" i="21"/>
  <c r="C21" i="21"/>
  <c r="Q27" i="40"/>
  <c r="Z27" i="40"/>
  <c r="D96" i="40"/>
  <c r="E96" i="40"/>
  <c r="F27" i="40"/>
  <c r="AA27" i="40"/>
  <c r="Z31" i="39"/>
  <c r="Q31" i="39"/>
  <c r="D105" i="39"/>
  <c r="E105" i="39"/>
  <c r="F105" i="39"/>
  <c r="F31" i="39"/>
  <c r="AA31" i="39"/>
  <c r="G20" i="20"/>
  <c r="B85" i="46"/>
  <c r="C22" i="20"/>
  <c r="B65" i="46"/>
  <c r="S18" i="36"/>
  <c r="S18" i="35"/>
  <c r="S21" i="37"/>
  <c r="S21" i="34"/>
  <c r="S21" i="21"/>
  <c r="S31" i="39"/>
  <c r="C31" i="39"/>
  <c r="B74" i="46"/>
  <c r="E66" i="36"/>
  <c r="H18" i="35"/>
  <c r="J18" i="35"/>
  <c r="H21" i="37"/>
  <c r="J21" i="37"/>
  <c r="E84" i="34"/>
  <c r="F84" i="34"/>
  <c r="G84" i="34"/>
  <c r="J21" i="34"/>
  <c r="H21" i="34"/>
  <c r="F21" i="33"/>
  <c r="H21" i="33"/>
  <c r="J21" i="33"/>
  <c r="F83" i="21"/>
  <c r="H21" i="21"/>
  <c r="G83" i="21"/>
  <c r="J21" i="21"/>
  <c r="F96" i="40"/>
  <c r="H27" i="40"/>
  <c r="H31" i="39"/>
  <c r="F23" i="15"/>
  <c r="D22" i="15"/>
  <c r="G17" i="11"/>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R10" i="1"/>
  <c r="A11" i="1"/>
  <c r="A6" i="1"/>
  <c r="T4"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T16" i="4"/>
  <c r="D14" i="4"/>
  <c r="M4" i="9"/>
  <c r="L4" i="9"/>
  <c r="G36" i="4"/>
  <c r="K2" i="54"/>
  <c r="B23" i="63"/>
  <c r="A3" i="51"/>
  <c r="R41" i="4"/>
  <c r="T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M43"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F79" i="21"/>
  <c r="G79" i="21"/>
  <c r="D85" i="21"/>
  <c r="E85" i="21"/>
  <c r="F85" i="21"/>
  <c r="G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F43" i="21"/>
  <c r="S43" i="21"/>
  <c r="H38" i="21"/>
  <c r="AB38" i="21"/>
  <c r="H43" i="21"/>
  <c r="AB43" i="21"/>
  <c r="F38" i="21"/>
  <c r="S38" i="21"/>
  <c r="S36" i="21"/>
  <c r="F39" i="21"/>
  <c r="AA39" i="21"/>
  <c r="J40" i="21"/>
  <c r="W40" i="21"/>
  <c r="H35" i="21"/>
  <c r="AB35" i="21"/>
  <c r="J8" i="21"/>
  <c r="AC8" i="21"/>
  <c r="J9" i="21"/>
  <c r="AC9" i="21"/>
  <c r="H8" i="21"/>
  <c r="H9" i="21"/>
  <c r="AB9" i="21"/>
  <c r="H10" i="21"/>
  <c r="U10" i="21"/>
  <c r="H39" i="21"/>
  <c r="AB39" i="21"/>
  <c r="W34" i="21"/>
  <c r="U36" i="21"/>
  <c r="F35" i="21"/>
  <c r="AA35" i="21"/>
  <c r="W33" i="21"/>
  <c r="U33" i="21"/>
  <c r="S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H39" i="37"/>
  <c r="AB39" i="37"/>
  <c r="AB27" i="35"/>
  <c r="S10" i="40"/>
  <c r="W10" i="40"/>
  <c r="S11" i="40"/>
  <c r="U11" i="40"/>
  <c r="S36" i="40"/>
  <c r="U36" i="40"/>
  <c r="S40" i="39"/>
  <c r="S36" i="39"/>
  <c r="AC40" i="21"/>
  <c r="AA38" i="21"/>
  <c r="AC35" i="21"/>
  <c r="C29" i="39"/>
  <c r="C23" i="39"/>
  <c r="U36" i="39"/>
  <c r="S42" i="39"/>
  <c r="H32" i="33"/>
  <c r="AB32" i="33"/>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W42" i="21"/>
  <c r="S46" i="33"/>
  <c r="U36" i="37"/>
  <c r="AC13" i="36"/>
  <c r="AB45" i="33"/>
  <c r="AB31" i="33"/>
  <c r="AB27" i="33"/>
  <c r="AC28" i="33"/>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J57" i="39"/>
  <c r="H13" i="40"/>
  <c r="U13" i="40"/>
  <c r="H12" i="48"/>
  <c r="I4" i="4"/>
  <c r="K141" i="21"/>
  <c r="K143" i="21"/>
  <c r="K144" i="21"/>
  <c r="I59" i="40"/>
  <c r="C59" i="40"/>
  <c r="I60" i="40"/>
  <c r="C60" i="40"/>
  <c r="H7" i="48"/>
  <c r="H113" i="46"/>
  <c r="F33" i="46"/>
  <c r="F37"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F13" i="39"/>
  <c r="AA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U39"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U42" i="40"/>
  <c r="H40" i="40"/>
  <c r="U40" i="40"/>
  <c r="H34" i="40"/>
  <c r="U34" i="40"/>
  <c r="B41" i="1"/>
  <c r="F34" i="44"/>
  <c r="J42" i="40"/>
  <c r="AC42" i="40"/>
  <c r="J40" i="40"/>
  <c r="AC40" i="40"/>
  <c r="J34" i="40"/>
  <c r="AC34" i="40"/>
  <c r="H16" i="40"/>
  <c r="AB16" i="40"/>
  <c r="H14" i="40"/>
  <c r="U14" i="40"/>
  <c r="F32" i="40"/>
  <c r="AA32" i="40"/>
  <c r="M1" i="46"/>
  <c r="M6" i="46"/>
  <c r="M10" i="46"/>
  <c r="N2" i="46"/>
  <c r="N5" i="46"/>
  <c r="F58" i="46"/>
  <c r="H61" i="46"/>
  <c r="F47" i="46"/>
  <c r="H49" i="46"/>
  <c r="N7" i="46"/>
  <c r="M7" i="46"/>
  <c r="M11" i="46"/>
  <c r="N3" i="46"/>
  <c r="N6" i="46"/>
  <c r="N10" i="46"/>
  <c r="F69" i="46"/>
  <c r="H71" i="46"/>
  <c r="J13" i="40"/>
  <c r="W13" i="40"/>
  <c r="AB14" i="40"/>
  <c r="W40" i="40"/>
  <c r="F27" i="43"/>
  <c r="F72" i="9"/>
  <c r="W35" i="40"/>
  <c r="AB32" i="40"/>
  <c r="AC47" i="39"/>
  <c r="S47" i="39"/>
  <c r="U37" i="34"/>
  <c r="AC41" i="40"/>
  <c r="W41" i="40"/>
  <c r="U41" i="40"/>
  <c r="J23" i="40"/>
  <c r="AC23" i="40"/>
  <c r="F23" i="40"/>
  <c r="S23" i="40"/>
  <c r="AC15" i="40"/>
  <c r="AB16" i="39"/>
  <c r="W14" i="39"/>
  <c r="U23" i="35"/>
  <c r="AB23" i="35"/>
  <c r="H20" i="35"/>
  <c r="U20" i="35"/>
  <c r="F20" i="35"/>
  <c r="S20" i="35"/>
  <c r="H15" i="34"/>
  <c r="AB15" i="34"/>
  <c r="J15" i="34"/>
  <c r="H41" i="33"/>
  <c r="U41" i="33"/>
  <c r="F121" i="33"/>
  <c r="G121" i="33"/>
  <c r="H121" i="33"/>
  <c r="I121" i="33"/>
  <c r="J121" i="33"/>
  <c r="K121" i="33"/>
  <c r="L121" i="33"/>
  <c r="M121" i="33"/>
  <c r="F30" i="40"/>
  <c r="AA30" i="40"/>
  <c r="H100" i="40"/>
  <c r="I100" i="40"/>
  <c r="J100" i="40"/>
  <c r="K100" i="40"/>
  <c r="L100" i="40"/>
  <c r="M100" i="40"/>
  <c r="AB38" i="34"/>
  <c r="AB37" i="39"/>
  <c r="AA29" i="35"/>
  <c r="J29" i="39"/>
  <c r="AC29" i="39"/>
  <c r="AB21" i="39"/>
  <c r="U21" i="39"/>
  <c r="AB33" i="36"/>
  <c r="AA11" i="36"/>
  <c r="AA14" i="35"/>
  <c r="S14" i="35"/>
  <c r="G99" i="37"/>
  <c r="F33" i="37"/>
  <c r="AA33" i="37"/>
  <c r="AB19" i="39"/>
  <c r="U19" i="39"/>
  <c r="U46" i="34"/>
  <c r="AC30" i="34"/>
  <c r="AA14" i="34"/>
  <c r="W12" i="34"/>
  <c r="U29" i="33"/>
  <c r="AC13" i="33"/>
  <c r="U17" i="34"/>
  <c r="AA11" i="34"/>
  <c r="W32" i="33"/>
  <c r="H15" i="33"/>
  <c r="U15" i="33"/>
  <c r="AA11" i="33"/>
  <c r="AA40" i="21"/>
  <c r="U16" i="40"/>
  <c r="W34" i="40"/>
  <c r="AB34" i="40"/>
  <c r="AB42" i="40"/>
  <c r="AC16" i="40"/>
  <c r="H25" i="40"/>
  <c r="AB25" i="40"/>
  <c r="F94" i="40"/>
  <c r="G94" i="40"/>
  <c r="U47" i="39"/>
  <c r="W15" i="39"/>
  <c r="J37" i="34"/>
  <c r="AC37" i="34"/>
  <c r="J36" i="33"/>
  <c r="W36" i="33"/>
  <c r="S41" i="40"/>
  <c r="AB23" i="40"/>
  <c r="H23" i="39"/>
  <c r="AB23" i="39"/>
  <c r="J23" i="39"/>
  <c r="AC23" i="39"/>
  <c r="F97" i="39"/>
  <c r="G97" i="39"/>
  <c r="S16" i="39"/>
  <c r="S15" i="34"/>
  <c r="AA15" i="34"/>
  <c r="AA41" i="33"/>
  <c r="F106" i="33"/>
  <c r="G106" i="33"/>
  <c r="H106" i="33"/>
  <c r="I106" i="33"/>
  <c r="J106" i="33"/>
  <c r="K106" i="33"/>
  <c r="L106" i="33"/>
  <c r="M106" i="33"/>
  <c r="J34" i="33"/>
  <c r="AC34" i="33"/>
  <c r="U30" i="40"/>
  <c r="AA37" i="39"/>
  <c r="W29" i="35"/>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D73" i="9"/>
  <c r="N73" i="9"/>
  <c r="AP11" i="1"/>
  <c r="B11" i="1"/>
  <c r="E11" i="1"/>
  <c r="K11" i="1"/>
  <c r="M11" i="1"/>
  <c r="B9" i="1"/>
  <c r="E9" i="1"/>
  <c r="K9" i="1"/>
  <c r="M9" i="1"/>
  <c r="B7" i="1"/>
  <c r="E7" i="1"/>
  <c r="K7" i="1"/>
  <c r="M7" i="1"/>
  <c r="C20" i="43"/>
  <c r="F6" i="1"/>
  <c r="AP6" i="1"/>
  <c r="G11" i="1"/>
  <c r="M22" i="44"/>
  <c r="F32" i="15"/>
  <c r="F59" i="15"/>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c r="J23" i="34"/>
  <c r="F86" i="34"/>
  <c r="G86" i="34"/>
  <c r="F23" i="34"/>
  <c r="S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c r="F87" i="33"/>
  <c r="G87" i="33"/>
  <c r="H87" i="33"/>
  <c r="I87" i="33"/>
  <c r="J87" i="33"/>
  <c r="K87" i="33"/>
  <c r="L87" i="33"/>
  <c r="M87" i="33"/>
  <c r="F25" i="33"/>
  <c r="S25" i="33"/>
  <c r="F85" i="33"/>
  <c r="G85" i="33"/>
  <c r="J23" i="33"/>
  <c r="F23" i="33"/>
  <c r="AA23" i="33"/>
  <c r="H23" i="33"/>
  <c r="U19" i="33"/>
  <c r="F79" i="33"/>
  <c r="G79" i="33"/>
  <c r="F17" i="33"/>
  <c r="H17" i="33"/>
  <c r="AB17" i="33"/>
  <c r="J17" i="33"/>
  <c r="AB15" i="33"/>
  <c r="AC11" i="33"/>
  <c r="S10" i="33"/>
  <c r="S14" i="33"/>
  <c r="W10" i="33"/>
  <c r="AC21" i="33"/>
  <c r="W21" i="33"/>
  <c r="W14" i="33"/>
  <c r="AB10" i="33"/>
  <c r="AB21" i="33"/>
  <c r="U21" i="33"/>
  <c r="AA21" i="33"/>
  <c r="S21" i="33"/>
  <c r="AA44" i="33"/>
  <c r="AA36" i="33"/>
  <c r="S44" i="21"/>
  <c r="W39" i="21"/>
  <c r="W32" i="21"/>
  <c r="U35" i="21"/>
  <c r="W43" i="21"/>
  <c r="S42" i="21"/>
  <c r="W28" i="21"/>
  <c r="AC46" i="21"/>
  <c r="AC26" i="21"/>
  <c r="J23" i="21"/>
  <c r="W23" i="21"/>
  <c r="F23" i="21"/>
  <c r="S23" i="21"/>
  <c r="H23" i="21"/>
  <c r="AB23" i="21"/>
  <c r="F15" i="21"/>
  <c r="S15" i="21"/>
  <c r="F77" i="21"/>
  <c r="G77" i="21"/>
  <c r="J15" i="21"/>
  <c r="W15" i="21"/>
  <c r="H15" i="21"/>
  <c r="AB15" i="2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S37" i="40"/>
  <c r="J37" i="40"/>
  <c r="AC37" i="40"/>
  <c r="H37" i="40"/>
  <c r="G113" i="40"/>
  <c r="H113" i="40"/>
  <c r="I113" i="40"/>
  <c r="J113" i="40"/>
  <c r="K113" i="40"/>
  <c r="L113" i="40"/>
  <c r="M113" i="40"/>
  <c r="F39" i="40"/>
  <c r="S38" i="40"/>
  <c r="H39" i="40"/>
  <c r="J39" i="40"/>
  <c r="W39" i="40"/>
  <c r="W38" i="40"/>
  <c r="F29" i="40"/>
  <c r="S29" i="40"/>
  <c r="H29" i="40"/>
  <c r="J29" i="40"/>
  <c r="W29" i="40"/>
  <c r="F98" i="40"/>
  <c r="G98" i="40"/>
  <c r="H98" i="40"/>
  <c r="I98" i="40"/>
  <c r="J98" i="40"/>
  <c r="K98" i="40"/>
  <c r="L98" i="40"/>
  <c r="M98" i="40"/>
  <c r="S30" i="40"/>
  <c r="S25" i="40"/>
  <c r="AA23" i="40"/>
  <c r="F88" i="40"/>
  <c r="G88" i="40"/>
  <c r="F19" i="40"/>
  <c r="S19" i="40"/>
  <c r="H19" i="40"/>
  <c r="J19" i="40"/>
  <c r="AC19" i="40"/>
  <c r="W17" i="40"/>
  <c r="AC17" i="40"/>
  <c r="F17" i="40"/>
  <c r="AA17" i="40"/>
  <c r="H17" i="40"/>
  <c r="AB17" i="40"/>
  <c r="W21" i="40"/>
  <c r="AB40" i="40"/>
  <c r="U10" i="40"/>
  <c r="U27" i="40"/>
  <c r="AB27" i="40"/>
  <c r="AC44" i="39"/>
  <c r="S11" i="39"/>
  <c r="AB45" i="39"/>
  <c r="AA21" i="39"/>
  <c r="AC38" i="39"/>
  <c r="S14" i="39"/>
  <c r="AB15" i="39"/>
  <c r="U11" i="39"/>
  <c r="U41" i="39"/>
  <c r="AB38" i="39"/>
  <c r="U31" i="39"/>
  <c r="AB31" i="39"/>
  <c r="S38" i="39"/>
  <c r="S22" i="31"/>
  <c r="R22" i="31"/>
  <c r="D18" i="9"/>
  <c r="M44" i="9"/>
  <c r="M20" i="15"/>
  <c r="D96" i="9"/>
  <c r="F28" i="15"/>
  <c r="M18" i="15"/>
  <c r="A18" i="64"/>
  <c r="B74" i="63"/>
  <c r="C53" i="10"/>
  <c r="A25" i="64"/>
  <c r="A18" i="51"/>
  <c r="B14" i="63"/>
  <c r="F3" i="35"/>
  <c r="K1" i="43"/>
  <c r="K1" i="12"/>
  <c r="G1" i="44"/>
  <c r="I4" i="6"/>
  <c r="G3" i="46"/>
  <c r="E8" i="6"/>
  <c r="G28" i="6"/>
  <c r="F29" i="6"/>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C51" i="10"/>
  <c r="A9" i="64"/>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B46" i="50"/>
  <c r="B4" i="63"/>
  <c r="C46" i="36"/>
  <c r="C59" i="34"/>
  <c r="C48" i="35"/>
  <c r="D48" i="35"/>
  <c r="C52" i="37"/>
  <c r="D52" i="37"/>
  <c r="J7" i="33"/>
  <c r="AC7" i="33"/>
  <c r="V48" i="33"/>
  <c r="I48" i="33"/>
  <c r="I52" i="33"/>
  <c r="J52" i="33"/>
  <c r="C72" i="39"/>
  <c r="O19" i="4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c r="W37" i="40"/>
  <c r="S17" i="40"/>
  <c r="W30" i="40"/>
  <c r="S34" i="40"/>
  <c r="U17" i="40"/>
  <c r="U38" i="40"/>
  <c r="S40" i="40"/>
  <c r="S42" i="40"/>
  <c r="G105" i="39"/>
  <c r="J31" i="39"/>
  <c r="AC31" i="39"/>
  <c r="S45" i="39"/>
  <c r="W41" i="39"/>
  <c r="AB43" i="39"/>
  <c r="AB33" i="39"/>
  <c r="AC46"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B20" i="31"/>
  <c r="B21" i="31"/>
  <c r="E58" i="39"/>
  <c r="E53" i="40"/>
  <c r="F27" i="6"/>
  <c r="AT6" i="3"/>
  <c r="E27" i="6"/>
  <c r="G29" i="6"/>
  <c r="E29" i="6"/>
  <c r="K15" i="1"/>
  <c r="D72" i="39"/>
  <c r="W7" i="33"/>
  <c r="E4" i="4"/>
  <c r="C4" i="4"/>
  <c r="B20" i="55"/>
  <c r="B70" i="63"/>
  <c r="G66" i="36"/>
  <c r="J18" i="36"/>
  <c r="AC18" i="36"/>
  <c r="AE8" i="1"/>
  <c r="AE7" i="1"/>
  <c r="AE6" i="1"/>
  <c r="AG6" i="1"/>
  <c r="D12" i="11"/>
  <c r="C12" i="11"/>
  <c r="L20" i="6"/>
  <c r="B21" i="55"/>
  <c r="B72" i="63"/>
  <c r="F7" i="21"/>
  <c r="AA7" i="21"/>
  <c r="J7" i="21"/>
  <c r="AC7" i="21"/>
  <c r="H7" i="21"/>
  <c r="AB7" i="21"/>
  <c r="E72" i="39"/>
  <c r="F70" i="39"/>
  <c r="F72" i="39"/>
  <c r="S7" i="1"/>
  <c r="S8" i="1"/>
  <c r="S9" i="1"/>
  <c r="G70" i="39"/>
  <c r="H70" i="39"/>
  <c r="R9" i="1"/>
  <c r="R7" i="1"/>
  <c r="R8" i="1"/>
  <c r="C45" i="9"/>
  <c r="H14" i="66"/>
  <c r="B7" i="66"/>
  <c r="N76" i="9"/>
  <c r="C46" i="9"/>
  <c r="K33" i="9"/>
  <c r="M30" i="44"/>
  <c r="M23" i="15"/>
  <c r="B14" i="67"/>
  <c r="F8" i="44"/>
  <c r="E14" i="67"/>
  <c r="F12" i="67"/>
  <c r="M26" i="15"/>
  <c r="J36" i="15"/>
  <c r="M29" i="15"/>
  <c r="K12" i="1"/>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M28" i="44"/>
  <c r="B12" i="67"/>
  <c r="N3" i="65"/>
  <c r="J15" i="15"/>
  <c r="F46" i="44"/>
  <c r="F9" i="15"/>
  <c r="M21" i="15"/>
  <c r="M9" i="15"/>
  <c r="E12" i="67"/>
  <c r="F10" i="44"/>
  <c r="F7" i="15"/>
  <c r="F43" i="15"/>
  <c r="M8" i="44"/>
  <c r="M31" i="44"/>
  <c r="L48" i="44"/>
  <c r="F13" i="15"/>
  <c r="M22" i="15"/>
  <c r="M26" i="44"/>
  <c r="F14" i="67"/>
  <c r="L49" i="44"/>
  <c r="F36" i="15"/>
  <c r="N4" i="65"/>
  <c r="J17" i="44"/>
  <c r="E8" i="67"/>
  <c r="F13" i="67"/>
  <c r="B10" i="67"/>
  <c r="B4" i="39"/>
  <c r="C21" i="9"/>
  <c r="F11" i="44"/>
  <c r="F39" i="44"/>
  <c r="N5" i="65"/>
  <c r="F9" i="67"/>
  <c r="E28" i="6"/>
  <c r="K19" i="6"/>
  <c r="S6" i="1"/>
  <c r="C19" i="44"/>
  <c r="F45" i="44"/>
  <c r="F42" i="15"/>
  <c r="L48" i="15"/>
  <c r="F35" i="15"/>
  <c r="E10" i="67"/>
  <c r="F43" i="44"/>
  <c r="F41" i="15"/>
  <c r="F38" i="44"/>
  <c r="F26" i="15"/>
  <c r="M10" i="44"/>
  <c r="D19" i="6"/>
  <c r="L19" i="6"/>
  <c r="M19" i="6"/>
  <c r="I19" i="6"/>
  <c r="H19" i="6"/>
  <c r="R19" i="6"/>
  <c r="R6" i="1"/>
  <c r="M23" i="44"/>
  <c r="M28" i="15"/>
  <c r="L47" i="15"/>
  <c r="F28" i="44"/>
  <c r="N6" i="65"/>
  <c r="M27" i="15"/>
  <c r="F10" i="67"/>
  <c r="E11" i="67"/>
  <c r="B3" i="39"/>
  <c r="C20" i="9"/>
  <c r="B9" i="67"/>
  <c r="F16" i="15"/>
  <c r="M29" i="44"/>
  <c r="E13" i="67"/>
  <c r="F40" i="15"/>
  <c r="B13" i="67"/>
  <c r="M11" i="44"/>
  <c r="F37" i="44"/>
  <c r="F8" i="15"/>
  <c r="M8" i="15"/>
  <c r="B11" i="67"/>
  <c r="F15" i="44"/>
  <c r="M24" i="44"/>
  <c r="M24" i="15"/>
  <c r="F11" i="67"/>
  <c r="B8" i="67"/>
  <c r="E9" i="67"/>
  <c r="F6" i="15"/>
  <c r="M6" i="15"/>
  <c r="F8" i="67"/>
  <c r="F40" i="44"/>
  <c r="M25" i="44"/>
  <c r="F37" i="15"/>
  <c r="N7" i="65"/>
  <c r="F9" i="44"/>
  <c r="F18" i="44"/>
  <c r="F38" i="15"/>
  <c r="H113" i="21"/>
  <c r="J37" i="21"/>
  <c r="H37" i="21"/>
  <c r="F37" i="21"/>
  <c r="F69" i="21"/>
  <c r="G69" i="21"/>
  <c r="H69" i="21"/>
  <c r="H11" i="21"/>
  <c r="U11" i="21"/>
  <c r="AB11" i="21"/>
  <c r="G48" i="21"/>
  <c r="S8" i="21"/>
  <c r="AA15" i="21"/>
  <c r="U15" i="21"/>
  <c r="U23" i="21"/>
  <c r="AA23" i="21"/>
  <c r="S19" i="21"/>
  <c r="AC19" i="21"/>
  <c r="W17" i="21"/>
  <c r="AA17" i="21"/>
  <c r="U17" i="21"/>
  <c r="AC15" i="21"/>
  <c r="W9" i="21"/>
  <c r="U9" i="21"/>
  <c r="S13" i="39"/>
  <c r="J13" i="39"/>
  <c r="H13" i="39"/>
  <c r="AB13" i="39"/>
  <c r="S33" i="39"/>
  <c r="S29" i="39"/>
  <c r="U27" i="39"/>
  <c r="S27" i="39"/>
  <c r="AA19" i="39"/>
  <c r="AB17" i="39"/>
  <c r="S17" i="39"/>
  <c r="U13" i="39"/>
  <c r="W29" i="39"/>
  <c r="U23" i="39"/>
  <c r="AC19" i="39"/>
  <c r="AC33" i="39"/>
  <c r="W31" i="39"/>
  <c r="AB29" i="39"/>
  <c r="W27" i="39"/>
  <c r="W25" i="39"/>
  <c r="S25" i="39"/>
  <c r="AB25" i="39"/>
  <c r="W23" i="39"/>
  <c r="S23" i="39"/>
  <c r="AC21" i="39"/>
  <c r="AC17" i="39"/>
  <c r="U34" i="39"/>
  <c r="W34" i="39"/>
  <c r="S34" i="39"/>
  <c r="D23" i="15"/>
  <c r="L27" i="6"/>
  <c r="E411" i="3"/>
  <c r="A3" i="55"/>
  <c r="B56" i="63"/>
  <c r="A25" i="51"/>
  <c r="B18" i="63"/>
  <c r="A11" i="55"/>
  <c r="B62" i="63"/>
  <c r="A9" i="51"/>
  <c r="B9" i="63"/>
  <c r="A4" i="64"/>
  <c r="A4" i="51"/>
  <c r="B6" i="63"/>
  <c r="B21" i="63"/>
  <c r="C67" i="40"/>
  <c r="D65" i="40"/>
  <c r="G72" i="39"/>
  <c r="W8" i="21"/>
  <c r="U7" i="21"/>
  <c r="S7" i="21"/>
  <c r="O41" i="9"/>
  <c r="R8" i="54"/>
  <c r="B54" i="63"/>
  <c r="W18" i="36"/>
  <c r="AB25" i="33"/>
  <c r="U25" i="33"/>
  <c r="S9" i="21"/>
  <c r="AA9" i="21"/>
  <c r="AA9" i="33"/>
  <c r="S9" i="33"/>
  <c r="I14" i="66"/>
  <c r="B8" i="66"/>
  <c r="O40" i="9"/>
  <c r="A17" i="64"/>
  <c r="A17" i="51"/>
  <c r="B13" i="6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W34" i="33"/>
  <c r="W37" i="34"/>
  <c r="AA27" i="34"/>
  <c r="AA32" i="37"/>
  <c r="F30" i="44"/>
  <c r="M20" i="44"/>
  <c r="F70" i="9"/>
  <c r="AA34" i="33"/>
  <c r="W32" i="40"/>
  <c r="U39" i="39"/>
  <c r="S33" i="40"/>
  <c r="AC14" i="40"/>
  <c r="F71" i="9"/>
  <c r="F66" i="9"/>
  <c r="P72" i="9"/>
  <c r="S10" i="35"/>
  <c r="S27" i="37"/>
  <c r="AC41" i="34"/>
  <c r="U28" i="21"/>
  <c r="S45" i="21"/>
  <c r="AA27" i="33"/>
  <c r="W31" i="34"/>
  <c r="AB14" i="21"/>
  <c r="U46" i="21"/>
  <c r="AB13" i="21"/>
  <c r="AB40" i="37"/>
  <c r="W46" i="33"/>
  <c r="W35" i="35"/>
  <c r="S22" i="35"/>
  <c r="J9" i="33"/>
  <c r="H9" i="33"/>
  <c r="A30" i="51"/>
  <c r="B22" i="63"/>
  <c r="A30" i="64"/>
  <c r="F9" i="36"/>
  <c r="H9" i="36"/>
  <c r="H24" i="36"/>
  <c r="R12" i="1"/>
  <c r="Q16" i="1"/>
  <c r="D1" i="57"/>
  <c r="E10" i="57"/>
  <c r="I21" i="57"/>
  <c r="T50" i="59"/>
  <c r="D50" i="59"/>
  <c r="C30" i="59"/>
  <c r="D29" i="59"/>
  <c r="T42" i="59"/>
  <c r="D42" i="59"/>
  <c r="T38" i="59"/>
  <c r="D38" i="59"/>
  <c r="B54" i="46"/>
  <c r="C27" i="40"/>
  <c r="S27" i="40"/>
  <c r="AB15" i="59"/>
  <c r="F16" i="59"/>
  <c r="F17" i="59"/>
  <c r="F18" i="59"/>
  <c r="V18" i="59"/>
  <c r="X19" i="59"/>
  <c r="B20" i="59"/>
  <c r="B21" i="59"/>
  <c r="B22" i="59"/>
  <c r="S22" i="59"/>
  <c r="X11" i="59"/>
  <c r="X13" i="59"/>
  <c r="AB23" i="59"/>
  <c r="F24" i="59"/>
  <c r="F25" i="59"/>
  <c r="F26" i="59"/>
  <c r="V26" i="59"/>
  <c r="O51" i="59"/>
  <c r="C17" i="59"/>
  <c r="AB12" i="59"/>
  <c r="AB3" i="59"/>
  <c r="Y3" i="59"/>
  <c r="Z3" i="59"/>
  <c r="Y14" i="59"/>
  <c r="Z14" i="59"/>
  <c r="Y12" i="59"/>
  <c r="Z12" i="59"/>
  <c r="X14" i="59"/>
  <c r="X3" i="59"/>
  <c r="AA15" i="59"/>
  <c r="AA3" i="59"/>
  <c r="AA12" i="59"/>
  <c r="AA14" i="59"/>
  <c r="Y19" i="59"/>
  <c r="Z19" i="59"/>
  <c r="C20" i="59"/>
  <c r="AA23" i="59"/>
  <c r="E24" i="59"/>
  <c r="E25" i="59"/>
  <c r="E26" i="59"/>
  <c r="U26" i="59"/>
  <c r="X15" i="59"/>
  <c r="Y15" i="59"/>
  <c r="Z15" i="59"/>
  <c r="X16" i="59"/>
  <c r="AA16" i="59"/>
  <c r="X17" i="59"/>
  <c r="AA17" i="59"/>
  <c r="X18" i="59"/>
  <c r="AA18" i="59"/>
  <c r="AA19" i="59"/>
  <c r="AB19" i="59"/>
  <c r="Y20" i="59"/>
  <c r="Z20" i="59"/>
  <c r="AB20" i="59"/>
  <c r="Y21" i="59"/>
  <c r="Z21" i="59"/>
  <c r="AB21" i="59"/>
  <c r="Y22" i="59"/>
  <c r="Z22" i="59"/>
  <c r="AB22" i="59"/>
  <c r="X23" i="59"/>
  <c r="Y23" i="59"/>
  <c r="Z23" i="59"/>
  <c r="X24" i="59"/>
  <c r="AA24" i="59"/>
  <c r="Q51" i="59"/>
  <c r="Y10" i="59"/>
  <c r="Z10" i="59"/>
  <c r="AB10" i="59"/>
  <c r="C8" i="59"/>
  <c r="D8" i="59"/>
  <c r="D9" i="59"/>
  <c r="E5" i="59"/>
  <c r="U6" i="59"/>
  <c r="X9" i="59"/>
  <c r="Y8" i="59"/>
  <c r="Z8" i="59"/>
  <c r="AB8" i="59"/>
  <c r="X8" i="59"/>
  <c r="X7" i="59"/>
  <c r="AA7" i="59"/>
  <c r="S14" i="59"/>
  <c r="B13" i="59"/>
  <c r="B12" i="59"/>
  <c r="U14" i="59"/>
  <c r="E13" i="59"/>
  <c r="E12" i="59"/>
  <c r="A28" i="64"/>
  <c r="F5" i="59"/>
  <c r="V6" i="59"/>
  <c r="AA8" i="59"/>
  <c r="Y7" i="59"/>
  <c r="Z7" i="59"/>
  <c r="AB7" i="59"/>
  <c r="AB5" i="59"/>
  <c r="V10" i="59"/>
  <c r="K76" i="9"/>
  <c r="K77" i="9"/>
  <c r="K79" i="9"/>
  <c r="K81" i="9"/>
  <c r="C14" i="59"/>
  <c r="AA10" i="59"/>
  <c r="X10" i="59"/>
  <c r="Y9" i="59"/>
  <c r="Z9" i="59"/>
  <c r="AA9" i="59"/>
  <c r="AB9" i="59"/>
  <c r="X6" i="59"/>
  <c r="AA6" i="59"/>
  <c r="AA5" i="59"/>
  <c r="F14" i="59"/>
  <c r="Y6" i="59"/>
  <c r="Z6" i="59"/>
  <c r="AB6" i="59"/>
  <c r="X5" i="59"/>
  <c r="Y5" i="59"/>
  <c r="Z5" i="59"/>
  <c r="E14" i="52"/>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H1" i="65"/>
  <c r="W7" i="21"/>
  <c r="F31" i="6"/>
  <c r="H51" i="46"/>
  <c r="X7" i="46"/>
  <c r="E17" i="46"/>
  <c r="N17" i="46"/>
  <c r="O17" i="46"/>
  <c r="M17" i="46"/>
  <c r="L17" i="46"/>
  <c r="H22" i="46"/>
  <c r="Y11" i="46"/>
  <c r="Y13" i="46"/>
  <c r="H101" i="46"/>
  <c r="H102" i="46"/>
  <c r="G22" i="46"/>
  <c r="J22" i="46"/>
  <c r="F101" i="46"/>
  <c r="F106" i="46"/>
  <c r="D101" i="46"/>
  <c r="D106" i="46"/>
  <c r="O7" i="1"/>
  <c r="P7" i="1"/>
  <c r="O11" i="1"/>
  <c r="P11" i="1"/>
  <c r="O13" i="1"/>
  <c r="P13" i="1"/>
  <c r="O9" i="1"/>
  <c r="P9" i="1"/>
  <c r="E10" i="6"/>
  <c r="AP7" i="1"/>
  <c r="G13" i="1"/>
  <c r="I70" i="39"/>
  <c r="H72" i="39"/>
  <c r="E52" i="37"/>
  <c r="D46" i="36"/>
  <c r="AP16" i="1"/>
  <c r="F22" i="11"/>
  <c r="E48" i="35"/>
  <c r="D59" i="34"/>
  <c r="G6" i="1"/>
  <c r="H7" i="33"/>
  <c r="F7" i="33"/>
  <c r="H70" i="46"/>
  <c r="H73" i="46"/>
  <c r="H50" i="46"/>
  <c r="H48" i="46"/>
  <c r="F35" i="46"/>
  <c r="I17" i="46"/>
  <c r="G17" i="46"/>
  <c r="C16" i="46"/>
  <c r="H63" i="46"/>
  <c r="I101" i="46"/>
  <c r="I102" i="46"/>
  <c r="M101" i="46"/>
  <c r="M107" i="46"/>
  <c r="N101" i="46"/>
  <c r="N105" i="46"/>
  <c r="AC11" i="46"/>
  <c r="AC13" i="46"/>
  <c r="AD11" i="46"/>
  <c r="AJ11" i="46"/>
  <c r="H64" i="46"/>
  <c r="H66" i="46"/>
  <c r="D100" i="46"/>
  <c r="F109" i="46"/>
  <c r="H62" i="46"/>
  <c r="AF12" i="46"/>
  <c r="K100" i="46"/>
  <c r="AB12" i="46"/>
  <c r="AJ12" i="46"/>
  <c r="F102"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I106" i="46"/>
  <c r="H72" i="46"/>
  <c r="H69" i="46"/>
  <c r="H77" i="46"/>
  <c r="H76" i="46"/>
  <c r="H55" i="46"/>
  <c r="H54" i="46"/>
  <c r="H52" i="46"/>
  <c r="H47" i="46"/>
  <c r="AD12" i="46"/>
  <c r="AH12" i="46"/>
  <c r="AH13" i="46"/>
  <c r="C7" i="59"/>
  <c r="C6" i="59"/>
  <c r="T6" i="59"/>
  <c r="B6" i="52"/>
  <c r="E7" i="52"/>
  <c r="E6" i="52"/>
  <c r="E4" i="52"/>
  <c r="B7" i="52"/>
  <c r="E5" i="52"/>
  <c r="P21" i="46"/>
  <c r="B7" i="59"/>
  <c r="B6" i="59"/>
  <c r="S6"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L43" i="9"/>
  <c r="J22" i="44"/>
  <c r="Q72" i="15"/>
  <c r="Q73" i="44"/>
  <c r="F64" i="15"/>
  <c r="L60" i="44"/>
  <c r="L59" i="44"/>
  <c r="C27" i="15"/>
  <c r="F62" i="15"/>
  <c r="C61" i="15"/>
  <c r="C34" i="15"/>
  <c r="J20" i="15"/>
  <c r="F68"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F31" i="15"/>
  <c r="F33" i="44"/>
  <c r="M17" i="15"/>
  <c r="M19" i="44"/>
  <c r="F58" i="15"/>
  <c r="D21" i="12"/>
  <c r="C15" i="12"/>
  <c r="I6" i="65"/>
  <c r="J3" i="65"/>
  <c r="J6" i="65"/>
  <c r="J4" i="65"/>
  <c r="J7" i="65"/>
  <c r="C16" i="15"/>
  <c r="I5" i="65"/>
  <c r="C18" i="44"/>
  <c r="F33" i="12"/>
  <c r="I3" i="65"/>
  <c r="J5" i="65"/>
  <c r="I7" i="65"/>
  <c r="C17" i="15"/>
  <c r="I4" i="65"/>
  <c r="S37" i="21"/>
  <c r="AA37" i="21"/>
  <c r="W37" i="21"/>
  <c r="AC37" i="21"/>
  <c r="U37" i="21"/>
  <c r="AB37" i="21"/>
  <c r="G52" i="21"/>
  <c r="H52" i="21"/>
  <c r="W11" i="21"/>
  <c r="I48" i="21"/>
  <c r="I52" i="21"/>
  <c r="J52" i="21"/>
  <c r="I69" i="21"/>
  <c r="J69" i="21"/>
  <c r="K69" i="21"/>
  <c r="L69" i="21"/>
  <c r="M69" i="21"/>
  <c r="F11" i="21"/>
  <c r="C21" i="12"/>
  <c r="AC13" i="39"/>
  <c r="W13" i="39"/>
  <c r="C34" i="12"/>
  <c r="D33" i="12"/>
  <c r="M109" i="46"/>
  <c r="M103" i="46"/>
  <c r="H103" i="46"/>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F105" i="46"/>
  <c r="F104" i="46"/>
  <c r="F107" i="46"/>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156" i="3"/>
  <c r="E49" i="3"/>
  <c r="E193" i="3"/>
  <c r="E104" i="3"/>
  <c r="E534" i="3"/>
  <c r="E387" i="3"/>
  <c r="R6" i="3"/>
  <c r="E125" i="3"/>
  <c r="AH6" i="3"/>
  <c r="P6" i="3"/>
  <c r="E84" i="3"/>
  <c r="AP6" i="3"/>
  <c r="E431"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535" i="3"/>
  <c r="E381" i="3"/>
  <c r="E427" i="3"/>
  <c r="E278" i="3"/>
  <c r="E94" i="3"/>
  <c r="E376" i="3"/>
  <c r="E294" i="3"/>
  <c r="E21" i="3"/>
  <c r="E64" i="3"/>
  <c r="E140" i="3"/>
  <c r="E343" i="3"/>
  <c r="E142" i="3"/>
  <c r="E410" i="3"/>
  <c r="E468"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529"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86" i="3"/>
  <c r="E76"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K34" i="9"/>
  <c r="E65" i="40"/>
  <c r="D67" i="40"/>
  <c r="D7" i="59"/>
  <c r="D14" i="59"/>
  <c r="T14" i="59"/>
  <c r="C13" i="59"/>
  <c r="C18" i="59"/>
  <c r="D17" i="59"/>
  <c r="M12" i="1"/>
  <c r="O12" i="1"/>
  <c r="P12" i="1"/>
  <c r="H16" i="1"/>
  <c r="AB24" i="36"/>
  <c r="U24" i="36"/>
  <c r="AA9" i="36"/>
  <c r="S9" i="36"/>
  <c r="W9" i="33"/>
  <c r="AC9" i="33"/>
  <c r="F13" i="59"/>
  <c r="F12" i="59"/>
  <c r="V14" i="59"/>
  <c r="D20" i="59"/>
  <c r="C21" i="59"/>
  <c r="T30" i="59"/>
  <c r="D30" i="59"/>
  <c r="AB9" i="36"/>
  <c r="U9" i="36"/>
  <c r="AB9" i="33"/>
  <c r="U9" i="33"/>
  <c r="K31" i="9"/>
  <c r="K32" i="9"/>
  <c r="R7" i="54"/>
  <c r="B52" i="63"/>
  <c r="B5" i="59"/>
  <c r="D6" i="59"/>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1" i="40"/>
  <c r="E58" i="40"/>
  <c r="E59" i="40"/>
  <c r="E62" i="40"/>
  <c r="S16" i="1"/>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1" i="15"/>
  <c r="J10" i="15"/>
  <c r="J5" i="15"/>
  <c r="F11" i="15"/>
  <c r="M13" i="44"/>
  <c r="J12" i="44"/>
  <c r="J7" i="44"/>
  <c r="F1" i="15"/>
  <c r="Q53" i="15"/>
  <c r="Q75" i="15"/>
  <c r="Q62" i="15"/>
  <c r="Q75" i="44"/>
  <c r="Q62" i="44"/>
  <c r="E2" i="65"/>
  <c r="E3" i="65"/>
  <c r="S11" i="21"/>
  <c r="AA11" i="21"/>
  <c r="G53" i="21"/>
  <c r="H53" i="21"/>
  <c r="AC6" i="3"/>
  <c r="E6" i="3"/>
  <c r="F65" i="40"/>
  <c r="E67" i="40"/>
  <c r="O28" i="46"/>
  <c r="G20" i="46"/>
  <c r="D13" i="59"/>
  <c r="C12" i="59"/>
  <c r="D12" i="59"/>
  <c r="C22" i="59"/>
  <c r="D21" i="59"/>
  <c r="T18" i="59"/>
  <c r="D18" i="59"/>
  <c r="M28" i="46"/>
  <c r="N28" i="46"/>
  <c r="B40" i="1"/>
  <c r="F24" i="15"/>
  <c r="C24" i="15"/>
  <c r="F17" i="11"/>
  <c r="C17" i="11"/>
  <c r="C19" i="11"/>
  <c r="C20" i="11"/>
  <c r="C21" i="11"/>
  <c r="C22" i="11"/>
  <c r="C23" i="11"/>
  <c r="B2" i="11"/>
  <c r="E41" i="46"/>
  <c r="C41" i="46"/>
  <c r="C20" i="46"/>
  <c r="S5" i="46"/>
  <c r="S2" i="46"/>
  <c r="S3" i="46"/>
  <c r="S7" i="46"/>
  <c r="S6" i="46"/>
  <c r="S4" i="46"/>
  <c r="K16" i="1"/>
  <c r="M14" i="1"/>
  <c r="K27" i="6"/>
  <c r="K70" i="39"/>
  <c r="J72" i="3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J20" i="44"/>
  <c r="F21" i="43"/>
  <c r="C23" i="43"/>
  <c r="D21" i="43"/>
  <c r="C34" i="44"/>
  <c r="C40" i="44"/>
  <c r="C52" i="15"/>
  <c r="C47" i="15"/>
  <c r="C10" i="15"/>
  <c r="C5" i="15"/>
  <c r="J26" i="15"/>
  <c r="J29" i="15"/>
  <c r="J24" i="15"/>
  <c r="J18" i="15"/>
  <c r="L52" i="44"/>
  <c r="E48" i="21"/>
  <c r="F67" i="40"/>
  <c r="G65" i="40"/>
  <c r="F7" i="36"/>
  <c r="D16" i="43"/>
  <c r="C16" i="43"/>
  <c r="E6" i="6"/>
  <c r="L38" i="9"/>
  <c r="B14" i="66"/>
  <c r="B1" i="66"/>
  <c r="D45" i="9"/>
  <c r="D46" i="9"/>
  <c r="C21" i="4"/>
  <c r="O5" i="54"/>
  <c r="B45" i="63"/>
  <c r="D10" i="11"/>
  <c r="T22" i="59"/>
  <c r="D22" i="59"/>
  <c r="M20" i="46"/>
  <c r="C19"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c r="M27" i="6"/>
  <c r="T13" i="1"/>
  <c r="M16" i="1"/>
  <c r="T9" i="1"/>
  <c r="T11" i="1"/>
  <c r="T12" i="1"/>
  <c r="O14" i="1"/>
  <c r="O16" i="1"/>
  <c r="T7" i="1"/>
  <c r="T10" i="1"/>
  <c r="T6" i="1"/>
  <c r="T8"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L70" i="39"/>
  <c r="K72" i="39"/>
  <c r="J7" i="36"/>
  <c r="Q69" i="44"/>
  <c r="L58" i="44"/>
  <c r="L61" i="44"/>
  <c r="L47" i="44"/>
  <c r="C32" i="15"/>
  <c r="C38" i="15"/>
  <c r="B5" i="11"/>
  <c r="B3" i="11"/>
  <c r="B4" i="11"/>
  <c r="C59" i="15"/>
  <c r="C65" i="15"/>
  <c r="C27" i="12"/>
  <c r="D26" i="12"/>
  <c r="C32" i="12"/>
  <c r="D30" i="12"/>
  <c r="Q49" i="44"/>
  <c r="Q55" i="44"/>
  <c r="Q67" i="44"/>
  <c r="Q58" i="44"/>
  <c r="C16" i="44"/>
  <c r="D16" i="12"/>
  <c r="C14" i="15"/>
  <c r="E53" i="21"/>
  <c r="F53" i="21"/>
  <c r="E52" i="21"/>
  <c r="F52" i="21"/>
  <c r="I53" i="21"/>
  <c r="J53" i="21"/>
  <c r="C48" i="21"/>
  <c r="T16" i="1"/>
  <c r="H65" i="40"/>
  <c r="G67" i="40"/>
  <c r="C37" i="46"/>
  <c r="C33" i="46"/>
  <c r="C34" i="46"/>
  <c r="C36" i="46"/>
  <c r="C39" i="46"/>
  <c r="T4" i="46"/>
  <c r="V4" i="46"/>
  <c r="T2" i="46"/>
  <c r="V2" i="46"/>
  <c r="T6" i="46"/>
  <c r="V6" i="46"/>
  <c r="T5" i="46"/>
  <c r="V5" i="46"/>
  <c r="C38" i="46"/>
  <c r="T9" i="46"/>
  <c r="V9" i="46"/>
  <c r="T15" i="46"/>
  <c r="V15" i="46"/>
  <c r="C29" i="46"/>
  <c r="C30" i="46"/>
  <c r="E30" i="46"/>
  <c r="T8" i="46"/>
  <c r="V8" i="46"/>
  <c r="T11" i="46"/>
  <c r="V11" i="46"/>
  <c r="T7" i="46"/>
  <c r="V7" i="46"/>
  <c r="T3" i="46"/>
  <c r="V3" i="46"/>
  <c r="C35" i="46"/>
  <c r="E35" i="46"/>
  <c r="T16" i="46"/>
  <c r="V16" i="46"/>
  <c r="T14" i="46"/>
  <c r="V14" i="46"/>
  <c r="T12" i="46"/>
  <c r="V12" i="46"/>
  <c r="T13" i="46"/>
  <c r="V13" i="46"/>
  <c r="T10" i="46"/>
  <c r="V10" i="46"/>
  <c r="C22" i="4"/>
  <c r="D21" i="6"/>
  <c r="D10" i="6"/>
  <c r="H21" i="6"/>
  <c r="D6" i="6"/>
  <c r="D14" i="6"/>
  <c r="D20" i="6"/>
  <c r="H23" i="6"/>
  <c r="F45" i="9"/>
  <c r="E68" i="39"/>
  <c r="D24" i="6"/>
  <c r="D22" i="6"/>
  <c r="D12" i="6"/>
  <c r="H25" i="6"/>
  <c r="H22" i="6"/>
  <c r="H26" i="6"/>
  <c r="F46" i="9"/>
  <c r="E63" i="40"/>
  <c r="D25" i="6"/>
  <c r="D13" i="6"/>
  <c r="H24" i="6"/>
  <c r="D23" i="6"/>
  <c r="R23" i="6"/>
  <c r="D28" i="6"/>
  <c r="D8" i="6"/>
  <c r="E45" i="9"/>
  <c r="K38" i="9"/>
  <c r="C14" i="66"/>
  <c r="B2" i="66"/>
  <c r="D26" i="6"/>
  <c r="D11" i="6"/>
  <c r="H20" i="6"/>
  <c r="D9" i="6"/>
  <c r="D29" i="6"/>
  <c r="D15" i="6"/>
  <c r="E46" i="9"/>
  <c r="C7" i="66"/>
  <c r="C8" i="66"/>
  <c r="P14" i="1"/>
  <c r="P16" i="1"/>
  <c r="D19" i="12"/>
  <c r="C19" i="12"/>
  <c r="C16" i="12"/>
  <c r="D13" i="11"/>
  <c r="C13" i="11"/>
  <c r="G35" i="46"/>
  <c r="I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M70" i="39"/>
  <c r="L72" i="39"/>
  <c r="AB7" i="36"/>
  <c r="T36" i="36"/>
  <c r="G36" i="36"/>
  <c r="U7" i="36"/>
  <c r="I48" i="35"/>
  <c r="E36" i="36"/>
  <c r="R37" i="36"/>
  <c r="Q68" i="44"/>
  <c r="Q77" i="44"/>
  <c r="Q59" i="44"/>
  <c r="Q64" i="44"/>
  <c r="C13" i="12"/>
  <c r="D22" i="12"/>
  <c r="B2" i="21"/>
  <c r="C6" i="12"/>
  <c r="C14" i="12"/>
  <c r="C22" i="12"/>
  <c r="C20" i="12"/>
  <c r="E29" i="46"/>
  <c r="D30" i="6"/>
  <c r="D16" i="6"/>
  <c r="D27" i="6"/>
  <c r="D31" i="6"/>
  <c r="I6" i="6"/>
  <c r="R26" i="6"/>
  <c r="R25" i="6"/>
  <c r="H67" i="40"/>
  <c r="I65" i="40"/>
  <c r="C17" i="12"/>
  <c r="C18" i="12"/>
  <c r="R22" i="6"/>
  <c r="R21" i="6"/>
  <c r="E38" i="46"/>
  <c r="G38" i="46"/>
  <c r="I38" i="46"/>
  <c r="E36" i="46"/>
  <c r="G36" i="46"/>
  <c r="I36" i="46"/>
  <c r="E33" i="46"/>
  <c r="C26" i="46"/>
  <c r="G33" i="46"/>
  <c r="I33" i="46"/>
  <c r="D7" i="66"/>
  <c r="D8" i="66"/>
  <c r="R24" i="6"/>
  <c r="R20" i="6"/>
  <c r="A6" i="51"/>
  <c r="B7" i="63"/>
  <c r="A20" i="64"/>
  <c r="N5" i="54"/>
  <c r="B43" i="63"/>
  <c r="A6" i="64"/>
  <c r="A20" i="51"/>
  <c r="B15" i="63"/>
  <c r="G39" i="46"/>
  <c r="I39" i="46"/>
  <c r="E39" i="46"/>
  <c r="E34" i="46"/>
  <c r="G34" i="46"/>
  <c r="I34" i="46"/>
  <c r="G37" i="46"/>
  <c r="I37" i="46"/>
  <c r="E37" i="46"/>
  <c r="I5" i="6"/>
  <c r="C27" i="46"/>
  <c r="C19" i="15"/>
  <c r="C20" i="15"/>
  <c r="C26" i="15"/>
  <c r="C21" i="44"/>
  <c r="C22" i="44"/>
  <c r="C25" i="44"/>
  <c r="C14" i="43"/>
  <c r="C17" i="43"/>
  <c r="H27"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E7" i="67"/>
  <c r="F7" i="67"/>
  <c r="C24" i="12"/>
  <c r="C29" i="12"/>
  <c r="C23" i="12"/>
  <c r="C35" i="12"/>
  <c r="C33" i="12"/>
  <c r="R27" i="6"/>
  <c r="R16" i="1"/>
  <c r="I67" i="40"/>
  <c r="J65" i="40"/>
  <c r="E4" i="67"/>
  <c r="E3" i="67"/>
  <c r="B2" i="46"/>
  <c r="D4" i="46"/>
  <c r="C18" i="43"/>
  <c r="C19" i="43"/>
  <c r="C25" i="43"/>
  <c r="C24" i="43"/>
  <c r="C28" i="44"/>
  <c r="C31" i="44"/>
  <c r="C23" i="15"/>
  <c r="C29" i="15"/>
  <c r="C36" i="15"/>
  <c r="S9" i="39"/>
  <c r="AA9" i="39"/>
  <c r="H9" i="39"/>
  <c r="J9" i="39"/>
  <c r="K48" i="35"/>
  <c r="L48" i="35"/>
  <c r="M48" i="35"/>
  <c r="N48" i="35"/>
  <c r="O48" i="35"/>
  <c r="J7" i="35"/>
  <c r="K52" i="37"/>
  <c r="B3" i="46"/>
  <c r="B7" i="67"/>
  <c r="C28" i="12"/>
  <c r="C26" i="12"/>
  <c r="C31" i="12"/>
  <c r="C30" i="12"/>
  <c r="C36" i="12"/>
  <c r="B2" i="12"/>
  <c r="K65" i="40"/>
  <c r="J67" i="40"/>
  <c r="B4" i="46"/>
  <c r="B2" i="67"/>
  <c r="B4" i="67"/>
  <c r="J59" i="15"/>
  <c r="J60" i="15"/>
  <c r="Q49" i="15"/>
  <c r="C13" i="15"/>
  <c r="J35" i="15"/>
  <c r="C33" i="15"/>
  <c r="C31"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AC9" i="39"/>
  <c r="I49" i="39"/>
  <c r="W9" i="39"/>
  <c r="L52" i="37"/>
  <c r="F7" i="35"/>
  <c r="H7" i="35"/>
  <c r="AB9" i="39"/>
  <c r="G49" i="39"/>
  <c r="U9" i="39"/>
  <c r="E49" i="39"/>
  <c r="D19" i="9"/>
  <c r="B4" i="12"/>
  <c r="B3" i="12"/>
  <c r="B5" i="12"/>
  <c r="G19" i="9"/>
  <c r="L44" i="9"/>
  <c r="D22" i="9"/>
  <c r="J22" i="15"/>
  <c r="J16" i="15"/>
  <c r="J25" i="15"/>
  <c r="K67" i="40"/>
  <c r="L65" i="40"/>
  <c r="B3" i="67"/>
  <c r="C55" i="15"/>
  <c r="C64" i="15"/>
  <c r="C63" i="15"/>
  <c r="C37" i="15"/>
  <c r="C30" i="15"/>
  <c r="C39" i="15"/>
  <c r="C40" i="15"/>
  <c r="Q71" i="15"/>
  <c r="B4" i="43"/>
  <c r="B5" i="43"/>
  <c r="B3" i="43"/>
  <c r="Q72" i="44"/>
  <c r="C39" i="44"/>
  <c r="C32" i="44"/>
  <c r="C42" i="44"/>
  <c r="C43" i="44"/>
  <c r="J24" i="44"/>
  <c r="J15" i="44"/>
  <c r="J25" i="44"/>
  <c r="AB7" i="35"/>
  <c r="T38" i="35"/>
  <c r="G38" i="35"/>
  <c r="U7" i="35"/>
  <c r="C49" i="39"/>
  <c r="E53" i="39"/>
  <c r="F53" i="39"/>
  <c r="E54" i="39"/>
  <c r="F54" i="39"/>
  <c r="G54" i="39"/>
  <c r="H54" i="39"/>
  <c r="G53" i="39"/>
  <c r="H53" i="39"/>
  <c r="AA7" i="35"/>
  <c r="R38" i="35"/>
  <c r="S7" i="35"/>
  <c r="M52" i="37"/>
  <c r="I53" i="39"/>
  <c r="J53" i="39"/>
  <c r="I54" i="39"/>
  <c r="J54" i="39"/>
  <c r="I42" i="35"/>
  <c r="J42" i="35"/>
  <c r="D21" i="9"/>
  <c r="D20" i="9"/>
  <c r="L51" i="15"/>
  <c r="G20" i="9"/>
  <c r="G21" i="9"/>
  <c r="C32" i="9"/>
  <c r="N43" i="9"/>
  <c r="G22" i="9"/>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C42" i="9"/>
  <c r="O43" i="9"/>
  <c r="O38" i="9"/>
  <c r="C33" i="9"/>
  <c r="C34" i="9"/>
  <c r="C35" i="9"/>
  <c r="F42" i="9"/>
  <c r="H9" i="40"/>
  <c r="N65" i="40"/>
  <c r="N67" i="40"/>
  <c r="M67" i="40"/>
  <c r="F9" i="40"/>
  <c r="C46" i="15"/>
  <c r="Q63" i="15"/>
  <c r="Q67" i="15"/>
  <c r="L46" i="15"/>
  <c r="B2" i="15"/>
  <c r="B3" i="15"/>
  <c r="Q76" i="15"/>
  <c r="B3" i="44"/>
  <c r="B5" i="44"/>
  <c r="B4" i="44"/>
  <c r="AA7" i="37"/>
  <c r="R42" i="37"/>
  <c r="S7" i="37"/>
  <c r="B5" i="39"/>
  <c r="E43" i="35"/>
  <c r="F43" i="35"/>
  <c r="E42" i="35"/>
  <c r="F42" i="35"/>
  <c r="I43" i="35"/>
  <c r="J43" i="35"/>
  <c r="C39" i="35"/>
  <c r="B3" i="35"/>
  <c r="B2" i="35"/>
  <c r="C38" i="35"/>
  <c r="H7" i="37"/>
  <c r="J7" i="37"/>
  <c r="N38" i="9"/>
  <c r="K28" i="9"/>
  <c r="D42" i="9"/>
  <c r="Q5" i="54"/>
  <c r="B47" i="63"/>
  <c r="M38" i="9"/>
  <c r="K27" i="9"/>
  <c r="E42" i="9"/>
  <c r="P5" i="54"/>
  <c r="B46" i="63"/>
  <c r="K25" i="9"/>
  <c r="K26" i="9"/>
  <c r="C44" i="9"/>
  <c r="D14" i="66"/>
  <c r="D63" i="9"/>
  <c r="N68" i="9"/>
  <c r="R5" i="54"/>
  <c r="B48" i="63"/>
  <c r="AA9" i="40"/>
  <c r="R44" i="40"/>
  <c r="S9" i="40"/>
  <c r="J9" i="40"/>
  <c r="AB9" i="40"/>
  <c r="T44" i="40"/>
  <c r="G44" i="40"/>
  <c r="U9" i="40"/>
  <c r="W7" i="37"/>
  <c r="AC7" i="37"/>
  <c r="V42" i="37"/>
  <c r="I42" i="37"/>
  <c r="AB7" i="37"/>
  <c r="T42" i="37"/>
  <c r="G42" i="37"/>
  <c r="U7" i="37"/>
  <c r="E42" i="37"/>
  <c r="R43" i="37"/>
  <c r="F14" i="66"/>
  <c r="B5" i="66"/>
  <c r="E14" i="66"/>
  <c r="D71" i="9"/>
  <c r="D66" i="9"/>
  <c r="N72" i="9"/>
  <c r="D70" i="9"/>
  <c r="D77" i="9"/>
  <c r="N75" i="9"/>
  <c r="C90" i="9"/>
  <c r="C111" i="9"/>
  <c r="C104" i="9"/>
  <c r="C82" i="9"/>
  <c r="C81" i="9"/>
  <c r="C85" i="9"/>
  <c r="C86" i="9"/>
  <c r="D72" i="9"/>
  <c r="C103" i="9"/>
  <c r="C96" i="9"/>
  <c r="C91" i="9"/>
  <c r="G14" i="66"/>
  <c r="B6" i="66"/>
  <c r="N69" i="9"/>
  <c r="O39" i="9"/>
  <c r="D44" i="9"/>
  <c r="F44" i="9"/>
  <c r="E44" i="9"/>
  <c r="G48" i="40"/>
  <c r="H48" i="40"/>
  <c r="AC9" i="40"/>
  <c r="V44" i="40"/>
  <c r="I44" i="40"/>
  <c r="I48" i="40"/>
  <c r="J48" i="40"/>
  <c r="W9" i="40"/>
  <c r="R45" i="40"/>
  <c r="E44" i="40"/>
  <c r="C43" i="37"/>
  <c r="B3" i="37"/>
  <c r="B2" i="37"/>
  <c r="C42" i="37"/>
  <c r="I46" i="37"/>
  <c r="J46" i="37"/>
  <c r="I47" i="37"/>
  <c r="J47" i="37"/>
  <c r="E47" i="37"/>
  <c r="F47" i="37"/>
  <c r="E46" i="37"/>
  <c r="F46" i="37"/>
  <c r="G46" i="37"/>
  <c r="H46" i="37"/>
  <c r="G47" i="37"/>
  <c r="H47" i="37"/>
  <c r="C113" i="9"/>
  <c r="C114" i="9"/>
  <c r="E114" i="9"/>
  <c r="E115" i="9"/>
  <c r="K29" i="9"/>
  <c r="K30" i="9"/>
  <c r="R6" i="54"/>
  <c r="B50" i="63"/>
  <c r="C6" i="66"/>
  <c r="D6" i="66"/>
  <c r="C5" i="66"/>
  <c r="D5" i="66"/>
  <c r="M84" i="9"/>
  <c r="N84" i="9"/>
  <c r="M83" i="9"/>
  <c r="N83" i="9"/>
  <c r="M88" i="9"/>
  <c r="N88" i="9"/>
  <c r="M87" i="9"/>
  <c r="N87" i="9"/>
  <c r="M86" i="9"/>
  <c r="N86" i="9"/>
  <c r="M85" i="9"/>
  <c r="N85" i="9"/>
  <c r="C97" i="9"/>
  <c r="I49" i="40"/>
  <c r="J49" i="40"/>
  <c r="E48" i="40"/>
  <c r="F48" i="40"/>
  <c r="E49" i="40"/>
  <c r="F49" i="40"/>
  <c r="C45" i="40"/>
  <c r="C44" i="40"/>
  <c r="G49" i="40"/>
  <c r="H49" i="40"/>
  <c r="C115" i="9"/>
  <c r="D76" i="9"/>
  <c r="D74" i="9"/>
  <c r="N74" i="9"/>
  <c r="O77" i="9"/>
  <c r="O79" i="9"/>
  <c r="O80" i="9"/>
  <c r="N89" i="9"/>
  <c r="O89" i="9"/>
  <c r="C98" i="9"/>
  <c r="E98" i="9"/>
  <c r="E99" i="9"/>
  <c r="B61" i="40"/>
  <c r="F61" i="40"/>
  <c r="B58" i="40"/>
  <c r="F58" i="40"/>
  <c r="B59" i="40"/>
  <c r="F59" i="40"/>
  <c r="B54" i="40"/>
  <c r="F54" i="40"/>
  <c r="B55" i="40"/>
  <c r="F55" i="40"/>
  <c r="B62" i="40"/>
  <c r="F62" i="40"/>
  <c r="B53" i="40"/>
  <c r="F53" i="40"/>
  <c r="B57" i="40"/>
  <c r="F57" i="40"/>
  <c r="F63" i="40"/>
  <c r="B2" i="40"/>
  <c r="B56" i="40"/>
  <c r="F56" i="40"/>
  <c r="B60" i="40"/>
  <c r="F60" i="40"/>
  <c r="Q77" i="9"/>
  <c r="O81" i="9"/>
  <c r="O78" i="9"/>
  <c r="C99" i="9"/>
  <c r="B5" i="40"/>
  <c r="B3"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<sst xmlns="http://schemas.openxmlformats.org/spreadsheetml/2006/main" count="7656" uniqueCount="3330">
  <si>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</si>
  <si>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</si>
  <si>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</si>
  <si>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</si>
  <si>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</si>
  <si>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</si>
  <si>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</si>
  <si>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</si>
  <si>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</si>
  <si>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</si>
  <si>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</si>
  <si>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</si>
  <si>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</si>
  <si>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</si>
  <si>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</si>
  <si>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</si>
  <si>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</si>
  <si>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</si>
  <si>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</si>
  <si>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</si>
  <si>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</si>
  <si>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</si>
  <si>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</si>
  <si>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</si>
  <si>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</si>
  <si>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</si>
  <si>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</si>
  <si>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</si>
  <si>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</si>
  <si>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</si>
  <si>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</si>
  <si>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</si>
  <si>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</si>
  <si>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</si>
  <si>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</si>
  <si>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</si>
  <si>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</si>
  <si>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</si>
  <si>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</si>
  <si>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</si>
  <si>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</si>
  <si>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</si>
  <si>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</si>
  <si>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</si>
  <si>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</si>
  <si>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</si>
  <si>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</si>
  <si>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</si>
  <si>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</si>
  <si>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</si>
  <si>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</si>
  <si>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</si>
  <si>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</si>
  <si>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</si>
  <si>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</si>
  <si>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</si>
  <si>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</si>
  <si>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</si>
  <si>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</si>
  <si>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</si>
  <si>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</si>
  <si>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</si>
  <si>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</si>
  <si>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</si>
  <si>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</si>
  <si>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</si>
  <si>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</si>
  <si>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</si>
  <si>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</si>
  <si>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</si>
  <si>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</si>
  <si>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</si>
  <si>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</si>
  <si>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</si>
  <si>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</si>
  <si>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</si>
  <si>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</si>
  <si>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</si>
  <si>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</si>
  <si>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</si>
  <si>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</si>
  <si>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</si>
  <si>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</si>
  <si>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</si>
  <si>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</si>
  <si>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</si>
  <si>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</si>
  <si>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</si>
  <si>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</si>
  <si>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</si>
  <si>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</si>
  <si>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</si>
  <si>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</si>
  <si>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</si>
  <si>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</si>
  <si>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</si>
  <si>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</si>
  <si>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</si>
  <si>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</si>
  <si>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</si>
  <si>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</si>
  <si>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</si>
  <si>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</si>
  <si>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</si>
  <si>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</si>
  <si>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</si>
  <si>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</si>
  <si>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</si>
  <si>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</si>
  <si>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</si>
  <si>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</si>
  <si>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</si>
  <si>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</si>
  <si>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</si>
  <si>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</si>
  <si>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</si>
  <si>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</si>
  <si>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</si>
  <si>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</si>
  <si>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</si>
  <si>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</si>
  <si>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</si>
  <si>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</si>
  <si>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</si>
  <si>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</si>
  <si>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</si>
  <si>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</si>
  <si>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</si>
  <si>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</si>
  <si>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</si>
  <si>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</si>
  <si>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</si>
  <si>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</si>
  <si>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</si>
  <si>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</si>
  <si>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</si>
  <si>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</si>
  <si>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</si>
  <si>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</si>
  <si>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</si>
  <si>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</si>
  <si>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</si>
  <si>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</si>
  <si>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</si>
  <si>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</si>
  <si>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</si>
  <si>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</si>
  <si>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</si>
  <si>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</si>
  <si>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</si>
  <si>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</si>
  <si>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</si>
  <si>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</si>
  <si>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</si>
  <si>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</si>
  <si>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</si>
  <si>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</si>
  <si>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</si>
  <si>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</si>
  <si>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</si>
  <si>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</si>
  <si>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</si>
  <si>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</si>
  <si>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</si>
  <si>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</si>
  <si>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</si>
  <si>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</si>
  <si>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</si>
  <si>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</si>
  <si>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</si>
  <si>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</si>
  <si>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</si>
  <si>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</si>
  <si>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</si>
  <si>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</si>
  <si>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</si>
  <si>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</si>
  <si>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</si>
  <si>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</si>
  <si>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</si>
  <si>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</si>
  <si>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</si>
  <si>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</si>
  <si>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</si>
  <si>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</si>
  <si>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</si>
  <si>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</si>
  <si>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</si>
  <si>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</si>
  <si>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</si>
  <si>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</si>
  <si>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</si>
  <si>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</si>
  <si>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</si>
  <si>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</si>
  <si>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</si>
  <si>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</si>
  <si>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</si>
  <si>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</si>
  <si>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</si>
  <si>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</si>
  <si>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</si>
  <si>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</si>
  <si>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</si>
  <si>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</si>
  <si>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</si>
  <si>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</si>
  <si>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</si>
  <si>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</si>
  <si>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</si>
  <si>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</si>
  <si>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</si>
  <si>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</si>
  <si>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</si>
  <si>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</si>
  <si>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</si>
  <si>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</si>
  <si>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</si>
  <si>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</si>
  <si>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</si>
  <si>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</si>
  <si>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</si>
  <si>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</si>
  <si>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</si>
  <si>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</si>
  <si>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</si>
  <si>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</si>
  <si>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</si>
  <si>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</si>
  <si>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</si>
  <si>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</si>
  <si>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</si>
  <si>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</si>
  <si>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</si>
  <si>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</si>
  <si>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</si>
  <si>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</si>
  <si>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</si>
  <si>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</si>
  <si>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</si>
  <si>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</si>
  <si>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</si>
  <si>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</si>
  <si>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</si>
  <si>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</si>
  <si>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</si>
  <si>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</si>
  <si>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</si>
  <si>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</si>
  <si>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</si>
  <si>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</si>
  <si>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</si>
  <si>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</si>
  <si>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</si>
  <si>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</si>
  <si>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</si>
  <si>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</si>
  <si>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</si>
  <si>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</si>
  <si>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</si>
  <si>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</si>
  <si>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</si>
  <si>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</si>
  <si>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</si>
  <si>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</si>
  <si>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</si>
  <si>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</si>
  <si>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</si>
  <si>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</si>
  <si>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</si>
  <si>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</si>
  <si>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</si>
  <si>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</si>
  <si>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</si>
  <si>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</si>
  <si>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</si>
  <si>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</si>
  <si>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</si>
  <si>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</si>
  <si>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</si>
  <si>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</si>
  <si>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</si>
  <si>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</si>
  <si>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</si>
  <si>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</si>
  <si>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</si>
  <si>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</si>
  <si>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</si>
  <si>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</si>
  <si>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</si>
  <si>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</si>
  <si>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</si>
  <si>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</si>
  <si>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</si>
  <si>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</si>
  <si>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</si>
  <si>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</si>
  <si>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</si>
  <si>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</si>
  <si>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</si>
  <si>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</si>
  <si>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</si>
  <si>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</si>
  <si>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</si>
  <si>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</si>
  <si>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</si>
  <si>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</si>
  <si>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</si>
  <si>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</si>
  <si>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</si>
  <si>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</si>
  <si>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</si>
  <si>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</si>
  <si>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</si>
  <si>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</si>
  <si>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</si>
  <si>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</si>
  <si>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</si>
  <si>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</si>
  <si>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</si>
  <si>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</si>
  <si>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</si>
  <si>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</si>
  <si>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</si>
  <si>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</si>
  <si>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</si>
  <si>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</si>
  <si>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</si>
  <si>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</si>
  <si>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</si>
  <si>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</si>
  <si>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</si>
  <si>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</si>
  <si>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</si>
  <si>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</si>
  <si>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</si>
  <si>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</si>
  <si>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</si>
  <si>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</si>
  <si>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</si>
  <si>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</si>
  <si>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</si>
  <si>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</si>
  <si>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</si>
  <si>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</si>
  <si>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</si>
  <si>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</si>
  <si>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</si>
  <si>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</si>
  <si>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</si>
  <si>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</si>
  <si>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</si>
  <si>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</si>
  <si>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</si>
  <si>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</si>
  <si>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</si>
  <si>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</si>
  <si>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</si>
  <si>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</si>
  <si>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</si>
  <si>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</si>
  <si>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</si>
  <si>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</si>
  <si>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</si>
  <si>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</si>
  <si>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</si>
  <si>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</si>
  <si>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</si>
  <si>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</si>
  <si>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</si>
  <si>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</si>
  <si>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</si>
  <si>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</si>
  <si>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</si>
  <si>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</si>
  <si>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</si>
  <si>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</si>
  <si>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</si>
  <si>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</si>
  <si>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</si>
  <si>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</si>
  <si>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</si>
  <si>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</si>
  <si>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</si>
  <si>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</si>
  <si>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</si>
  <si>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</si>
  <si>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</si>
  <si>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</si>
  <si>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</si>
  <si>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</si>
  <si>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</si>
  <si>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</si>
  <si>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</si>
  <si>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</si>
  <si>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</si>
  <si>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</si>
  <si>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</si>
  <si>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</si>
  <si>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</si>
  <si>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</si>
  <si>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</si>
  <si>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</si>
  <si>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</si>
  <si>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</si>
  <si>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</si>
  <si>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</si>
  <si>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</si>
  <si>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</si>
  <si>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</si>
  <si>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</si>
  <si>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</si>
  <si>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</si>
  <si>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</si>
  <si>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</si>
  <si>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</si>
  <si>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</si>
  <si>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</si>
  <si>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</si>
  <si>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</si>
  <si>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</si>
  <si>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</si>
  <si>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</si>
  <si>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</si>
  <si>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</si>
  <si>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</si>
  <si>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</si>
  <si>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</si>
  <si>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</si>
  <si>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</si>
  <si>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</si>
  <si>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</si>
  <si>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</si>
  <si>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</si>
  <si>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</si>
  <si>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</si>
  <si>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</si>
  <si>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</si>
  <si>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</si>
  <si>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</si>
  <si>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</si>
  <si>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</si>
  <si>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</si>
  <si>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</si>
  <si>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</si>
  <si>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</si>
  <si>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</si>
  <si>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</si>
  <si>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</si>
  <si>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</si>
  <si>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</si>
  <si>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</si>
  <si>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</si>
  <si>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</si>
  <si>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</si>
  <si>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</si>
  <si>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</si>
  <si>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</si>
  <si>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</si>
  <si>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</si>
  <si>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</si>
  <si>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</si>
  <si>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</si>
  <si>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</si>
  <si>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</si>
  <si>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</si>
  <si>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</si>
  <si>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</si>
  <si>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</si>
  <si>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</si>
  <si>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</si>
  <si>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</si>
  <si>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</si>
  <si>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</si>
  <si>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</si>
  <si>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</si>
  <si>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</si>
  <si>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</si>
  <si>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</si>
  <si>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</si>
  <si>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</si>
  <si>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</si>
  <si>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</si>
  <si>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</si>
  <si>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</si>
  <si>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</si>
  <si>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</si>
  <si>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</si>
  <si>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</si>
  <si>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</si>
  <si>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</si>
  <si>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</si>
  <si>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</si>
  <si>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</si>
  <si>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</si>
  <si>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</si>
  <si>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</si>
  <si>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</si>
  <si>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</si>
  <si>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</si>
  <si>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</si>
  <si>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</si>
  <si>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</si>
  <si>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</si>
  <si>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</si>
  <si>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</si>
  <si>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</si>
  <si>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</si>
  <si>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</si>
  <si>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</si>
  <si>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</si>
  <si>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</si>
  <si>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</si>
  <si>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</si>
  <si>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</si>
  <si>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</si>
  <si>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</si>
  <si>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</si>
  <si>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</si>
  <si>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</si>
  <si>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</si>
  <si>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</si>
  <si>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</si>
  <si>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</si>
  <si>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</si>
  <si>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</si>
  <si>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</si>
  <si>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</si>
  <si>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</si>
  <si>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</si>
  <si>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</si>
  <si>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</si>
  <si>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</si>
  <si>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</si>
  <si>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</si>
  <si>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</si>
  <si>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</si>
  <si>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</si>
  <si>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</si>
  <si>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</si>
  <si>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</si>
  <si>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</si>
  <si>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</si>
  <si>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</si>
  <si>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</si>
  <si>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</si>
  <si>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</si>
  <si>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</si>
  <si>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</si>
  <si>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</si>
  <si>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</si>
  <si>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</si>
  <si>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</si>
  <si>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</si>
  <si>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</si>
  <si>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</si>
  <si>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</si>
  <si>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</si>
  <si>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</si>
  <si>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</si>
  <si>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</si>
  <si>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</si>
  <si>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</si>
  <si>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</si>
  <si>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</si>
  <si>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</si>
  <si>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</si>
  <si>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</si>
  <si>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</si>
  <si>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</si>
  <si>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</si>
  <si>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</si>
  <si>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</si>
  <si>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</si>
  <si>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</si>
  <si>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</si>
  <si>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</si>
  <si>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</si>
  <si>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</si>
  <si>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</si>
  <si>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</si>
  <si>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</si>
  <si>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</si>
  <si>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</si>
  <si>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</si>
  <si>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</si>
  <si>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</si>
  <si>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</si>
  <si>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</si>
  <si>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</si>
  <si>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</si>
  <si>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</si>
  <si>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</si>
  <si>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</si>
  <si>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</si>
  <si>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</si>
  <si>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</si>
  <si>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</si>
  <si>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</si>
  <si>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</si>
  <si>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</si>
  <si>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</si>
  <si>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</si>
  <si>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</si>
  <si>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</si>
  <si>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</si>
  <si>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</si>
  <si>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</si>
  <si>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</si>
  <si>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</si>
  <si>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</si>
  <si>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</si>
  <si>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</si>
  <si>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</si>
  <si>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</si>
  <si>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</si>
  <si>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</si>
  <si>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</si>
  <si>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</si>
  <si>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</si>
  <si>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</si>
  <si>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</si>
  <si>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</si>
  <si>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</si>
  <si>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</si>
  <si>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</si>
  <si>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</si>
  <si>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</si>
  <si>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</si>
  <si>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</si>
  <si>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</si>
  <si>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</si>
  <si>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</si>
  <si>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</si>
  <si>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</si>
  <si>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</si>
  <si>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</si>
  <si>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</si>
  <si>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</si>
  <si>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</si>
  <si>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</si>
  <si>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</si>
  <si>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</si>
  <si>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</si>
  <si>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</si>
  <si>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</si>
  <si>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</si>
  <si>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</si>
  <si>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</si>
  <si>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</si>
  <si>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</si>
  <si>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</si>
  <si>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</si>
  <si>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</si>
  <si>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</si>
  <si>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</si>
  <si>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</si>
  <si>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</si>
  <si>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</si>
  <si>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</si>
  <si>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</si>
  <si>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</si>
  <si>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</si>
  <si>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</si>
  <si>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</si>
  <si>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</si>
  <si>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</si>
  <si>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</si>
  <si>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</si>
  <si>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</si>
  <si>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</si>
  <si>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</si>
  <si>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</si>
  <si>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</si>
  <si>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</si>
  <si>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</si>
  <si>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</si>
  <si>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</si>
  <si>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</si>
  <si>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</si>
  <si>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</si>
  <si>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</si>
  <si>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</si>
  <si>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</si>
  <si>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</si>
  <si>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</si>
  <si>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</si>
  <si>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</si>
  <si>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</si>
  <si>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</si>
  <si>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</si>
  <si>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</si>
  <si>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</si>
  <si>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</si>
  <si>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</si>
  <si>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</si>
  <si>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</si>
  <si>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</si>
  <si>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</si>
  <si>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</si>
  <si>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</si>
  <si>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</si>
  <si>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</si>
  <si>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</si>
  <si>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</si>
  <si>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</si>
  <si>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</si>
  <si>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</si>
  <si>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</si>
  <si>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</si>
  <si>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</si>
  <si>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</si>
  <si>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</si>
  <si>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</si>
  <si>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</si>
  <si>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</si>
  <si>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</si>
  <si>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</si>
  <si>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</si>
  <si>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</si>
  <si>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</si>
  <si>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</si>
  <si>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</si>
  <si>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</si>
  <si>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</si>
  <si>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</si>
  <si>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</si>
  <si>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</si>
  <si>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</si>
  <si>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</si>
  <si>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</si>
  <si>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</si>
  <si>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</si>
  <si>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</si>
  <si>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</si>
  <si>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</si>
  <si>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</si>
  <si>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</si>
  <si>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</si>
  <si>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</si>
  <si>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</si>
  <si>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</si>
  <si>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</si>
  <si>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</si>
  <si>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</si>
  <si>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</si>
  <si>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</si>
  <si>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</si>
  <si>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</si>
  <si>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</si>
  <si>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</si>
  <si>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</si>
  <si>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</si>
  <si>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</si>
  <si>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</si>
  <si>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</si>
  <si>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</si>
  <si>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</si>
  <si>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</si>
  <si>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</si>
  <si>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</si>
  <si>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</si>
  <si>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</si>
  <si>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</si>
  <si>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</si>
  <si>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</si>
  <si>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</si>
  <si>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</si>
  <si>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</si>
  <si>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</si>
  <si>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</si>
  <si>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</si>
  <si>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</si>
  <si>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</si>
  <si>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</si>
  <si>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</si>
  <si>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</si>
  <si>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</si>
  <si>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</si>
  <si>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</si>
  <si>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</si>
  <si>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</si>
  <si>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</si>
  <si>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</si>
  <si>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</si>
  <si>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</si>
  <si>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</si>
  <si>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</si>
  <si>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</si>
  <si>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</si>
  <si>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</si>
  <si>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</si>
  <si>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</si>
  <si>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</si>
  <si>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</si>
  <si>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</si>
  <si>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</si>
  <si>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</si>
  <si>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</si>
  <si>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</si>
  <si>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</si>
  <si>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</si>
  <si>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</si>
  <si>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</si>
  <si>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</si>
  <si>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</si>
  <si>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</si>
  <si>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</si>
  <si>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</si>
  <si>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</si>
  <si>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</si>
  <si>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</si>
  <si>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</si>
  <si>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</si>
  <si>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</si>
  <si>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</si>
  <si>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</si>
  <si>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</si>
  <si>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</si>
  <si>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</si>
  <si>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</si>
  <si>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</si>
  <si>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</si>
  <si>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</si>
  <si>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</si>
  <si>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</si>
  <si>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</si>
  <si>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</si>
  <si>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</si>
  <si>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</si>
  <si>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</si>
  <si>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</si>
  <si>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</si>
  <si>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</si>
  <si>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</si>
  <si>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</si>
  <si>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</si>
  <si>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</si>
  <si>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</si>
  <si>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</si>
  <si>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</si>
  <si>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</si>
  <si>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</si>
  <si>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</si>
  <si>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</si>
  <si>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</si>
  <si>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</si>
  <si>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</si>
  <si>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</si>
  <si>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</si>
  <si>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</si>
  <si>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</si>
  <si>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</si>
  <si>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</si>
  <si>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</si>
  <si>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</si>
  <si>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</si>
  <si>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</si>
  <si>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</si>
  <si>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</si>
  <si>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</si>
  <si>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</si>
  <si>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</si>
  <si>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</si>
  <si>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</si>
  <si>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</si>
  <si>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</si>
  <si>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</si>
  <si>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</si>
  <si>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</si>
  <si>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</si>
  <si>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</si>
  <si>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</si>
  <si>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</si>
  <si>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</si>
  <si>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</si>
  <si>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</si>
  <si>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</si>
  <si>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</si>
  <si>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</si>
  <si>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</si>
  <si>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</si>
  <si>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</si>
  <si>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</si>
  <si>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</si>
  <si>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</si>
  <si>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</si>
  <si>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</si>
  <si>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</si>
  <si>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</si>
  <si>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</si>
  <si>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</si>
  <si>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</si>
  <si>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</si>
  <si>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</si>
  <si>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</si>
  <si>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</si>
  <si>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</si>
  <si>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</si>
  <si>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</si>
  <si>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</si>
  <si>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</si>
  <si>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</si>
  <si>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</si>
  <si>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</si>
  <si>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</si>
  <si>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</si>
  <si>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</si>
  <si>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</si>
  <si>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</si>
  <si>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</si>
  <si>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</si>
  <si>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</si>
  <si>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</si>
  <si>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</si>
  <si>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</si>
  <si>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</si>
  <si>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</si>
  <si>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</si>
  <si>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</si>
  <si>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</si>
  <si>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</si>
  <si>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</si>
  <si>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</si>
  <si>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</si>
  <si>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</si>
  <si>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</si>
  <si>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</si>
  <si>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</si>
  <si>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</si>
  <si>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</si>
  <si>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</si>
  <si>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</si>
  <si>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</si>
  <si>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</si>
  <si>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</si>
  <si>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</si>
  <si>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</si>
  <si>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</si>
  <si>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</si>
  <si>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</si>
  <si>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</si>
  <si>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</si>
  <si>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</si>
  <si>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</si>
  <si>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</si>
  <si>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</si>
  <si>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</si>
  <si>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</si>
  <si>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</si>
  <si>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</si>
  <si>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</si>
  <si>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</si>
  <si>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</si>
  <si>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</si>
  <si>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</si>
  <si>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</si>
  <si>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</si>
  <si>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</si>
  <si>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</si>
  <si>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</si>
  <si>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</si>
  <si>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</si>
  <si>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</si>
  <si>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</si>
  <si>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</si>
  <si>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</si>
  <si>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</si>
  <si>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</si>
  <si>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</si>
  <si>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</si>
  <si>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</si>
  <si>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</si>
  <si>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</si>
  <si>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</si>
  <si>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</si>
  <si>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</si>
  <si>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</si>
  <si>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</si>
  <si>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</si>
  <si>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</si>
  <si>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</si>
  <si>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</si>
  <si>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</si>
  <si>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</si>
  <si>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</si>
  <si>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</si>
  <si>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</si>
  <si>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</si>
  <si>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</si>
  <si>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</si>
  <si>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</si>
  <si>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</si>
  <si>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</si>
  <si>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</si>
  <si>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</si>
  <si>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</si>
  <si>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</si>
  <si>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</si>
  <si>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</si>
  <si>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</si>
  <si>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</si>
  <si>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</si>
  <si>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</si>
  <si>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</si>
  <si>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</si>
  <si>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</si>
  <si>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</si>
  <si>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</si>
  <si>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</si>
  <si>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</si>
  <si>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</si>
  <si>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</si>
  <si>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</si>
  <si>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</si>
  <si>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</si>
  <si>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</si>
  <si>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</si>
  <si>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</si>
  <si>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</si>
  <si>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</si>
  <si>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</si>
  <si>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</si>
  <si>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</si>
  <si>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</si>
  <si>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</si>
  <si>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</si>
  <si>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</si>
  <si>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</si>
  <si>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</si>
  <si>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</si>
  <si>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</si>
  <si>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</si>
  <si>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</si>
  <si>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</si>
  <si>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</si>
  <si>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</si>
  <si>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</si>
  <si>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</si>
  <si>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</si>
  <si>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</si>
  <si>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</si>
  <si>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</si>
  <si>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</si>
  <si>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</si>
  <si>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</si>
  <si>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</si>
  <si>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</si>
  <si>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</si>
  <si>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</si>
  <si>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</si>
  <si>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</si>
  <si>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</si>
  <si>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</si>
  <si>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</si>
  <si>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</si>
  <si>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</si>
  <si>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</si>
  <si>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</si>
  <si>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</si>
  <si>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</si>
  <si>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</si>
  <si>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</si>
  <si>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</si>
  <si>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</si>
  <si>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</si>
  <si>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</si>
  <si>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</si>
  <si>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</si>
  <si>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</si>
  <si>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</si>
  <si>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</si>
  <si>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</si>
  <si>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</si>
  <si>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</si>
  <si>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</si>
  <si>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</si>
  <si>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</si>
  <si>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</si>
  <si>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</si>
  <si>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</si>
  <si>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</si>
  <si>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</si>
  <si>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</si>
  <si>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</si>
  <si>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</si>
  <si>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</si>
  <si>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</si>
  <si>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</si>
  <si>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</si>
  <si>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</si>
  <si>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</si>
  <si>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</si>
  <si>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</si>
  <si>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</si>
  <si>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</si>
  <si>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</si>
  <si>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</si>
  <si>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</si>
  <si>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</si>
  <si>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</si>
  <si>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</si>
  <si>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</si>
  <si>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</si>
  <si>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</si>
  <si>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</si>
  <si>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</si>
  <si>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</si>
  <si>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</si>
  <si>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</si>
  <si>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</si>
  <si>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</si>
  <si>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</si>
  <si>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</si>
  <si>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</si>
  <si>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</si>
  <si>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</si>
  <si>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</si>
  <si>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</si>
  <si>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</si>
  <si>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</si>
  <si>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</si>
  <si>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</si>
  <si>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</si>
  <si>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</si>
  <si>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</si>
  <si>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</si>
  <si>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</si>
  <si>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</si>
  <si>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</si>
  <si>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</si>
  <si>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</si>
  <si>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</si>
  <si>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</si>
  <si>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</si>
  <si>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</si>
  <si>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</si>
  <si>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</si>
  <si>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</si>
  <si>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</si>
  <si>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</si>
  <si>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</si>
  <si>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</si>
  <si>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</si>
  <si>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</si>
  <si>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</si>
  <si>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</si>
  <si>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</si>
  <si>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</si>
  <si>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</si>
  <si>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</si>
  <si>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</si>
  <si>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</si>
  <si>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</si>
  <si>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</si>
  <si>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</si>
  <si>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</si>
  <si>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</si>
  <si>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</si>
  <si>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</si>
  <si>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</si>
  <si>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</si>
  <si>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</si>
  <si>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</si>
  <si>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</si>
  <si>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</si>
  <si>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</si>
  <si>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</si>
  <si>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</si>
  <si>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</si>
  <si>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</si>
  <si>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</si>
  <si>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</si>
  <si>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</si>
  <si>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</si>
  <si>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</si>
  <si>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</si>
  <si>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</si>
  <si>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</si>
  <si>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</si>
  <si>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</si>
  <si>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</si>
  <si>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</si>
  <si>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</si>
  <si>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</si>
  <si>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</si>
  <si>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</si>
  <si>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</si>
  <si>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</si>
  <si>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</si>
  <si>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</si>
  <si>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</si>
  <si>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</si>
  <si>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</si>
  <si>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</si>
  <si>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</si>
  <si>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</si>
  <si>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</si>
  <si>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</si>
  <si>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</si>
  <si>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</si>
  <si>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</si>
  <si>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</si>
  <si>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</si>
  <si>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</si>
  <si>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</si>
  <si>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</si>
  <si>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</si>
  <si>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</si>
  <si>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</si>
  <si>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</si>
  <si>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</si>
  <si>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</si>
  <si>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</si>
  <si>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</si>
  <si>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</si>
  <si>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</si>
  <si>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</si>
  <si>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</si>
  <si>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</si>
  <si>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</si>
  <si>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</si>
  <si>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</si>
  <si>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</si>
  <si>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</si>
  <si>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</si>
  <si>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</si>
  <si>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</si>
  <si>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</si>
  <si>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</si>
  <si>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</si>
  <si>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</si>
  <si>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</si>
  <si>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</si>
  <si>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</si>
  <si>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</si>
  <si>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</si>
  <si>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</si>
  <si>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</si>
  <si>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</si>
  <si>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</si>
  <si>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</si>
  <si>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</si>
  <si>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</si>
  <si>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</si>
  <si>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</si>
  <si>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</si>
  <si>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</si>
  <si>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</si>
  <si>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</si>
  <si>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</si>
  <si>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</si>
  <si>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</si>
  <si>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</si>
  <si>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</si>
  <si>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</si>
  <si>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</si>
  <si>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</si>
  <si>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</si>
  <si>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</si>
  <si>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</si>
  <si>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</si>
  <si>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</si>
  <si>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</si>
  <si>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</si>
  <si>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</si>
  <si>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</si>
  <si>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</si>
  <si>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</si>
  <si>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</si>
  <si>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</si>
  <si>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</si>
  <si>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</si>
  <si>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</si>
  <si>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</si>
  <si>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</si>
  <si>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</si>
  <si>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</si>
  <si>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</si>
  <si>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</si>
  <si>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</si>
  <si>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</si>
  <si>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</si>
  <si>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</si>
  <si>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</si>
  <si>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</si>
  <si>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</si>
  <si>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</si>
  <si>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</si>
  <si>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</si>
  <si>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</si>
  <si>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</si>
  <si>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</si>
  <si>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</si>
  <si>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</si>
  <si>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</si>
  <si>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</si>
  <si>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</si>
  <si>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</si>
  <si>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</si>
  <si>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</si>
  <si>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</si>
  <si>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</si>
  <si>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</si>
  <si>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</si>
  <si>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</si>
  <si>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</si>
  <si>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</si>
  <si>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</si>
  <si>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</si>
  <si>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</si>
  <si>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</si>
  <si>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</si>
  <si>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</si>
  <si>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</si>
  <si>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</si>
  <si>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</si>
  <si>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</si>
  <si>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</si>
  <si>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</si>
  <si>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</si>
  <si>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</si>
  <si>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</si>
  <si>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</si>
  <si>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</si>
  <si>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</si>
  <si>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</si>
  <si>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</si>
  <si>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</si>
  <si>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</si>
  <si>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</si>
  <si>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</si>
  <si>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</si>
  <si>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</si>
  <si>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</si>
  <si>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</si>
  <si>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</si>
  <si>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</si>
  <si>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</si>
  <si>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</si>
  <si>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</si>
  <si>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</si>
  <si>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</si>
  <si>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</si>
  <si>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</si>
  <si>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</si>
  <si>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</si>
  <si>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</si>
  <si>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</si>
  <si>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</si>
  <si>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</si>
  <si>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</si>
  <si>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</si>
  <si>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</si>
  <si>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</si>
  <si>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</si>
  <si>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</si>
  <si>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</si>
  <si>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</si>
  <si>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</si>
  <si>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</si>
  <si>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</si>
  <si>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</si>
  <si>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</si>
  <si>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</si>
  <si>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</si>
  <si>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</si>
  <si>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</si>
  <si>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</si>
  <si>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</si>
  <si>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</si>
  <si>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</si>
  <si>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</si>
  <si>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</si>
  <si>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</si>
  <si>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</si>
  <si>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</si>
  <si>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</si>
  <si>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</si>
  <si>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</si>
  <si>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</si>
  <si>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</si>
  <si>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</si>
  <si>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</si>
  <si>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</si>
  <si>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</si>
  <si>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</si>
  <si>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</si>
  <si>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</si>
  <si>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</si>
  <si>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</si>
  <si>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</si>
  <si>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</si>
  <si>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</si>
  <si>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</si>
  <si>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</si>
  <si>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</si>
  <si>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</si>
  <si>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</si>
  <si>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</si>
  <si>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</si>
  <si>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</si>
  <si>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</si>
  <si>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</si>
  <si>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</si>
  <si>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</si>
  <si>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</si>
  <si>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</si>
  <si>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</si>
  <si>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</si>
  <si>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</si>
  <si>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</si>
  <si>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</si>
  <si>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</si>
  <si>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</si>
  <si>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</si>
  <si>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</si>
  <si>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</si>
  <si>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</si>
  <si>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</si>
  <si>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</si>
  <si>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</si>
  <si>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</si>
  <si>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</si>
  <si>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</si>
  <si>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</si>
  <si>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</si>
  <si>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</si>
  <si>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</si>
  <si>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</si>
  <si>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</si>
  <si>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</si>
  <si>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</si>
  <si>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</si>
  <si>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</si>
  <si>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</si>
  <si>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</si>
  <si>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</si>
  <si>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</si>
  <si>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</si>
  <si>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</si>
  <si>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</si>
  <si>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</si>
  <si>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</si>
  <si>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</si>
  <si>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</si>
  <si>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</si>
  <si>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</si>
  <si>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</si>
  <si>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</si>
  <si>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</si>
  <si>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</si>
  <si>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</si>
  <si>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</si>
  <si>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</si>
  <si>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</si>
  <si>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</si>
  <si>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</si>
  <si>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</si>
  <si>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</si>
  <si>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</si>
  <si>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</si>
  <si>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</si>
  <si>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</si>
  <si>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</si>
  <si>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</si>
  <si>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</si>
  <si>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</si>
  <si>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</si>
  <si>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</si>
  <si>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</si>
  <si>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</si>
  <si>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</si>
  <si>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</si>
  <si>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</si>
  <si>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</si>
  <si>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</si>
  <si>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</si>
  <si>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</si>
  <si>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</si>
  <si>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</si>
  <si>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</si>
  <si>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</si>
  <si>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</si>
  <si>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</si>
  <si>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</si>
  <si>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</si>
  <si>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</si>
  <si>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</si>
  <si>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</si>
  <si>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</si>
  <si>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</si>
  <si>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</si>
  <si>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</si>
  <si>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</si>
  <si>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</si>
  <si>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</si>
  <si>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</si>
  <si>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</si>
  <si>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</si>
  <si>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</si>
  <si>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</si>
  <si>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</si>
  <si>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</si>
  <si>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</si>
  <si>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</si>
  <si>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</si>
  <si>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</si>
  <si>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</si>
  <si>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</si>
  <si>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</si>
  <si>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</si>
  <si>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</si>
  <si>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</si>
  <si>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</si>
  <si>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</si>
  <si>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</si>
  <si>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</si>
  <si>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</si>
  <si>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</si>
  <si>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</si>
  <si>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</si>
  <si>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</si>
  <si>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</si>
  <si>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</si>
  <si>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</si>
  <si>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</si>
  <si>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</si>
  <si>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</si>
  <si>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</si>
  <si>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</si>
  <si>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</si>
  <si>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</si>
  <si>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</si>
  <si>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</si>
  <si>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</si>
  <si>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</si>
  <si>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</si>
  <si>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</si>
  <si>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</si>
  <si>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</si>
  <si>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</si>
  <si>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</si>
  <si>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</si>
  <si>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</si>
  <si>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</si>
  <si>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</si>
  <si>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</si>
  <si>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</si>
  <si>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</si>
  <si>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</si>
  <si>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</si>
  <si>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</si>
  <si>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</si>
  <si>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</si>
  <si>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</si>
  <si>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</si>
  <si>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</si>
  <si>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</si>
  <si>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</si>
  <si>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</si>
  <si>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</si>
  <si>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</si>
  <si>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</si>
  <si>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</si>
  <si>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</si>
  <si>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</si>
  <si>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</si>
  <si>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</si>
  <si>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</si>
  <si>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</si>
  <si>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</si>
  <si>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</si>
  <si>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</si>
  <si>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</si>
  <si>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</si>
  <si>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</si>
  <si>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</si>
  <si>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</si>
  <si>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</si>
  <si>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</si>
  <si>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</si>
  <si>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</si>
  <si>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</si>
  <si>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</si>
  <si>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</si>
  <si>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</si>
  <si>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</si>
  <si>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</si>
  <si>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</si>
  <si>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</si>
  <si>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</si>
  <si>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</si>
  <si>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</si>
  <si>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</si>
  <si>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</si>
  <si>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</si>
  <si>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</si>
  <si>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</si>
  <si>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</si>
  <si>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</si>
  <si>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</si>
  <si>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</si>
  <si>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</si>
  <si>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</si>
  <si>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</si>
  <si>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</si>
  <si>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</si>
  <si>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</si>
  <si>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</si>
  <si>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</si>
  <si>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</si>
  <si>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</si>
  <si>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</si>
  <si>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</si>
  <si>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</si>
  <si>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</si>
  <si>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</si>
  <si>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</si>
  <si>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</si>
  <si>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</si>
  <si>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</si>
  <si>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</si>
  <si>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</si>
  <si>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</si>
  <si>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</si>
  <si>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</si>
  <si>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</si>
  <si>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</si>
  <si>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</si>
  <si>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</si>
  <si>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</si>
  <si>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</si>
  <si>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</si>
  <si>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</si>
  <si>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</si>
  <si>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</si>
  <si>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</si>
  <si>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</si>
  <si>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</si>
  <si>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</si>
  <si>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</si>
  <si>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</si>
  <si>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</si>
  <si>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</si>
  <si>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</si>
  <si>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</si>
  <si>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</si>
  <si>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</si>
  <si>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</si>
  <si>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</si>
  <si>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</si>
  <si>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</si>
  <si>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</si>
  <si>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</si>
  <si>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</si>
  <si>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</si>
  <si>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</si>
  <si>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</si>
  <si>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</si>
  <si>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</si>
  <si>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</si>
  <si>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</si>
  <si>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</si>
  <si>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</si>
  <si>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</si>
  <si>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</si>
  <si>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</si>
  <si>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</si>
  <si>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</si>
  <si>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</si>
  <si>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</si>
  <si>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</si>
  <si>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</si>
  <si>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</si>
  <si>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</si>
  <si>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</si>
  <si>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</si>
  <si>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</si>
  <si>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</si>
  <si>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</si>
  <si>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</si>
  <si>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</si>
  <si>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</si>
  <si>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</si>
  <si>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</si>
  <si>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</si>
  <si>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</si>
  <si>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</si>
  <si>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</si>
  <si>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</si>
  <si>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</si>
  <si>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</si>
  <si>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</si>
  <si>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</si>
  <si>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</si>
  <si>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</si>
  <si>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</si>
  <si>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</si>
  <si>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</si>
  <si>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</si>
  <si>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</si>
  <si>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</si>
  <si>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</si>
  <si>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</si>
  <si>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</si>
  <si>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</si>
  <si>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</si>
  <si>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</si>
  <si>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</si>
  <si>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</si>
  <si>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</si>
  <si>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</si>
  <si>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</si>
  <si>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</si>
  <si>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</si>
  <si>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</si>
  <si>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</si>
  <si>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</si>
  <si>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</si>
  <si>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</si>
  <si>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</si>
  <si>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</si>
  <si>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</si>
  <si>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</si>
  <si>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</si>
  <si>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</si>
  <si>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</si>
  <si>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</si>
  <si>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</si>
  <si>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</si>
  <si>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</si>
  <si>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</si>
  <si>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</si>
  <si>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</si>
  <si>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</si>
  <si>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</si>
  <si>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</si>
  <si>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</si>
  <si>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</si>
  <si>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</si>
  <si>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</si>
  <si>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</si>
  <si>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</si>
  <si>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</si>
  <si>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</si>
  <si>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</si>
  <si>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</si>
  <si>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</si>
  <si>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</si>
  <si>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</si>
  <si>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</si>
  <si>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</si>
  <si>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</si>
  <si>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</si>
  <si>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</si>
  <si>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</si>
  <si>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</si>
  <si>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</si>
  <si>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</si>
  <si>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</si>
  <si>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</si>
  <si>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</si>
  <si>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</si>
  <si>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</si>
  <si>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</si>
  <si>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</si>
  <si>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</si>
  <si>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</si>
  <si>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</si>
  <si>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</si>
  <si>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</si>
  <si>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</si>
  <si>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</si>
  <si>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</si>
  <si>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</si>
  <si>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</si>
  <si>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</si>
  <si>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</si>
  <si>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</si>
  <si>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</si>
  <si>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</si>
  <si>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</si>
  <si>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</si>
  <si>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</si>
  <si>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</si>
  <si>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</si>
  <si>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</si>
  <si>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</si>
  <si>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</si>
  <si>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</si>
  <si>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</si>
  <si>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</si>
  <si>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</si>
  <si>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</si>
  <si>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</si>
  <si>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</si>
  <si>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</si>
  <si>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</si>
  <si>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</si>
  <si>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</si>
  <si>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</si>
  <si>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</si>
  <si>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</si>
  <si>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</si>
  <si>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</si>
  <si>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</si>
  <si>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</si>
  <si>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</si>
  <si>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</si>
  <si>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</si>
  <si>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</si>
  <si>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</si>
  <si>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</si>
  <si>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</si>
  <si>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</si>
  <si>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</si>
  <si>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</si>
  <si>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</si>
  <si>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</si>
  <si>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</si>
  <si>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</si>
  <si>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</si>
  <si>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</si>
  <si>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</si>
  <si>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</si>
  <si>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</si>
  <si>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</si>
  <si>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</si>
  <si>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</si>
  <si>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</si>
  <si>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</si>
  <si>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</si>
  <si>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</si>
  <si>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</si>
  <si>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</si>
  <si>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</si>
  <si>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</si>
  <si>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</si>
  <si>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</si>
  <si>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</si>
  <si>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</si>
  <si>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</si>
  <si>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</si>
  <si>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</si>
  <si>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</si>
  <si>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</si>
  <si>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</si>
  <si>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</si>
  <si>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</si>
  <si>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</si>
  <si>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</si>
  <si>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</si>
  <si>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</si>
  <si>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</si>
  <si>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</si>
  <si>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</si>
  <si>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</si>
  <si>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</si>
  <si>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</si>
  <si>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</si>
  <si>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</si>
  <si>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</si>
  <si>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</si>
  <si>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</si>
  <si>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</si>
  <si>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</si>
  <si>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</si>
  <si>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</si>
  <si>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</si>
  <si>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</si>
  <si>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</si>
  <si>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</si>
  <si>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</si>
  <si>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</si>
  <si>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</si>
  <si>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</si>
  <si>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</si>
  <si>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</si>
  <si>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</si>
  <si>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</si>
  <si>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</si>
  <si>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</si>
  <si>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</si>
  <si>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</si>
  <si>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</si>
  <si>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</si>
  <si>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</si>
  <si>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</si>
  <si>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</si>
  <si>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</si>
  <si>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</si>
  <si>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</si>
  <si>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</si>
  <si>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</si>
  <si>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</si>
  <si>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</si>
  <si>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</si>
  <si>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</si>
  <si>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</si>
  <si>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</si>
  <si>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</si>
  <si>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</si>
  <si>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</si>
  <si>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</si>
  <si>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</si>
  <si>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</si>
  <si>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</si>
  <si>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</si>
  <si>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</si>
  <si>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</si>
  <si>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</si>
  <si>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</si>
  <si>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</si>
  <si>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</si>
  <si>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</si>
  <si>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</si>
  <si>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</si>
  <si>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</si>
  <si>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</si>
  <si>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</si>
  <si>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</si>
  <si>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</si>
  <si>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</si>
  <si>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</si>
  <si>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</si>
  <si>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</si>
  <si>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</si>
  <si>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</si>
  <si>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</si>
  <si>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</si>
  <si>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</si>
  <si>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</si>
  <si>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</si>
  <si>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</si>
  <si>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</si>
  <si>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</si>
  <si>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</si>
  <si>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</si>
  <si>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</si>
  <si>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</si>
  <si>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</si>
  <si>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</si>
  <si>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</si>
  <si>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</si>
  <si>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</si>
  <si>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</si>
  <si>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</si>
  <si>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</si>
  <si>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</si>
  <si>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</si>
  <si>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</si>
  <si>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</si>
  <si>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</si>
  <si>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</si>
  <si>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</si>
  <si>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</si>
  <si>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</si>
  <si>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</si>
  <si>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</si>
  <si>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</si>
  <si>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</si>
  <si>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</si>
  <si>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</si>
  <si>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</si>
  <si>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</si>
  <si>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</si>
  <si>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</si>
  <si>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</si>
  <si>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</si>
  <si>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</si>
  <si>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</si>
  <si>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</si>
  <si>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</si>
  <si>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</si>
  <si>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</si>
  <si>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</si>
  <si>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</si>
  <si>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</si>
  <si>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</si>
  <si>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</si>
  <si>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</si>
  <si>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</si>
  <si>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</si>
  <si>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</si>
  <si>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</si>
  <si>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</si>
  <si>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</si>
  <si>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</si>
  <si>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</si>
  <si>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</si>
  <si>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</si>
  <si>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</si>
  <si>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</si>
  <si>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</si>
  <si>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</si>
  <si>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</si>
  <si>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</si>
  <si>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</si>
  <si>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</si>
  <si>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</si>
  <si>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</si>
  <si>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</si>
  <si>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</si>
  <si>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</si>
  <si>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</si>
  <si>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</si>
  <si>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</si>
  <si>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</si>
  <si>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</si>
  <si>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</si>
  <si>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</si>
  <si>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</si>
  <si>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</si>
  <si>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</si>
  <si>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</si>
  <si>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</si>
  <si>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</si>
  <si>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</si>
  <si>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</si>
  <si>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</si>
  <si>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</si>
  <si>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</si>
  <si>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</si>
  <si>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</si>
  <si>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</si>
  <si>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</si>
  <si>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</si>
  <si>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</si>
  <si>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</si>
  <si>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</si>
  <si>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</si>
  <si>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</si>
  <si>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</si>
  <si>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</si>
  <si>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</si>
  <si>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</si>
  <si>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</si>
  <si>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</si>
  <si>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</si>
  <si>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</si>
  <si>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</si>
  <si>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</si>
  <si>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</si>
  <si>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</si>
  <si>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</si>
  <si>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</si>
  <si>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</si>
  <si>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</si>
  <si>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</si>
  <si>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</si>
  <si>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</si>
  <si>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</si>
  <si>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</si>
  <si>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</si>
  <si>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</si>
  <si>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</si>
  <si>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</si>
  <si>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</si>
  <si>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</si>
  <si>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</si>
  <si>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</si>
  <si>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</si>
  <si>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</si>
  <si>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</si>
  <si>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</si>
  <si>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</si>
  <si>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</si>
  <si>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</si>
  <si>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</si>
  <si>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</si>
  <si>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</si>
  <si>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</si>
  <si>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</si>
  <si>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</si>
  <si>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</si>
  <si>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</si>
  <si>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</si>
  <si>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</si>
  <si>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</si>
  <si>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</si>
  <si>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</si>
  <si>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</si>
  <si>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</si>
  <si>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</si>
  <si>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</si>
  <si>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</si>
  <si>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</si>
  <si>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</si>
  <si>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</si>
  <si>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</si>
  <si>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</si>
  <si>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</si>
  <si>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</si>
  <si>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</si>
  <si>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</si>
  <si>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</si>
  <si>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</si>
  <si>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</si>
  <si>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</si>
  <si>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</si>
  <si>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</si>
  <si>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</si>
  <si>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</si>
  <si>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</si>
  <si>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</si>
  <si>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</si>
  <si>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</si>
  <si>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</si>
  <si>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</si>
  <si>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</si>
  <si>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</si>
  <si>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</si>
  <si>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</si>
  <si>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</si>
  <si>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</si>
  <si>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</si>
  <si>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</si>
  <si>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</si>
  <si>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</si>
  <si>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</si>
  <si>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</si>
  <si>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</si>
  <si>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</si>
  <si>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</si>
  <si>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</si>
  <si>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</si>
  <si>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</si>
  <si>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</si>
  <si>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</si>
  <si>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</si>
  <si>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</si>
  <si>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</si>
  <si>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</si>
  <si>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</si>
  <si>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</si>
  <si>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</si>
  <si>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</si>
  <si>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</si>
  <si>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</si>
  <si>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</si>
  <si>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</si>
  <si>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</si>
  <si>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</si>
  <si>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</si>
  <si>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</si>
  <si>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</si>
  <si>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</si>
  <si>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</si>
  <si>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</si>
  <si>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</si>
  <si>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</si>
  <si>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</si>
  <si>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</si>
  <si>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</si>
  <si>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</si>
  <si>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</si>
  <si>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</si>
  <si>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</si>
  <si>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</si>
  <si>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</si>
  <si>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</si>
  <si>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</si>
  <si>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</si>
  <si>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</si>
  <si>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</si>
  <si>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</si>
  <si>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</si>
  <si>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</si>
  <si>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</si>
  <si>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</si>
  <si>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</si>
  <si>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</si>
  <si>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</si>
  <si>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</si>
  <si>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</si>
  <si>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</si>
  <si>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</si>
  <si>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</si>
  <si>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</si>
  <si>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</si>
  <si>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</si>
  <si>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</si>
  <si>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</si>
  <si>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</si>
  <si>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</si>
  <si>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</si>
  <si>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</si>
  <si>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</si>
  <si>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</si>
  <si>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</si>
  <si>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</si>
  <si>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</si>
  <si>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</si>
  <si>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</si>
  <si>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</si>
  <si>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</si>
  <si>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</si>
  <si>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</si>
  <si>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</si>
  <si>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</si>
  <si>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</si>
  <si>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</si>
  <si>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</si>
  <si>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</si>
  <si>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</si>
  <si>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</si>
  <si>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</si>
  <si>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</si>
  <si>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</si>
  <si>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</si>
  <si>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</si>
  <si>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</si>
  <si>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</si>
  <si>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</si>
  <si>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</si>
  <si>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</si>
  <si>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</si>
  <si>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</si>
  <si>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</si>
  <si>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</si>
  <si>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</si>
  <si>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</si>
  <si>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</si>
  <si>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</si>
  <si>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</si>
  <si>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</si>
  <si>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</si>
  <si>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</si>
  <si>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</si>
  <si>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</si>
  <si>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</si>
  <si>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</si>
  <si>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</si>
  <si>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</si>
  <si>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</si>
  <si>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</si>
  <si>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</si>
  <si>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</si>
  <si>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</si>
  <si>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</si>
  <si>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</si>
  <si>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</si>
  <si>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</si>
  <si>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</si>
  <si>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</si>
  <si>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</si>
  <si>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</si>
  <si>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</si>
  <si>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</si>
  <si>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</si>
  <si>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</si>
  <si>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</si>
  <si>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</si>
  <si>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</si>
  <si>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</si>
  <si>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</si>
  <si>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</si>
  <si>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</si>
  <si>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</si>
  <si>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</si>
  <si>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</si>
  <si>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</si>
  <si>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</si>
  <si>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</si>
  <si>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</si>
  <si>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</si>
  <si>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</si>
  <si>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</si>
  <si>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</si>
  <si>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</si>
  <si>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</si>
  <si>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</si>
  <si>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</si>
  <si>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</si>
  <si>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</si>
  <si>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</si>
  <si>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</si>
  <si>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</si>
  <si>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</si>
  <si>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</si>
  <si>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</si>
  <si>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</si>
  <si>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</si>
  <si>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</si>
  <si>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</si>
  <si>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</si>
  <si>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</si>
  <si>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</si>
  <si>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</si>
  <si>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</si>
  <si>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</si>
  <si>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</si>
  <si>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</si>
  <si>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</si>
  <si>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</si>
  <si>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</si>
  <si>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</si>
  <si>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</si>
  <si>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</si>
  <si>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</si>
  <si>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</si>
  <si>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</si>
  <si>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</si>
  <si>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</si>
  <si>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</si>
  <si>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</si>
  <si>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</si>
  <si>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</si>
  <si>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</si>
  <si>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</si>
  <si>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</si>
  <si>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</si>
  <si>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</si>
  <si>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</si>
  <si>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</si>
  <si>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</si>
  <si>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</si>
  <si>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</si>
  <si>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</si>
  <si>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</si>
  <si>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</si>
  <si>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</si>
  <si>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</si>
  <si>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</si>
  <si>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</si>
  <si>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</si>
  <si>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</si>
  <si>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</si>
  <si>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</si>
  <si>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</si>
  <si>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</si>
  <si>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</si>
  <si>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</si>
  <si>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</si>
  <si>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</si>
  <si>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</si>
  <si>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</si>
  <si>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</si>
  <si>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</si>
  <si>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</si>
  <si>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</si>
  <si>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</si>
  <si>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</si>
  <si>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</si>
  <si>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</si>
  <si>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</si>
  <si>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</si>
  <si>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</si>
  <si>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</si>
  <si>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</si>
  <si>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</si>
  <si>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</si>
  <si>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</si>
  <si>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</si>
  <si>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</si>
  <si>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</si>
  <si>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</si>
  <si>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</si>
  <si>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</si>
  <si>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</si>
  <si>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</si>
  <si>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</si>
  <si>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</si>
  <si>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</si>
  <si>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</si>
  <si>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</si>
  <si>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</si>
  <si>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</si>
  <si>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</si>
  <si>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</si>
  <si>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</si>
  <si>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</si>
  <si>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</si>
  <si>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</si>
  <si>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</si>
  <si>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</si>
  <si>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</si>
  <si>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</si>
  <si>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</si>
  <si>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</si>
  <si>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</si>
  <si>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</si>
  <si>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</si>
  <si>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</si>
  <si>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</si>
  <si>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</si>
  <si>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</si>
  <si>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</si>
  <si>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</si>
  <si>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</si>
  <si>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</si>
  <si>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</si>
  <si>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</si>
  <si>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</si>
  <si>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</si>
  <si>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</si>
  <si>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</si>
  <si>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</si>
  <si>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</si>
  <si>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</si>
  <si>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</si>
  <si>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</si>
  <si>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</si>
  <si>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</si>
  <si>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</si>
  <si>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</si>
  <si>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</si>
  <si>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</si>
  <si>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</si>
  <si>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</si>
  <si>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</si>
  <si>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</si>
  <si>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</si>
  <si>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</si>
  <si>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</si>
  <si>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</si>
  <si>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</si>
  <si>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</si>
  <si>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</si>
  <si>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</si>
  <si>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</si>
  <si>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</si>
  <si>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</si>
  <si>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</si>
  <si>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</si>
  <si>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</si>
  <si>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</si>
  <si>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</si>
  <si>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</si>
  <si>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</si>
  <si>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</si>
  <si>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</si>
  <si>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</si>
  <si>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</si>
  <si>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</si>
  <si>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</si>
  <si>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</si>
  <si>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</si>
  <si>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</si>
  <si>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</si>
  <si>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</si>
  <si>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</si>
  <si>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</si>
  <si>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</si>
  <si>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</si>
  <si>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</si>
  <si>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</si>
  <si>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</si>
  <si>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</si>
  <si>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</si>
  <si>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</si>
  <si>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</si>
  <si>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</si>
  <si>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</si>
  <si>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</si>
  <si>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</si>
  <si>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</si>
  <si>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</si>
  <si>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</si>
  <si>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</si>
  <si>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</si>
  <si>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</si>
  <si>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</si>
  <si>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</si>
  <si>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</si>
  <si>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</si>
  <si>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</si>
  <si>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</si>
  <si>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</si>
  <si>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</si>
  <si>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</si>
  <si>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</si>
  <si>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</si>
  <si>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</si>
  <si>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</si>
  <si>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</si>
  <si>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</si>
  <si>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</si>
  <si>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</si>
  <si>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</si>
  <si>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</si>
  <si>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</si>
  <si>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</si>
  <si>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</si>
  <si>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</si>
  <si>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</si>
  <si>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</si>
  <si>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</si>
  <si>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</si>
  <si>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</si>
  <si>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</si>
  <si>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</si>
  <si>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</si>
  <si>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</si>
  <si>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</si>
  <si>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</si>
  <si>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</si>
  <si>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</si>
  <si>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</si>
  <si>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</si>
  <si>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</si>
  <si>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</si>
  <si>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</si>
  <si>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</si>
  <si>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</si>
  <si>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</si>
  <si>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</si>
  <si>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</si>
  <si>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</si>
  <si>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</si>
  <si>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</si>
  <si>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</si>
  <si>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</si>
  <si>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</si>
  <si>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</si>
  <si>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</si>
  <si>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</si>
  <si>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</si>
  <si>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</si>
  <si>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</si>
  <si>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</si>
  <si>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</si>
  <si>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</si>
  <si>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</si>
  <si>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</si>
  <si>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</si>
  <si>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</si>
  <si>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</si>
  <si>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</si>
  <si>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</si>
  <si>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</si>
  <si>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</si>
  <si>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</si>
  <si>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</si>
  <si>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</si>
  <si>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</si>
  <si>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</si>
  <si>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</si>
  <si>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</si>
  <si>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</si>
  <si>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</si>
  <si>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</si>
  <si>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</si>
  <si>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</si>
  <si>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</si>
  <si>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</si>
  <si>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</si>
  <si>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</si>
  <si>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</si>
  <si>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</si>
  <si>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</si>
  <si>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</si>
  <si>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</si>
  <si>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</si>
  <si>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</si>
  <si>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</si>
  <si>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</si>
  <si>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</si>
  <si>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</si>
  <si>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</si>
  <si>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</si>
  <si>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</si>
  <si>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</si>
  <si>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</si>
  <si>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</si>
  <si>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</si>
  <si>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</si>
  <si>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</si>
  <si>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</si>
  <si>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</si>
  <si>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</si>
  <si>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</si>
  <si>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</si>
  <si>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</si>
  <si>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</si>
  <si>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</si>
  <si>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</si>
  <si>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</si>
  <si>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</si>
  <si>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</si>
  <si>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</si>
  <si>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</si>
  <si>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</si>
  <si>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</si>
  <si>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</si>
  <si>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</si>
  <si>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</si>
  <si>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</si>
  <si>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</si>
  <si>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</si>
  <si>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</si>
  <si>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</si>
  <si>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</si>
  <si>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</si>
  <si>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</si>
  <si>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</si>
  <si>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</si>
  <si>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</si>
  <si>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</si>
  <si>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</si>
  <si>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</si>
  <si>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</si>
  <si>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</si>
  <si>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</si>
  <si>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</si>
  <si>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</si>
  <si>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</si>
  <si>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</si>
  <si>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</si>
  <si>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</si>
  <si>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</si>
  <si>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</si>
  <si>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</si>
  <si>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</si>
  <si>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</si>
  <si>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</si>
  <si>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</si>
  <si>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</si>
  <si>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</si>
  <si>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</si>
  <si>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</si>
  <si>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</si>
  <si>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</si>
  <si>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</si>
  <si>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</si>
  <si>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</si>
  <si>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</si>
  <si>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</si>
  <si>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</si>
  <si>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</si>
  <si>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</si>
  <si>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</si>
  <si>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</si>
  <si>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</si>
  <si>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</si>
  <si>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</si>
  <si>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</si>
  <si>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</si>
  <si>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</si>
  <si>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</si>
  <si>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</si>
  <si>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</si>
  <si>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</si>
  <si>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</si>
  <si>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</si>
  <si>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</si>
  <si>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</si>
  <si>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</si>
  <si>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</si>
  <si>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</si>
  <si>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</si>
  <si>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</si>
  <si>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</si>
  <si>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</si>
  <si>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</si>
  <si>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</si>
  <si>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</si>
  <si>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</si>
  <si>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</si>
  <si>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</si>
  <si>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</si>
  <si>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</si>
  <si>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</si>
  <si>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</si>
  <si>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</si>
  <si>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</si>
  <si>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</si>
  <si>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</si>
  <si>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</si>
  <si>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</si>
  <si>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</si>
  <si>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</si>
  <si>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</si>
  <si>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</si>
  <si>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</si>
  <si>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</si>
  <si>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</si>
  <si>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</si>
  <si>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</si>
  <si>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</si>
  <si>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</si>
  <si>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</si>
  <si>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</si>
  <si>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</si>
  <si>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</si>
  <si>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</si>
  <si>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</si>
  <si>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</si>
  <si>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</si>
  <si>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</si>
  <si>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</si>
  <si>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</si>
  <si>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</si>
  <si>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</si>
  <si>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</si>
  <si>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</si>
  <si>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</si>
  <si>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</si>
  <si>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</si>
  <si>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</si>
  <si>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</si>
  <si>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</si>
  <si>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</si>
  <si>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</si>
  <si>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</si>
  <si>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</si>
  <si>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</si>
  <si>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</si>
  <si>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</si>
  <si>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</si>
  <si>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</si>
  <si>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</si>
  <si>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</si>
  <si>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</si>
  <si>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</si>
  <si>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</si>
  <si>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</si>
  <si>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</si>
  <si>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</si>
  <si>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</si>
  <si>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</si>
  <si>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</si>
  <si>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</si>
  <si>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</si>
  <si>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</si>
  <si>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</si>
  <si>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</si>
  <si>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</si>
  <si>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</si>
  <si>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</si>
  <si>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</si>
  <si>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</si>
  <si>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</si>
  <si>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</si>
  <si>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</si>
  <si>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</si>
  <si>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</si>
  <si>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</si>
  <si>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</si>
  <si>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</si>
  <si>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</si>
  <si>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</si>
  <si>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</si>
  <si>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</si>
  <si>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</si>
  <si>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</si>
  <si>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</si>
  <si>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</si>
  <si>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</si>
  <si>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</si>
  <si>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</si>
  <si>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</si>
  <si>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</si>
  <si>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</si>
  <si>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</si>
  <si>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</si>
  <si>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</si>
  <si>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</si>
  <si>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</si>
  <si>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</si>
  <si>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</si>
  <si>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</si>
  <si>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</si>
  <si>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</si>
  <si>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</si>
  <si>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</si>
  <si>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</si>
  <si>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</si>
  <si>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</si>
  <si>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</si>
  <si>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</si>
  <si>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</si>
  <si>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</si>
  <si>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</si>
  <si>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</si>
  <si>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</si>
  <si>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</si>
  <si>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</si>
  <si>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</si>
  <si>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</si>
  <si>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</si>
  <si>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</si>
  <si>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</si>
  <si>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</si>
  <si>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</si>
  <si>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</si>
  <si>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</si>
  <si>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</si>
  <si>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</si>
  <si>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</si>
  <si>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</si>
  <si>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</si>
  <si>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</si>
  <si>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</si>
  <si>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</si>
  <si>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</si>
  <si>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</si>
  <si>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</si>
  <si>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</si>
  <si>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</si>
  <si>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</si>
  <si>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</si>
  <si>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</si>
  <si>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</si>
  <si>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</si>
  <si>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</si>
  <si>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</si>
  <si>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</si>
  <si>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</si>
  <si>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</si>
  <si>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</si>
  <si>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</si>
  <si>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</si>
  <si>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</si>
  <si>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</si>
  <si>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</si>
  <si>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</si>
  <si>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</si>
  <si>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</si>
  <si>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</si>
  <si>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</si>
  <si>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</si>
  <si>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</si>
  <si>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</si>
  <si>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</si>
  <si>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</si>
  <si>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</si>
  <si>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</si>
  <si>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</si>
  <si>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</si>
  <si>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</si>
  <si>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</si>
  <si>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</si>
  <si>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</si>
  <si>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</si>
  <si>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</si>
  <si>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</si>
  <si>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</si>
  <si>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</si>
  <si>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</si>
  <si>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</si>
  <si>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</si>
  <si>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</si>
  <si>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</si>
  <si>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</si>
  <si>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</si>
  <si>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</si>
  <si>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</si>
  <si>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</si>
  <si>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</si>
  <si>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</si>
  <si>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</si>
  <si>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</si>
  <si>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</si>
  <si>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</si>
  <si>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</si>
  <si>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</si>
  <si>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</si>
  <si>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</si>
  <si>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</si>
  <si>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</si>
  <si>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</si>
  <si>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</si>
  <si>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</si>
  <si>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</si>
  <si>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</si>
  <si>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</si>
  <si>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</si>
  <si>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</si>
  <si>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</si>
  <si>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</si>
  <si>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</si>
  <si>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</si>
  <si>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</si>
  <si>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</si>
  <si>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</si>
  <si>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</si>
  <si>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</si>
  <si>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</si>
  <si>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</si>
  <si>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</si>
  <si>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</si>
  <si>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</si>
  <si>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</si>
  <si>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</si>
  <si>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</si>
  <si>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</si>
  <si>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</si>
  <si>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</si>
  <si>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</si>
  <si>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</si>
  <si>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</si>
  <si>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</si>
  <si>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</si>
  <si>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</si>
  <si>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</si>
  <si>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</si>
  <si>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</si>
  <si>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</si>
  <si>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</si>
  <si>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</si>
  <si>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</si>
  <si>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</si>
  <si>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</si>
  <si>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</si>
  <si>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</si>
  <si>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</si>
  <si>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</si>
  <si>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</si>
  <si>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</si>
  <si>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</si>
  <si>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</si>
  <si>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</si>
  <si>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</si>
  <si>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</si>
  <si>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</si>
  <si>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</si>
  <si>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</si>
  <si>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</si>
  <si>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</si>
  <si>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</si>
  <si>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</si>
  <si>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</si>
  <si>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</si>
  <si>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</si>
  <si>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</si>
  <si>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</si>
  <si>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</si>
  <si>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</si>
  <si>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</si>
  <si>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</si>
  <si>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</si>
  <si>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</si>
  <si>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</si>
  <si>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</si>
  <si>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</si>
  <si>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</si>
  <si>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</si>
  <si>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</si>
  <si>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</si>
  <si>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</si>
  <si>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</si>
  <si>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</si>
  <si>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</si>
  <si>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</si>
  <si>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</si>
  <si>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</si>
  <si>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</si>
  <si>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</si>
  <si>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</si>
  <si>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</si>
  <si>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</si>
  <si>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</si>
  <si>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</si>
  <si>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</si>
  <si>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</si>
  <si>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</si>
  <si>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</si>
  <si>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</si>
  <si>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</si>
  <si>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</si>
  <si>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</si>
  <si>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</si>
  <si>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</si>
  <si>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</si>
  <si>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</si>
  <si>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</si>
  <si>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</si>
  <si>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</si>
  <si>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</si>
  <si>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</si>
  <si>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</si>
  <si>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</si>
  <si>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</si>
  <si>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</si>
  <si>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</si>
  <si>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</si>
  <si>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</si>
  <si>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</si>
  <si>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</si>
  <si>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</si>
  <si>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</si>
  <si>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</si>
  <si>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</si>
  <si>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</si>
  <si>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</si>
  <si>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</si>
  <si>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</si>
  <si>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</si>
  <si>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</si>
  <si>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</si>
  <si>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</si>
  <si>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</si>
  <si>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</si>
  <si>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</si>
  <si>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</si>
  <si>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</si>
  <si>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</si>
  <si>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</si>
  <si>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居住</t>
    <phoneticPr fontId="6" type="noConversion"/>
  </si>
  <si>
    <t>一致</t>
  </si>
  <si>
    <t>否</t>
  </si>
  <si>
    <t>居住项目</t>
  </si>
  <si>
    <t>无</t>
  </si>
  <si>
    <t>场地平整</t>
  </si>
  <si>
    <t>平整</t>
  </si>
  <si>
    <t>通路</t>
  </si>
  <si>
    <t>通电</t>
  </si>
  <si>
    <t>通讯</t>
  </si>
  <si>
    <t>通上水</t>
  </si>
  <si>
    <t>通下水</t>
  </si>
  <si>
    <t>通热</t>
  </si>
  <si>
    <t>燃气</t>
  </si>
  <si>
    <t>住宅</t>
    <phoneticPr fontId="7" type="noConversion"/>
  </si>
  <si>
    <t>地上</t>
  </si>
  <si>
    <t>押一</t>
  </si>
  <si>
    <t>地块名称</t>
  </si>
  <si>
    <t>城市</t>
  </si>
  <si>
    <t>用地性质</t>
  </si>
  <si>
    <t>区县</t>
  </si>
  <si>
    <t>土地位置</t>
  </si>
  <si>
    <t>出让方式</t>
  </si>
  <si>
    <t>地块编号</t>
  </si>
  <si>
    <t>建设用地面积(㎡)</t>
  </si>
  <si>
    <t>规划建筑面积(㎡)</t>
  </si>
  <si>
    <t>截止日期</t>
  </si>
  <si>
    <t>成交日期</t>
  </si>
  <si>
    <t>交易状态</t>
  </si>
  <si>
    <t>受让单位</t>
  </si>
  <si>
    <t>起始价(万元)</t>
  </si>
  <si>
    <t>成交价(万元)</t>
  </si>
  <si>
    <t>成交每亩价(万元/亩)</t>
  </si>
  <si>
    <t>成交楼面价(元/㎡)</t>
  </si>
  <si>
    <t>溢价率</t>
  </si>
  <si>
    <t>出让年限</t>
  </si>
  <si>
    <t>锦江区三圣乡华新村二、七组</t>
  </si>
  <si>
    <t>成都市</t>
  </si>
  <si>
    <t>住宅用地</t>
  </si>
  <si>
    <t>锦江区</t>
  </si>
  <si>
    <t>拍卖</t>
  </si>
  <si>
    <t>JJ01(251):2019-001</t>
  </si>
  <si>
    <t>≤2.0</t>
  </si>
  <si>
    <t>2019-05-16</t>
  </si>
  <si>
    <t>已成交</t>
  </si>
  <si>
    <t>厦门泽溢贸易有限公司</t>
  </si>
  <si>
    <t>住宅用地70年</t>
  </si>
  <si>
    <t>锦江区成龙路街道棬子树村4、5、6组</t>
  </si>
  <si>
    <t>JJ05(251):2018-025</t>
  </si>
  <si>
    <t>≤1.5</t>
  </si>
  <si>
    <t>2018-09-05</t>
  </si>
  <si>
    <t>四川省商业建设有限责任公司,成都驿锦投资有限公司</t>
  </si>
  <si>
    <t>锦江区三圣街道粉坊堰村6、8、9、11组,粉坊堰村属</t>
  </si>
  <si>
    <t>JJ01(251):2018-006</t>
  </si>
  <si>
    <t>≤2.5</t>
  </si>
  <si>
    <t>2018-03-27</t>
  </si>
  <si>
    <t>四川华熙龙禧投资有限公司</t>
  </si>
  <si>
    <t>70年</t>
  </si>
  <si>
    <t>锦江区柳江街办潘家沟村12组,成龙街办棬子树村2、3、4组</t>
  </si>
  <si>
    <t>JJ11(251):2017-052</t>
  </si>
  <si>
    <t>2017-11-30</t>
  </si>
  <si>
    <t>四川新希望房地产开发有限公司</t>
  </si>
  <si>
    <t>锦江区成龙路街办粮丰村二组地块</t>
  </si>
  <si>
    <t>综合用地(含住宅)</t>
  </si>
  <si>
    <t>JJ07(21/251):2017-031</t>
  </si>
  <si>
    <t>≤0.4</t>
  </si>
  <si>
    <t>2017-09-28</t>
  </si>
  <si>
    <t>成都人居置业有限公司</t>
  </si>
  <si>
    <t>商业用地40年住宅用地70年</t>
  </si>
  <si>
    <t>锦江区喜树街以东,芙蓉中街以南,椿树街以西,新规划道路以北(原成龙街道办事处粮丰村二、六组、粮丰村村属)</t>
  </si>
  <si>
    <t>JJ06(251):2017-030</t>
  </si>
  <si>
    <t>锦江区成龙街道办事处粮丰村二、六、八组</t>
  </si>
  <si>
    <t>JJ05(251):2017-029</t>
  </si>
  <si>
    <t>锦江区成龙街道办事处粮丰村2、8组</t>
  </si>
  <si>
    <t>JJ08(251/211):2017-032</t>
  </si>
  <si>
    <t>≤2.50</t>
  </si>
  <si>
    <t>2017-09-14</t>
  </si>
  <si>
    <t>住宅用地70年、商业用地40年</t>
  </si>
  <si>
    <t>锦江区三圣乡曾家坡5、6组地块</t>
  </si>
  <si>
    <t>JJ09(251):2017-038</t>
  </si>
  <si>
    <t>2017-09-07</t>
  </si>
  <si>
    <t>成都德商置业有限公司</t>
  </si>
  <si>
    <t>锦江区三圣街道粉房堰村6、11组</t>
  </si>
  <si>
    <t>JJ08(21/252):2016-050</t>
  </si>
  <si>
    <t>≤4.5</t>
  </si>
  <si>
    <t>2016-12-28</t>
  </si>
  <si>
    <t>四川融创基业房地产开发有限公司</t>
  </si>
  <si>
    <t>住宅70年商业40年</t>
  </si>
  <si>
    <t>锦江区三圣街道粉房堰村6、11组,红砂村5、6组地块</t>
  </si>
  <si>
    <t>JJ06(21/252):2016-040</t>
  </si>
  <si>
    <t>2016-11-11</t>
  </si>
  <si>
    <t>成都佳逊投资有限公司</t>
  </si>
  <si>
    <t>商业用地40年,住宅用地70年</t>
  </si>
  <si>
    <t>锦江区一环路以东,东大街以南</t>
  </si>
  <si>
    <t>JJ03(252/21):2016-027</t>
  </si>
  <si>
    <t>≤8</t>
  </si>
  <si>
    <t>2016-06-29</t>
  </si>
  <si>
    <t>成都新希望置业有限公司</t>
  </si>
  <si>
    <t>锦江区三圣乡(现更名为沙河街道办事处)花果村1组</t>
  </si>
  <si>
    <t>JJ09(252):2015-079</t>
  </si>
  <si>
    <t>≤3</t>
  </si>
  <si>
    <t>2015-12-04</t>
  </si>
  <si>
    <t>住宅用地70年商业用地40年</t>
  </si>
  <si>
    <t>锦江区成龙路街道华新村2、7组</t>
  </si>
  <si>
    <t>JJ11(252):2014-095</t>
  </si>
  <si>
    <t>2015-06-10</t>
  </si>
  <si>
    <t>成都中泓房地产开发有限公司</t>
  </si>
  <si>
    <t>锦江区牛沙路</t>
  </si>
  <si>
    <t>JJ03(252):2015-026</t>
  </si>
  <si>
    <t>2015-05-08</t>
  </si>
  <si>
    <t>北京蓝润华盛置业有限公司</t>
  </si>
  <si>
    <t>锦江区二环路东五段</t>
  </si>
  <si>
    <t>JJ02(252):2015-025</t>
  </si>
  <si>
    <t>2015-04-30</t>
  </si>
  <si>
    <t>四川瑞升实业集团有限公司,四川橡树林置业有限责任公司</t>
  </si>
  <si>
    <t>锦江区娇子立交以南,成龙路以西(锦江区成龙街道华新社区1、4组及村属集体)</t>
  </si>
  <si>
    <t>JJ13(252):2014-125</t>
  </si>
  <si>
    <t>2015-01-12</t>
  </si>
  <si>
    <t>重庆首汇置业有限公司</t>
  </si>
  <si>
    <t>锦江区三圣乡花果村2、4组</t>
  </si>
  <si>
    <t>JJ09(252):2014-055</t>
  </si>
  <si>
    <t>2014-10-21</t>
  </si>
  <si>
    <t>成都市锦江区统一建设办公室</t>
  </si>
  <si>
    <t>住宅用地*70年,商业用地*40年</t>
  </si>
  <si>
    <t>锦江区二环路以东,双桂路以南,汇泉北路以西,通汇街以北(锦江区攀成钢2号地块)</t>
  </si>
  <si>
    <t>JJ10(252):2014-069</t>
  </si>
  <si>
    <t>2014-08-22</t>
  </si>
  <si>
    <t>中粮地产成都有限公司</t>
  </si>
  <si>
    <t>锦江区三圣街道粉房堰村6、9组,成龙街道粮丰村2组</t>
  </si>
  <si>
    <t>JJ03(21/252):2014-035</t>
  </si>
  <si>
    <t>＞1并且≤4</t>
  </si>
  <si>
    <t>2014-06-12</t>
  </si>
  <si>
    <t>四川蓝润实业集团有限公司</t>
  </si>
  <si>
    <t>锦江区喜树街以东、新规划道路以南、椿树街以西、新规划道路以北、成龙街道办事处辖区粮丰村二、六、八组部分土地</t>
  </si>
  <si>
    <t>JJ05(252):2014-037</t>
  </si>
  <si>
    <t>成都市新鸥鹏恒基置业有限公司</t>
  </si>
  <si>
    <t>锦江区成龙街道办事处粮丰村2、8组(SZ-04地块</t>
  </si>
  <si>
    <t>JJ06(252):2014-038</t>
  </si>
  <si>
    <t>锦江区成龙街道粮丰村1、2组(SH-03地块)</t>
  </si>
  <si>
    <t>JJ07(21/252):2014-039</t>
  </si>
  <si>
    <t>锦江区椿树街以东、新规划道路以南、新规划道路以西、琼花街以北、成龙路街道办事处辖区粮丰村二组部分土地</t>
  </si>
  <si>
    <t>JJ04(21/252):2014-036</t>
  </si>
  <si>
    <t>锦江区成龙街道粮丰村2、6组和村集体</t>
  </si>
  <si>
    <t>JJ02(252):2014-034</t>
  </si>
  <si>
    <t>锦江区沙河堡片区北1A地块</t>
  </si>
  <si>
    <t>挂牌</t>
  </si>
  <si>
    <t>JJ01(211/252):2014-014</t>
  </si>
  <si>
    <t>＜3.8</t>
  </si>
  <si>
    <t>2014-03-12</t>
  </si>
  <si>
    <t>成都盛世瑞城置业有限公司</t>
  </si>
  <si>
    <t>商业40年、住宅70年</t>
  </si>
  <si>
    <t>锦江区三圣街道办事处粉房堰村3、6、7、8、9、10、11组及村属、曾家坡村5组</t>
  </si>
  <si>
    <t>JJ13(211/252):2013-339</t>
  </si>
  <si>
    <t>＞1、＜4.55</t>
  </si>
  <si>
    <t>2014-01-28</t>
  </si>
  <si>
    <t>锦江区三圣乡花果村8、9组</t>
  </si>
  <si>
    <t>JJ08(211/252):2013-245</t>
  </si>
  <si>
    <t>1.①号地不大于60531.90平方米.②号地不大于40002.12平方米</t>
  </si>
  <si>
    <t>2013-12-13</t>
  </si>
  <si>
    <t>成都上普实业发展有限责任公司</t>
  </si>
  <si>
    <t>锦江区花果村六组、大观村四组</t>
  </si>
  <si>
    <t>JJ07(252/211):2013-227</t>
  </si>
  <si>
    <t>＞1、≤2.85</t>
  </si>
  <si>
    <t>2013-10-29</t>
  </si>
  <si>
    <t>成都锦兴华润置地有限公司</t>
  </si>
  <si>
    <t>住宅70年、商业40年</t>
  </si>
  <si>
    <t>锦江区狮子山街道花果村7组</t>
  </si>
  <si>
    <t>JJ06(252/211):2013-184</t>
  </si>
  <si>
    <t>＞1、≤3.4</t>
  </si>
  <si>
    <t>2013-09-03</t>
  </si>
  <si>
    <t>中铁房地产集团四川有限公司</t>
  </si>
  <si>
    <t>锦江区沙河堡片区南6、南7地块</t>
  </si>
  <si>
    <t>JJ08(211/252):2012-262</t>
  </si>
  <si>
    <t>大于1并且小于或等于3.7</t>
  </si>
  <si>
    <t>2012-12-28</t>
  </si>
  <si>
    <t>成都华宇业瑞房地产开发有限公司</t>
  </si>
  <si>
    <t>锦江区杨树街以东、牡丹街以南、银杏大道以西、海棠路以北</t>
  </si>
  <si>
    <t>JJ10(252/211):2012-292</t>
  </si>
  <si>
    <t>大于1并且小于或等于2.6</t>
  </si>
  <si>
    <t>2012-12-26</t>
  </si>
  <si>
    <t>成都俊发房地产开发有限责任公司</t>
  </si>
  <si>
    <t>锦江区三圣街道办事处曾家坡二、四联组及三组5号地块</t>
  </si>
  <si>
    <t>JJ06(252/211):2012-135</t>
  </si>
  <si>
    <t>2012-09-07</t>
  </si>
  <si>
    <t>蓝润</t>
  </si>
  <si>
    <t>锦江区成龙路北侧四川师范大学以西、万科花园以东</t>
  </si>
  <si>
    <t>JJ05(252/211):2012-134</t>
  </si>
  <si>
    <t>华润置地</t>
  </si>
  <si>
    <t>锦江区香樟大道以东、海棠路以南交叉处,粉坊堰村7组及其村属用地</t>
  </si>
  <si>
    <t>JJ04(252/211):2012-91</t>
  </si>
  <si>
    <t>大于1并且小于或等于3.3</t>
  </si>
  <si>
    <t>2012-07-25</t>
  </si>
  <si>
    <t>成都永进合能房地产有限公司</t>
  </si>
  <si>
    <t>锦江区攀成钢片区17号地块</t>
  </si>
  <si>
    <t>JJ04(252/211):2011-69</t>
  </si>
  <si>
    <t>大于1并且小于或等于3.4</t>
  </si>
  <si>
    <t>成都通用时代置业有限公司</t>
  </si>
  <si>
    <t>锦江区粮丰村一、二、四、五、六、七、十组,龙泉驿区东洪村十组、洪柳村一组</t>
  </si>
  <si>
    <t>JJ03(211/252):2012-84</t>
  </si>
  <si>
    <t>2012-07-19</t>
  </si>
  <si>
    <t>绿地集团成都置业有限公司</t>
  </si>
  <si>
    <t>40年、70年</t>
  </si>
  <si>
    <t>锦江区玉兰街以南、水杉街以西交叉处,大观村1、2、3组</t>
  </si>
  <si>
    <t>JJ02(252/211):2012-49</t>
  </si>
  <si>
    <t>2012-05-29</t>
  </si>
  <si>
    <t>HUAKU*DEVELOPMENT*CO*LTD(华固建设股份有限公司)</t>
  </si>
  <si>
    <t>锦江区攀成钢片区4、7、8号地块</t>
  </si>
  <si>
    <t>锦江区攀成钢片区</t>
  </si>
  <si>
    <t>JJ01(211/252):2012-25</t>
  </si>
  <si>
    <t>2012-03-07</t>
  </si>
  <si>
    <t>乐天地产(成都)香港有限公司</t>
  </si>
  <si>
    <t>商业40年住宅70年</t>
  </si>
  <si>
    <t>锦江区攀成钢片区沙河以西、东大街延线以南范围内攀成钢片区11、12号地块</t>
  </si>
  <si>
    <t>锦江区攀成钢片区沙河以西、东大街延线以南范围内攀成钢片区11、12号</t>
  </si>
  <si>
    <t>JJ06(211/252):2011-127</t>
  </si>
  <si>
    <t>2011-12-23</t>
  </si>
  <si>
    <t>四川泰合房地产开发有限公司</t>
  </si>
  <si>
    <t>锦江区攀成钢片区、沙河以西、双桂路以南地块(3号地块)</t>
  </si>
  <si>
    <t>锦江区攀成钢片区、沙河以西、双桂路以南(3号地块)</t>
  </si>
  <si>
    <t>JJ05(252/211):2011-70</t>
  </si>
  <si>
    <t>(兼容商业≤10%)</t>
  </si>
  <si>
    <t>2011-11-04</t>
  </si>
  <si>
    <t>成都深长城地产有限公司</t>
  </si>
  <si>
    <t>锦江区三圣街道办事处曾家坡二、四联组及三组3号地块地块</t>
  </si>
  <si>
    <t>锦江区三圣街道办事处曾家坡二、四联组及三组3号地块</t>
  </si>
  <si>
    <t>JJ02(252/211):2011-26</t>
  </si>
  <si>
    <t>2011-06-10</t>
  </si>
  <si>
    <t>成都市锦江城乡发展投资有限公司</t>
  </si>
  <si>
    <t>锦江区沙河堡片区北4号地块地块</t>
  </si>
  <si>
    <t>锦江区沙河堡片区北4号地块</t>
  </si>
  <si>
    <t>JJ01(252/211):2011-08</t>
  </si>
  <si>
    <t>2011-05-20</t>
  </si>
  <si>
    <t>成都尧禹置业</t>
  </si>
  <si>
    <t>锦江区莲桂西路以南、顺江路以北、规划道路以东、空军医院以西地块</t>
  </si>
  <si>
    <t>锦江区莲桂西路以南、顺江路以北、规划道路以东、空军医院以西</t>
  </si>
  <si>
    <t>JJ08(211/252):2010-139</t>
  </si>
  <si>
    <t>≤11</t>
  </si>
  <si>
    <t>2011-01-18</t>
  </si>
  <si>
    <t>成都宜佳信房地产开发有限责任公司</t>
  </si>
  <si>
    <t>商业40年,住宅70年</t>
  </si>
  <si>
    <t>锦江区琉璃场乡永兴村七组地块</t>
  </si>
  <si>
    <t>锦江区琉璃场乡永兴村七组</t>
  </si>
  <si>
    <t>JJ06(252/211):2010-107</t>
  </si>
  <si>
    <t>≤1.4</t>
  </si>
  <si>
    <t>2010-11-26</t>
  </si>
  <si>
    <t>四川佛光置业有限责任公司</t>
  </si>
  <si>
    <t>锦江区攀成钢片区地块</t>
  </si>
  <si>
    <t>JJ05(211/252):2010-88</t>
  </si>
  <si>
    <t>≤4.7</t>
  </si>
  <si>
    <t>2010-11-10</t>
  </si>
  <si>
    <t>总冠有限公司*、成都市凯誉房地产开发有限公司(由合景泰富联手香港置地联手组成的开发有限公司)</t>
  </si>
  <si>
    <t>70年、40年</t>
  </si>
  <si>
    <t>锦江区攀成钢16号地块</t>
  </si>
  <si>
    <t>JJ05(252/211):2010-81</t>
  </si>
  <si>
    <t>≤4</t>
  </si>
  <si>
    <t>2010-10-15</t>
  </si>
  <si>
    <t>吉宝置业</t>
  </si>
  <si>
    <t>锦江区攀成钢片区、二环路以东、东大街东延线以南(14号地块)</t>
  </si>
  <si>
    <t>锦江区攀成钢片区、二环路以东、东大街东延线以南</t>
  </si>
  <si>
    <t>JJ04(252/211):2010-80</t>
  </si>
  <si>
    <t>内蒙古怡泰</t>
  </si>
  <si>
    <t>锦江区华兴街以北、纯阳观街以东(华兴街一号地块)地块</t>
  </si>
  <si>
    <t>锦江区华兴街以北、纯阳观街以东</t>
  </si>
  <si>
    <t>JJ03(252/211):2010-72</t>
  </si>
  <si>
    <t>2010-09-29</t>
  </si>
  <si>
    <t>自然人</t>
  </si>
  <si>
    <t>锦江区琉璃场地块</t>
  </si>
  <si>
    <t>锦江区琉璃场</t>
  </si>
  <si>
    <t>JJ02(252/211):2010-71</t>
  </si>
  <si>
    <t>≤3.6</t>
  </si>
  <si>
    <t>龙光地产开发有限公司</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</si>
  <si>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</si>
  <si>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</si>
  <si>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</si>
  <si>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</si>
  <si>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</si>
  <si>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</si>
  <si>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</si>
  <si>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</si>
  <si>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较好</t>
  </si>
  <si>
    <t>一般</t>
  </si>
  <si>
    <t>七通</t>
  </si>
  <si>
    <t>单面临街</t>
  </si>
  <si>
    <t>龙兴大道</t>
    <phoneticPr fontId="26" type="noConversion"/>
  </si>
  <si>
    <t>楼面地价</t>
  </si>
  <si>
    <t>多面临街</t>
  </si>
  <si>
    <t>双面临街</t>
  </si>
  <si>
    <t>住宅</t>
    <phoneticPr fontId="21" type="noConversion"/>
  </si>
  <si>
    <t>60-70（含）</t>
  </si>
  <si>
    <t>比较法-住宅、综合</t>
  </si>
  <si>
    <t>剩余法-待开发</t>
  </si>
  <si>
    <t>成交地面</t>
    <phoneticPr fontId="228" type="noConversion"/>
  </si>
  <si>
    <t>售价</t>
  </si>
  <si>
    <t>新希望锦官府</t>
    <phoneticPr fontId="21" type="noConversion"/>
  </si>
  <si>
    <t>锦江柳荫路与楠丰路交汇处</t>
    <phoneticPr fontId="21" type="noConversion"/>
  </si>
  <si>
    <t>钢混</t>
  </si>
  <si>
    <t>钢混</t>
    <phoneticPr fontId="21" type="noConversion"/>
  </si>
  <si>
    <t>砖混</t>
    <phoneticPr fontId="21" type="noConversion"/>
  </si>
  <si>
    <t>精装</t>
  </si>
  <si>
    <t>精装</t>
    <phoneticPr fontId="21" type="noConversion"/>
  </si>
  <si>
    <t>简装</t>
    <phoneticPr fontId="21" type="noConversion"/>
  </si>
  <si>
    <t>毛坯</t>
  </si>
  <si>
    <t>毛坯</t>
    <phoneticPr fontId="21" type="noConversion"/>
  </si>
  <si>
    <t>专业</t>
  </si>
  <si>
    <t>专业</t>
    <phoneticPr fontId="21" type="noConversion"/>
  </si>
  <si>
    <t>业余</t>
    <phoneticPr fontId="21" type="noConversion"/>
  </si>
  <si>
    <t>六通</t>
  </si>
  <si>
    <t>五通</t>
  </si>
  <si>
    <t>四通</t>
  </si>
  <si>
    <t>三通</t>
  </si>
  <si>
    <t>高层</t>
  </si>
  <si>
    <t>洋房</t>
  </si>
  <si>
    <t>洋房</t>
    <phoneticPr fontId="21" type="noConversion"/>
  </si>
  <si>
    <t>伊泰天骄</t>
    <phoneticPr fontId="21" type="noConversion"/>
  </si>
  <si>
    <t>锦江天府门廊通宝街88号 (成都市妇女儿童中心旁)</t>
    <phoneticPr fontId="21" type="noConversion"/>
  </si>
  <si>
    <t>地上</t>
    <phoneticPr fontId="3" type="noConversion"/>
  </si>
  <si>
    <t>地下</t>
  </si>
  <si>
    <t>地下</t>
    <phoneticPr fontId="3"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</si>
  <si>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</si>
  <si>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</si>
  <si>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</si>
  <si>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</si>
  <si>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</si>
  <si>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</si>
  <si>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好</t>
  </si>
  <si>
    <t>较差</t>
  </si>
  <si>
    <t>差</t>
  </si>
  <si>
    <t>小高层</t>
    <phoneticPr fontId="21" type="noConversion"/>
  </si>
  <si>
    <t>高层</t>
    <phoneticPr fontId="21" type="noConversion"/>
  </si>
  <si>
    <t>御龙山</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</si>
</sst>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0" borderId="0" xfId="0" applyAlignment="1">
      <alignment horizontal="left"/>
    </xf>
    <xf numFmtId="0" fontId="0" fillId="6" borderId="0" xfId="0" applyFill="1" applyAlignment="1">
      <alignment horizontal="left"/>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pplyAlignment="1">
      <alignment horizontal="left"/>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 fontId="108" fillId="3" borderId="30" xfId="0" applyNumberFormat="1" applyFont="1" applyFill="1" applyBorder="1" applyAlignment="1" applyProtection="1">
      <alignment vertical="center" wrapText="1"/>
      <protection locked="0"/>
    </xf>
    <xf numFmtId="0" fontId="144" fillId="0" borderId="7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676275</xdr:colOff>
      <xdr:row>34</xdr:row>
      <xdr:rowOff>131983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34275" cy="59612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16174.01平方米。根据《建设工程规划许可证》[]、《出让合同》[]，估价对象规划建筑面积为46502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2019年5月27日</v>
      </c>
    </row>
    <row r="11" spans="1:55" s="2832" customFormat="1">
      <c r="A11" s="2833" t="s">
        <v>2665</v>
      </c>
      <c r="B11" s="2834" t="str">
        <f>'预评函-1'!A14</f>
        <v>根据《国有土地使用证》[]，本次评估估价对象证载（地类）用途为居住。</v>
      </c>
    </row>
    <row r="12" spans="1:55" s="2832" customFormat="1">
      <c r="A12" s="2833" t="s">
        <v>2666</v>
      </c>
      <c r="B12" s="2834" t="str">
        <f>'预评函-1'!A15</f>
        <v>本次评估设定用途即为证载用途居住。</v>
      </c>
    </row>
    <row r="13" spans="1:55" s="2832" customFormat="1">
      <c r="A13" s="2833" t="s">
        <v>2667</v>
      </c>
      <c r="B13" s="2834" t="str">
        <f>'预评函-1'!A17</f>
        <v>根据委托估价方介绍及评估专业人员现场勘查，本次评估估价对象实际土地开发程度为红线外市政基础设施达“七通”（即通路、通电、通讯、通上水、通下水、通热、燃气）、宗地红线内场地平整。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根据《国有土地使用证》[]，估价对象（分摊）出让国有建设用地使用权面积为16174.01平方米。根据《建设工程规划许可证》[]、《出让合同》[]，估价对象规划建筑面积为46502平方米。</v>
      </c>
    </row>
    <row r="16" spans="1:55" s="2832" customFormat="1">
      <c r="A16" s="2833" t="s">
        <v>2669</v>
      </c>
      <c r="B16" s="2834" t="str">
        <f>'预评函-1'!A22</f>
        <v>本次估价对象为出让国有建设用地使用权，《国有土地使用证》[]证载土地终止日期为住宅2089年5月15日。截至估价期日，出让国有建设用地使用权剩余土地使用年限为。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估价期日：2019年5月27日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t="str">
        <f>'预评函-2'!E5</f>
        <v>居住</v>
      </c>
      <c r="AV32" s="2838"/>
    </row>
    <row r="33" spans="1:2">
      <c r="A33" s="2833" t="s">
        <v>2713</v>
      </c>
      <c r="B33" s="2834">
        <f>'预评函-2'!F5</f>
        <v>258</v>
      </c>
    </row>
    <row r="34" spans="1:2">
      <c r="A34" s="2833" t="s">
        <v>2714</v>
      </c>
      <c r="B34" s="2834" t="str">
        <f>'预评函-2'!G5</f>
        <v>居住</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红线外七通、宗地红线内场地平整</v>
      </c>
    </row>
    <row r="39" spans="1:2">
      <c r="A39" s="2833" t="s">
        <v>2719</v>
      </c>
      <c r="B39" s="2834" t="str">
        <f>'预评函-2'!L5</f>
        <v>红线外七通、宗地红线内场地平整</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16174.01</v>
      </c>
    </row>
    <row r="44" spans="1:2">
      <c r="A44" s="2833" t="s">
        <v>2740</v>
      </c>
      <c r="B44" s="2834" t="str">
        <f>'预评函-2'!O3</f>
        <v>规划建筑面积/㎡</v>
      </c>
    </row>
    <row r="45" spans="1:2">
      <c r="A45" s="2833" t="s">
        <v>2722</v>
      </c>
      <c r="B45" s="2834">
        <f>'预评函-2'!O5</f>
        <v>46502</v>
      </c>
    </row>
    <row r="46" spans="1:2">
      <c r="A46" s="2833" t="s">
        <v>2723</v>
      </c>
      <c r="B46" s="2834">
        <f ca="1">'预评函-2'!P5</f>
        <v>27908</v>
      </c>
    </row>
    <row r="47" spans="1:2">
      <c r="A47" s="2833" t="s">
        <v>2724</v>
      </c>
      <c r="B47" s="2834">
        <f ca="1">'预评函-2'!Q5</f>
        <v>9707</v>
      </c>
    </row>
    <row r="48" spans="1:2">
      <c r="A48" s="2833" t="s">
        <v>2725</v>
      </c>
      <c r="B48" s="2834">
        <f ca="1">'预评函-2'!R5</f>
        <v>45138</v>
      </c>
    </row>
    <row r="49" spans="1:2">
      <c r="A49" s="2833" t="s">
        <v>2741</v>
      </c>
      <c r="B49" s="2834" t="str">
        <f>'预评函-2'!A6</f>
        <v>抵押价格</v>
      </c>
    </row>
    <row r="50" spans="1:2">
      <c r="A50" s="2833" t="s">
        <v>2726</v>
      </c>
      <c r="B50" s="2834">
        <f ca="1">'预评函-2'!R6</f>
        <v>45138</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2.基础设施条件：估价对象实际开发程度为红线外七通、宗地红线内场地平整；本次评估设定开发程度为红线外七通、宗地红线内场地平整。</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115" zoomScaleNormal="100" zoomScaleSheetLayoutView="115"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3" t="str">
        <f>IF(B10="北京市","北京市",C10)&amp;F10&amp;B16&amp;"国有建设用地使用权"&amp;B9&amp;"预评估"</f>
        <v>出让国有建设用地使用权抵押价格预评估</v>
      </c>
      <c r="C1" s="3224"/>
      <c r="D1" s="3224"/>
      <c r="E1" s="3224"/>
      <c r="F1" s="3224"/>
      <c r="G1" s="3224"/>
      <c r="H1" s="3224"/>
      <c r="I1" s="3225"/>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43612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29" t="s">
        <v>1944</v>
      </c>
      <c r="E8" s="1828" t="s">
        <v>2997</v>
      </c>
      <c r="F8" s="1656"/>
      <c r="G8" s="1644"/>
      <c r="H8" s="1644"/>
      <c r="I8" s="1691"/>
      <c r="J8" s="1678"/>
      <c r="K8" s="1758"/>
      <c r="L8" s="1707"/>
      <c r="M8" s="1707"/>
      <c r="N8" s="1678"/>
      <c r="O8" s="1679"/>
      <c r="P8" s="1678"/>
      <c r="Q8" s="1678"/>
      <c r="R8" s="1678"/>
      <c r="S8" s="1678"/>
      <c r="T8" s="1678"/>
      <c r="U8" s="1678"/>
    </row>
    <row r="9" spans="1:21" ht="15" thickBot="1">
      <c r="A9" s="1657" t="s">
        <v>1943</v>
      </c>
      <c r="B9" s="1658" t="s">
        <v>2997</v>
      </c>
      <c r="C9" s="1659"/>
      <c r="D9" s="323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2998</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2999</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6" t="s">
        <v>3000</v>
      </c>
      <c r="C12" s="3227"/>
      <c r="D12" s="3228"/>
      <c r="E12" s="1683" t="s">
        <v>2061</v>
      </c>
      <c r="F12" s="3244" t="s">
        <v>2890</v>
      </c>
      <c r="G12" s="3245"/>
      <c r="H12" s="3245"/>
      <c r="I12" s="3246"/>
      <c r="J12" s="1678"/>
      <c r="K12" s="1758"/>
      <c r="L12" s="1707"/>
      <c r="M12" s="1707"/>
      <c r="N12" s="1678"/>
      <c r="O12" s="1679"/>
      <c r="P12" s="1678"/>
      <c r="Q12" s="1678"/>
      <c r="R12" s="1678"/>
      <c r="S12" s="1678"/>
      <c r="T12" s="1678"/>
      <c r="U12" s="1678"/>
    </row>
    <row r="13" spans="1:21">
      <c r="A13" s="1671" t="s">
        <v>2059</v>
      </c>
      <c r="B13" s="3226" t="s">
        <v>3000</v>
      </c>
      <c r="C13" s="3227"/>
      <c r="D13" s="3228"/>
      <c r="E13" s="1683" t="s">
        <v>2061</v>
      </c>
      <c r="F13" s="3244" t="s">
        <v>2891</v>
      </c>
      <c r="G13" s="3245"/>
      <c r="H13" s="3245"/>
      <c r="I13" s="3246"/>
      <c r="J13" s="1678"/>
      <c r="K13" s="1758"/>
      <c r="L13" s="1707"/>
      <c r="M13" s="1707"/>
      <c r="N13" s="1678"/>
      <c r="O13" s="1679"/>
      <c r="P13" s="1678"/>
      <c r="Q13" s="1678"/>
      <c r="R13" s="1678"/>
      <c r="S13" s="1678"/>
      <c r="T13" s="1678"/>
      <c r="U13" s="1678"/>
    </row>
    <row r="14" spans="1:21">
      <c r="A14" s="1645" t="s">
        <v>2062</v>
      </c>
      <c r="B14" s="1683"/>
      <c r="C14" s="1829" t="s">
        <v>3001</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10" t="s">
        <v>1949</v>
      </c>
      <c r="E16" s="1706"/>
      <c r="F16" s="1706"/>
      <c r="G16" s="1706"/>
      <c r="H16" s="1706"/>
      <c r="I16" s="1670" t="s">
        <v>1954</v>
      </c>
      <c r="J16" s="1678"/>
      <c r="K16" s="2420" t="str">
        <f>IF(D17="","",D16&amp;TEXT(D17,"yyyy年m月d日;;"))</f>
        <v>住宅2089年5月15日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69168</v>
      </c>
      <c r="E17" s="1684"/>
      <c r="F17" s="1684"/>
      <c r="G17" s="1684"/>
      <c r="H17" s="1684"/>
      <c r="I17" s="1684"/>
      <c r="J17" s="1678"/>
      <c r="K17" s="2419" t="str">
        <f>CONCATENATE(K16,L16,M16,N16,O16,P16,Q16,R16,S16,T16,,U16)</f>
        <v>住宅2089年5月15日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1"/>
      <c r="E20" s="3242"/>
      <c r="F20" s="3242"/>
      <c r="G20" s="3242"/>
      <c r="H20" s="3242"/>
      <c r="I20" s="3243"/>
      <c r="J20" s="1678"/>
      <c r="K20" s="1758"/>
      <c r="L20" s="1707"/>
      <c r="M20" s="1707"/>
      <c r="N20" s="1678"/>
      <c r="O20" s="1679"/>
      <c r="P20" s="1678"/>
      <c r="Q20" s="1678"/>
      <c r="R20" s="1678"/>
      <c r="S20" s="1678"/>
      <c r="T20" s="1678"/>
      <c r="U20" s="1678"/>
    </row>
    <row r="21" spans="1:21">
      <c r="A21" s="1747" t="s">
        <v>1958</v>
      </c>
      <c r="B21" s="1748" t="s">
        <v>1959</v>
      </c>
      <c r="C21" s="1743">
        <f>'数据-汇总表'!E3</f>
        <v>46502</v>
      </c>
      <c r="D21" s="1744" t="s">
        <v>1960</v>
      </c>
      <c r="E21" s="3231" t="s">
        <v>1998</v>
      </c>
      <c r="F21" s="3232"/>
      <c r="G21" s="3232"/>
      <c r="H21" s="3232"/>
      <c r="I21" s="3233"/>
      <c r="J21" s="1678"/>
      <c r="K21" s="1758"/>
      <c r="L21" s="1707"/>
      <c r="M21" s="1707"/>
      <c r="N21" s="1678"/>
      <c r="O21" s="1679"/>
      <c r="P21" s="1678"/>
      <c r="Q21" s="1678"/>
      <c r="R21" s="1678"/>
      <c r="S21" s="1678"/>
      <c r="T21" s="1678"/>
      <c r="U21" s="1678"/>
    </row>
    <row r="22" spans="1:21">
      <c r="A22" s="3097" t="s">
        <v>952</v>
      </c>
      <c r="B22" s="1645" t="s">
        <v>1961</v>
      </c>
      <c r="C22" s="1670">
        <f>'数据-汇总表'!D3</f>
        <v>16174.01</v>
      </c>
      <c r="D22" s="1671" t="s">
        <v>1960</v>
      </c>
      <c r="E22" s="3231" t="s">
        <v>2892</v>
      </c>
      <c r="F22" s="3232"/>
      <c r="G22" s="3232"/>
      <c r="H22" s="3232"/>
      <c r="I22" s="3233"/>
      <c r="J22" s="1678"/>
      <c r="K22" s="1758"/>
      <c r="L22" s="1707"/>
      <c r="M22" s="1707"/>
      <c r="N22" s="1678"/>
      <c r="O22" s="1679"/>
      <c r="P22" s="1678"/>
      <c r="Q22" s="1678"/>
      <c r="R22" s="1678"/>
      <c r="S22" s="1678"/>
      <c r="T22" s="1678"/>
      <c r="U22" s="1678"/>
    </row>
    <row r="23" spans="1:21" ht="43.5" thickBot="1">
      <c r="A23" s="1749" t="s">
        <v>1962</v>
      </c>
      <c r="B23" s="1685" t="s">
        <v>1963</v>
      </c>
      <c r="C23" s="1686" t="s">
        <v>3002</v>
      </c>
      <c r="D23" s="1687" t="s">
        <v>1964</v>
      </c>
      <c r="E23" s="1688" t="s">
        <v>952</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4" t="s">
        <v>1966</v>
      </c>
      <c r="C24" s="3235"/>
      <c r="D24" s="3236" t="s">
        <v>1967</v>
      </c>
      <c r="E24" s="3237"/>
      <c r="F24" s="1692" t="s">
        <v>1968</v>
      </c>
      <c r="G24" s="1678"/>
      <c r="H24" s="1678"/>
      <c r="I24" s="1691"/>
      <c r="J24" s="1678"/>
      <c r="K24" s="322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9" t="s">
        <v>2001</v>
      </c>
      <c r="B31" s="1748" t="s">
        <v>2002</v>
      </c>
      <c r="C31" s="3247" t="s">
        <v>3003</v>
      </c>
      <c r="D31" s="3248"/>
      <c r="E31" s="1678"/>
      <c r="F31" s="1678"/>
      <c r="G31" s="1678"/>
      <c r="H31" s="1678"/>
      <c r="I31" s="1691"/>
      <c r="J31" s="1678"/>
      <c r="K31" s="2422"/>
      <c r="L31" s="1678"/>
      <c r="M31" s="1678"/>
      <c r="N31" s="1678"/>
      <c r="O31" s="1678"/>
      <c r="P31" s="1678"/>
      <c r="Q31" s="1678"/>
      <c r="R31" s="1678"/>
      <c r="S31" s="1678"/>
      <c r="T31" s="1678"/>
      <c r="U31" s="1678"/>
    </row>
    <row r="32" spans="1:21">
      <c r="A32" s="3249"/>
      <c r="B32" s="1645" t="s">
        <v>2003</v>
      </c>
      <c r="C32" s="1703" t="s">
        <v>3004</v>
      </c>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2004</v>
      </c>
      <c r="C33" s="1705" t="s">
        <v>3002</v>
      </c>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2005</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t="s">
        <v>3005</v>
      </c>
      <c r="C35" s="1760" t="str">
        <f>IF(B35="场地平整","——","具体情况：")</f>
        <v>——</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2054</v>
      </c>
      <c r="C36" s="3259"/>
      <c r="D36" s="1776" t="s">
        <v>3006</v>
      </c>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28.5">
      <c r="A37" s="3249"/>
      <c r="B37" s="323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39"/>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4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3007</v>
      </c>
      <c r="C40" s="1674" t="s">
        <v>3008</v>
      </c>
      <c r="D40" s="1674" t="s">
        <v>3009</v>
      </c>
      <c r="E40" s="1674" t="s">
        <v>3010</v>
      </c>
      <c r="F40" s="1674" t="s">
        <v>3011</v>
      </c>
      <c r="G40" s="1674" t="s">
        <v>3012</v>
      </c>
      <c r="H40" s="1674" t="s">
        <v>3013</v>
      </c>
      <c r="I40" s="1691"/>
      <c r="J40" s="1678"/>
      <c r="K40" s="1714">
        <f>COUNTIF(B40:H40,"——")</f>
        <v>0</v>
      </c>
      <c r="L40" s="1683" t="s">
        <v>1978</v>
      </c>
      <c r="M40" s="1680" t="s">
        <v>1979</v>
      </c>
      <c r="N40" s="1680" t="s">
        <v>1980</v>
      </c>
      <c r="O40" s="1680" t="s">
        <v>1981</v>
      </c>
      <c r="P40" s="1680" t="s">
        <v>1982</v>
      </c>
      <c r="Q40" s="1680" t="s">
        <v>1983</v>
      </c>
      <c r="R40" s="1680" t="s">
        <v>1984</v>
      </c>
      <c r="S40" s="3221" t="s">
        <v>1985</v>
      </c>
      <c r="T40" s="1715" t="str">
        <f>NUMBERSTRING(7-K40,1)&amp;"通"</f>
        <v>七通</v>
      </c>
      <c r="U40" s="1678"/>
    </row>
    <row r="41" spans="1:21">
      <c r="A41" s="1647"/>
      <c r="B41" s="3254" t="s">
        <v>1721</v>
      </c>
      <c r="C41" s="3254"/>
      <c r="D41" s="3254"/>
      <c r="E41" s="3254"/>
      <c r="F41" s="1716">
        <f>C10</f>
        <v>0</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通路、通电、通讯、通上水、通下水、通热</v>
      </c>
      <c r="R41" s="1718" t="str">
        <f>B40&amp;"、"&amp;C40&amp;"、"&amp;D40&amp;"、"&amp;E40&amp;"、"&amp;F40&amp;"、"&amp;G40&amp;"、"&amp;H40</f>
        <v>通路、通电、通讯、通上水、通下水、通热、燃气</v>
      </c>
      <c r="S41" s="3221"/>
      <c r="T41" s="1717" t="str">
        <f>IF(T40="一通",L41,IF(T40="二通",M41,IF(T40="三通",N41,IF(T40="四通",O41,IF(T40="五通",P41,IF(T40="六通",Q41,R41))))))</f>
        <v>通路、通电、通讯、通上水、通下水、通热、燃气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E13" activePane="bottomRight" state="frozen"/>
      <selection pane="topRight" activeCell="E1" sqref="E1"/>
      <selection pane="bottomLeft" activeCell="A12" sqref="A12"/>
      <selection pane="bottomRight" activeCell="AI25" sqref="AI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16174.01</v>
      </c>
      <c r="B3" s="22">
        <f>IF(C3="否",G5-AT5,G5)</f>
        <v>46502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46502</v>
      </c>
      <c r="H5" s="27">
        <f t="shared" ref="H5:AT5" si="0">SUM(H13:H641)</f>
        <v>32130</v>
      </c>
      <c r="I5" s="27">
        <f t="shared" si="0"/>
        <v>32130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14372</v>
      </c>
      <c r="AD5" s="27">
        <f t="shared" si="0"/>
        <v>218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14154</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46502</v>
      </c>
      <c r="BA5" s="29">
        <f t="shared" si="1"/>
        <v>32130</v>
      </c>
      <c r="BB5" s="29">
        <f t="shared" si="1"/>
        <v>32130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14372</v>
      </c>
      <c r="BM5" s="29">
        <f t="shared" si="1"/>
        <v>218</v>
      </c>
      <c r="BN5" s="29">
        <f t="shared" si="1"/>
        <v>0</v>
      </c>
      <c r="BO5" s="29">
        <f t="shared" si="1"/>
        <v>0</v>
      </c>
      <c r="BP5" s="29">
        <f t="shared" si="1"/>
        <v>0</v>
      </c>
      <c r="BQ5" s="29">
        <f t="shared" si="1"/>
        <v>0</v>
      </c>
      <c r="BR5" s="29">
        <f t="shared" si="1"/>
        <v>14154</v>
      </c>
      <c r="BS5" s="29">
        <f t="shared" si="1"/>
        <v>0</v>
      </c>
      <c r="BT5" s="30">
        <f t="shared" si="1"/>
        <v>0</v>
      </c>
    </row>
    <row r="6" spans="1:72" s="37" customFormat="1" ht="12.75">
      <c r="A6" s="26" t="s">
        <v>169</v>
      </c>
      <c r="B6" s="31"/>
      <c r="C6" s="31"/>
      <c r="D6" s="32"/>
      <c r="E6" s="27">
        <f>H6+AC6+AT6</f>
        <v>16174.009999999998</v>
      </c>
      <c r="F6" s="27" t="s">
        <v>1</v>
      </c>
      <c r="G6" s="27" t="s">
        <v>2</v>
      </c>
      <c r="H6" s="33">
        <f>SUMIF(I$12:AB$12,"总值",I6:AB6)</f>
        <v>11175.24</v>
      </c>
      <c r="I6" s="27">
        <f t="shared" ref="I6:AB6" si="2">ROUND($A$3*I5/$B$3,2)</f>
        <v>11175.24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4998.7699999999995</v>
      </c>
      <c r="AD6" s="27">
        <f t="shared" ref="AD6:AS6" si="3">ROUND($A$3*AD5/$B$3,2)</f>
        <v>75.819999999999993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4922.95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16174.01</v>
      </c>
      <c r="AZ6" s="27" t="s">
        <v>3</v>
      </c>
      <c r="BA6" s="27">
        <f>ROUND($AY$6*BA5/$AZ$5,2)</f>
        <v>11175.24</v>
      </c>
      <c r="BB6" s="27">
        <f>ROUND($AY$6*BB5/$AZ$5,2)</f>
        <v>11175.24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4998.7700000000004</v>
      </c>
      <c r="BM6" s="27">
        <f t="shared" si="5"/>
        <v>75.819999999999993</v>
      </c>
      <c r="BN6" s="27">
        <f t="shared" si="5"/>
        <v>0</v>
      </c>
      <c r="BO6" s="27">
        <f t="shared" si="5"/>
        <v>0</v>
      </c>
      <c r="BP6" s="27">
        <f t="shared" si="5"/>
        <v>0</v>
      </c>
      <c r="BQ6" s="27">
        <f t="shared" si="5"/>
        <v>0</v>
      </c>
      <c r="BR6" s="27">
        <f t="shared" si="5"/>
        <v>4922.95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3015</v>
      </c>
      <c r="J9" s="51"/>
      <c r="K9" s="2971" t="s">
        <v>3316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3315</v>
      </c>
      <c r="D13" s="2967" t="s">
        <v>1678</v>
      </c>
      <c r="E13" s="27">
        <f t="shared" ref="E13:E20" si="6">IF($C$3="是",ROUND($A$3*G13/$B$3,2),ROUND($A$3*(G13-AT13)/$B$3,2))</f>
        <v>11251.06</v>
      </c>
      <c r="F13" s="81"/>
      <c r="G13" s="82">
        <f t="shared" ref="G13:G20" si="7">H13+AC13+AT13</f>
        <v>32348</v>
      </c>
      <c r="H13" s="33">
        <f t="shared" ref="H13:H20" si="8">SUMIF(I$12:AB$12,"总值",I13:AB13)</f>
        <v>32130</v>
      </c>
      <c r="I13" s="2970">
        <v>32130</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218</v>
      </c>
      <c r="AD13" s="2974">
        <v>218</v>
      </c>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地上</v>
      </c>
      <c r="AY13" s="996">
        <f t="shared" ref="AY13:AY20" si="11">ROUND($AY$6*AZ13/$AZ$5,2)</f>
        <v>11251.06</v>
      </c>
      <c r="AZ13" s="27">
        <f t="shared" ref="AZ13:AZ20" si="12">BA13+BL13</f>
        <v>32348</v>
      </c>
      <c r="BA13" s="27">
        <f t="shared" ref="BA13:BA20" si="13">SUM(BB13:BK13)</f>
        <v>32130</v>
      </c>
      <c r="BB13" s="27">
        <f t="shared" ref="BB13:BB20" si="14">IF($D13="是",I13-J13,0)</f>
        <v>32130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218</v>
      </c>
      <c r="BM13" s="27">
        <f t="shared" ref="BM13:BM20" si="25">IF($D13="是",AD13-AE13,0)</f>
        <v>218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t="s">
        <v>3317</v>
      </c>
      <c r="D14" s="2967" t="s">
        <v>1678</v>
      </c>
      <c r="E14" s="27">
        <f t="shared" si="6"/>
        <v>4922.95</v>
      </c>
      <c r="F14" s="81"/>
      <c r="G14" s="82">
        <f t="shared" si="7"/>
        <v>14154</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14154</v>
      </c>
      <c r="AD14" s="2974"/>
      <c r="AE14" s="2974"/>
      <c r="AF14" s="2974"/>
      <c r="AG14" s="2974"/>
      <c r="AH14" s="2974"/>
      <c r="AI14" s="2974"/>
      <c r="AJ14" s="2974"/>
      <c r="AK14" s="2974"/>
      <c r="AL14" s="2974"/>
      <c r="AM14" s="2974"/>
      <c r="AN14" s="2974">
        <v>14154</v>
      </c>
      <c r="AO14" s="2974"/>
      <c r="AP14" s="2974"/>
      <c r="AQ14" s="2974"/>
      <c r="AR14" s="2974"/>
      <c r="AS14" s="2974"/>
      <c r="AT14" s="2975"/>
      <c r="AU14" s="2976"/>
      <c r="AV14" s="17">
        <f t="shared" si="10"/>
        <v>0</v>
      </c>
      <c r="AW14" s="17">
        <f t="shared" si="10"/>
        <v>0</v>
      </c>
      <c r="AX14" s="17" t="str">
        <f t="shared" si="10"/>
        <v>地下</v>
      </c>
      <c r="AY14" s="996">
        <f t="shared" si="11"/>
        <v>4922.95</v>
      </c>
      <c r="AZ14" s="27">
        <f t="shared" si="12"/>
        <v>14154</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14154</v>
      </c>
      <c r="BM14" s="27">
        <f t="shared" si="25"/>
        <v>0</v>
      </c>
      <c r="BN14" s="27">
        <f t="shared" si="26"/>
        <v>0</v>
      </c>
      <c r="BO14" s="27">
        <f t="shared" si="27"/>
        <v>0</v>
      </c>
      <c r="BP14" s="27">
        <f t="shared" si="28"/>
        <v>0</v>
      </c>
      <c r="BQ14" s="27">
        <f>IF($D14="是",AL14-AM14,0)</f>
        <v>0</v>
      </c>
      <c r="BR14" s="27">
        <f>IF($D14="是",AN14-AO14,0)</f>
        <v>14154</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3" t="s">
        <v>203</v>
      </c>
      <c r="B2" s="3273"/>
      <c r="C2" s="3273"/>
      <c r="D2" s="1960" t="s">
        <v>204</v>
      </c>
      <c r="E2" s="106" t="s">
        <v>205</v>
      </c>
      <c r="F2" s="1969"/>
      <c r="G2" s="1194"/>
      <c r="H2" s="1195"/>
      <c r="I2" s="1196" t="s">
        <v>857</v>
      </c>
      <c r="J2" s="1969"/>
      <c r="K2" s="1969"/>
      <c r="L2" s="1969"/>
    </row>
    <row r="3" spans="1:16" ht="15.75" thickBot="1">
      <c r="A3" s="3274" t="s">
        <v>206</v>
      </c>
      <c r="B3" s="3274"/>
      <c r="C3" s="3274"/>
      <c r="D3" s="107">
        <f>'数据-基础表'!AY6</f>
        <v>16174.01</v>
      </c>
      <c r="E3" s="107">
        <f>'数据-基础表'!AZ5</f>
        <v>46502</v>
      </c>
      <c r="F3" s="1969"/>
      <c r="G3" s="280" t="s">
        <v>858</v>
      </c>
      <c r="H3" s="275" t="s">
        <v>859</v>
      </c>
      <c r="I3" s="1961">
        <f>ROUND('数据-基础表'!B3/'数据-基础表'!A3,2)</f>
        <v>2.88</v>
      </c>
      <c r="J3" s="1969"/>
      <c r="K3" s="1969"/>
      <c r="L3" s="1969"/>
    </row>
    <row r="4" spans="1:16" ht="15">
      <c r="A4" s="3275"/>
      <c r="B4" s="3276"/>
      <c r="C4" s="3277"/>
      <c r="D4" s="108" t="s">
        <v>204</v>
      </c>
      <c r="E4" s="109" t="s">
        <v>205</v>
      </c>
      <c r="F4" s="1969"/>
      <c r="G4" s="1197"/>
      <c r="H4" s="275" t="s">
        <v>860</v>
      </c>
      <c r="I4" s="1961">
        <f>ROUND(SUMIF('数据-基础表'!I9:AS9,"地上",'数据-基础表'!I5:AS5)/'数据-基础表'!A3,2)</f>
        <v>2</v>
      </c>
      <c r="J4" s="1969"/>
      <c r="K4" s="1969"/>
      <c r="L4" s="1969"/>
    </row>
    <row r="5" spans="1:16">
      <c r="A5" s="110" t="s">
        <v>207</v>
      </c>
      <c r="B5" s="3278" t="s">
        <v>230</v>
      </c>
      <c r="C5" s="3278"/>
      <c r="D5" s="111">
        <f>ROUND($D$3*E5/$E$3,2)</f>
        <v>11175.24</v>
      </c>
      <c r="E5" s="112">
        <f>SUMIF('数据-基础表'!$11:$11,"住宅",'数据-基础表'!$5:$5)</f>
        <v>32130</v>
      </c>
      <c r="F5" s="1969"/>
      <c r="G5" s="280" t="s">
        <v>861</v>
      </c>
      <c r="H5" s="275" t="s">
        <v>859</v>
      </c>
      <c r="I5" s="1961">
        <f>ROUND(E31/D31,2)</f>
        <v>2.88</v>
      </c>
      <c r="J5" s="1969"/>
      <c r="K5" s="1969"/>
      <c r="L5" s="1969"/>
    </row>
    <row r="6" spans="1:16" ht="15" thickBot="1">
      <c r="A6" s="113"/>
      <c r="B6" s="3278" t="s">
        <v>208</v>
      </c>
      <c r="C6" s="3278"/>
      <c r="D6" s="111">
        <f>ROUND($D$3*E6/$E$3,2)</f>
        <v>4998.7700000000004</v>
      </c>
      <c r="E6" s="112">
        <f>E3-E5</f>
        <v>14372</v>
      </c>
      <c r="F6" s="1969"/>
      <c r="G6" s="1197"/>
      <c r="H6" s="275" t="s">
        <v>860</v>
      </c>
      <c r="I6" s="1961">
        <f>ROUND(F31/D31,2)</f>
        <v>2</v>
      </c>
      <c r="J6" s="1969"/>
      <c r="K6" s="1969"/>
      <c r="L6" s="1969"/>
    </row>
    <row r="7" spans="1:16" ht="15">
      <c r="A7" s="3270"/>
      <c r="B7" s="3271"/>
      <c r="C7" s="327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11175.24</v>
      </c>
      <c r="E8" s="116">
        <f>SUMIF('数据-基础表'!BB10:BK10,"地上",'数据-基础表'!BB5:BK5)</f>
        <v>32130</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11175.24</v>
      </c>
      <c r="E16" s="120">
        <f>SUM(E8:E15)</f>
        <v>32130</v>
      </c>
      <c r="F16" s="1969"/>
      <c r="G16" s="1971"/>
      <c r="H16" s="968" t="s">
        <v>219</v>
      </c>
      <c r="I16" s="969"/>
      <c r="J16" s="1969"/>
      <c r="K16" s="3264" t="s">
        <v>2566</v>
      </c>
      <c r="L16" s="3265"/>
      <c r="M16" s="3265"/>
      <c r="N16" s="3265"/>
      <c r="O16" s="3265"/>
      <c r="P16" s="3266"/>
    </row>
    <row r="17" spans="1:19" ht="15">
      <c r="A17" s="121" t="s">
        <v>216</v>
      </c>
      <c r="B17" s="122" t="s">
        <v>217</v>
      </c>
      <c r="C17" s="2283" t="s">
        <v>2313</v>
      </c>
      <c r="D17" s="108" t="s">
        <v>204</v>
      </c>
      <c r="E17" s="124" t="s">
        <v>205</v>
      </c>
      <c r="F17" s="125"/>
      <c r="G17" s="1362"/>
      <c r="H17" s="970" t="s">
        <v>218</v>
      </c>
      <c r="I17" s="971" t="s">
        <v>2312</v>
      </c>
      <c r="J17" s="1969"/>
      <c r="K17" s="3267" t="s">
        <v>2567</v>
      </c>
      <c r="L17" s="3268"/>
      <c r="M17" s="3269"/>
      <c r="N17" s="3267" t="s">
        <v>2568</v>
      </c>
      <c r="O17" s="3268"/>
      <c r="P17" s="326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3014</v>
      </c>
      <c r="D19" s="111">
        <f t="shared" ref="D19:D26" si="1">ROUND($D$3*E19/$E$3,2)</f>
        <v>11175.24</v>
      </c>
      <c r="E19" s="134">
        <f t="shared" ref="E19:E26" si="2">SUM(F19:G19)</f>
        <v>32130</v>
      </c>
      <c r="F19" s="135">
        <f>'数据-基础表'!I5</f>
        <v>32130</v>
      </c>
      <c r="G19" s="1364"/>
      <c r="H19" s="974">
        <f>ROUND($D$3*I19/$E$3,2)</f>
        <v>4998.7700000000004</v>
      </c>
      <c r="I19" s="116">
        <f>IF($I$17="自定义",P19,M19)</f>
        <v>14372</v>
      </c>
      <c r="J19" s="1969"/>
      <c r="K19" s="2572">
        <f t="shared" ref="K19:K26" si="3">ROUND(E$28*E19/E$27,2)</f>
        <v>14154</v>
      </c>
      <c r="L19" s="275">
        <f t="shared" ref="L19:L26" si="4">ROUND(IF(COUNTIF(C19,"*住宅*")&gt;0,E$29*E19/E$32,0),2)</f>
        <v>218</v>
      </c>
      <c r="M19" s="2573">
        <f>K19+L19</f>
        <v>14372</v>
      </c>
      <c r="N19" s="2574"/>
      <c r="O19" s="2575"/>
      <c r="P19" s="2576">
        <f>N19+O19</f>
        <v>0</v>
      </c>
      <c r="R19" s="275">
        <f t="shared" ref="R19:S26" si="5">D19+H19</f>
        <v>16174.01</v>
      </c>
      <c r="S19" s="2286">
        <f t="shared" si="5"/>
        <v>46502</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11175.24</v>
      </c>
      <c r="E27" s="143">
        <f>IF(SUM(E19:E26)='数据-基础表'!BA5,SUM(E19:E26),IF(F27="地上面积有误","面积有误","地下面积有误"))</f>
        <v>32130</v>
      </c>
      <c r="F27" s="134">
        <f>IF(SUM(F19:F26)=E8,SUM(F19:F26),"地上面积有误")</f>
        <v>32130</v>
      </c>
      <c r="G27" s="112">
        <f>SUM(G19:G26)</f>
        <v>0</v>
      </c>
      <c r="H27" s="975">
        <f>SUM(H19:H26)</f>
        <v>4998.7700000000004</v>
      </c>
      <c r="I27" s="976">
        <f>SUM(I19:I26)</f>
        <v>14372</v>
      </c>
      <c r="J27" s="1969"/>
      <c r="K27" s="2581">
        <f>SUM(K19:K26)</f>
        <v>14154</v>
      </c>
      <c r="L27" s="2582">
        <f>SUM(L19:L26)</f>
        <v>218</v>
      </c>
      <c r="M27" s="2583">
        <f>SUM(M19:M26)</f>
        <v>14372</v>
      </c>
      <c r="N27" s="2581">
        <f t="shared" ref="N27:O27" si="10">SUM(N19:N26)</f>
        <v>0</v>
      </c>
      <c r="O27" s="2582">
        <f t="shared" si="10"/>
        <v>0</v>
      </c>
      <c r="P27" s="2584">
        <f>SUM(P19:P26)</f>
        <v>0</v>
      </c>
      <c r="R27" s="2290">
        <f>IF(SUM(R19:R26)=$D$3,SUM(R19:R26),SUM(R19:R26)&amp;"误差"&amp;ROUND(SUM(R19:R26)-$D$3,2))</f>
        <v>16174.01</v>
      </c>
      <c r="S27" s="275">
        <f>IF(SUM(S19:S26)=$E$3,SUM(S19:S26),SUM(S19:S26)&amp;"误差"&amp;ROUND(SUM(S19:S26)-E3,2))</f>
        <v>46502</v>
      </c>
    </row>
    <row r="28" spans="1:19">
      <c r="A28" s="138"/>
      <c r="B28" s="115" t="s">
        <v>227</v>
      </c>
      <c r="C28" s="136" t="s">
        <v>228</v>
      </c>
      <c r="D28" s="111">
        <f>ROUND($D$3*E28/$E$3,2)</f>
        <v>4922.95</v>
      </c>
      <c r="E28" s="134">
        <f>SUM(F28:G28)</f>
        <v>14154</v>
      </c>
      <c r="F28" s="144">
        <f>'数据-基础表'!BQ5+'数据-基础表'!BS5</f>
        <v>0</v>
      </c>
      <c r="G28" s="145">
        <f>'数据-基础表'!BR5+'数据-基础表'!BT5</f>
        <v>14154</v>
      </c>
      <c r="H28" s="1969"/>
      <c r="I28" s="1969"/>
      <c r="J28" s="1969"/>
      <c r="K28" s="1969"/>
      <c r="L28" s="1969"/>
    </row>
    <row r="29" spans="1:19">
      <c r="A29" s="138"/>
      <c r="B29" s="115" t="s">
        <v>227</v>
      </c>
      <c r="C29" s="2298" t="s">
        <v>2320</v>
      </c>
      <c r="D29" s="111">
        <f>ROUND($D$3*E29/$E$3,2)</f>
        <v>75.819999999999993</v>
      </c>
      <c r="E29" s="134">
        <f>SUM(F29:G29)</f>
        <v>218</v>
      </c>
      <c r="F29" s="144">
        <f>'数据-基础表'!BM5+'数据-基础表'!BO5</f>
        <v>218</v>
      </c>
      <c r="G29" s="146">
        <f>'数据-基础表'!BN5+'数据-基础表'!BP5</f>
        <v>0</v>
      </c>
      <c r="H29" s="1969"/>
      <c r="I29" s="1969"/>
      <c r="J29" s="1969"/>
      <c r="K29" s="1969"/>
      <c r="L29" s="1969"/>
    </row>
    <row r="30" spans="1:19">
      <c r="A30" s="138"/>
      <c r="B30" s="111"/>
      <c r="C30" s="147" t="s">
        <v>215</v>
      </c>
      <c r="D30" s="134">
        <f>SUM(D28:D29)</f>
        <v>4998.7699999999995</v>
      </c>
      <c r="E30" s="134">
        <f>SUM(E28:E29)</f>
        <v>14372</v>
      </c>
      <c r="F30" s="134">
        <f>SUM(F28:F29)</f>
        <v>218</v>
      </c>
      <c r="G30" s="112">
        <f>SUM(G28:G29)</f>
        <v>14154</v>
      </c>
      <c r="H30" s="1969"/>
      <c r="I30" s="1969"/>
      <c r="J30" s="1969"/>
      <c r="K30" s="1969"/>
      <c r="L30" s="1969"/>
    </row>
    <row r="31" spans="1:19" ht="32.25" customHeight="1" thickBot="1">
      <c r="A31" s="1366"/>
      <c r="B31" s="1367" t="s">
        <v>229</v>
      </c>
      <c r="C31" s="2315" t="s">
        <v>2322</v>
      </c>
      <c r="D31" s="1368">
        <f>D27+D30</f>
        <v>16174.009999999998</v>
      </c>
      <c r="E31" s="1368">
        <f>E27+E30</f>
        <v>46502</v>
      </c>
      <c r="F31" s="1369">
        <f>F27+F30</f>
        <v>32348</v>
      </c>
      <c r="G31" s="1370">
        <f>G27+G30</f>
        <v>14154</v>
      </c>
      <c r="H31" s="1969"/>
      <c r="I31" s="1969"/>
      <c r="J31" s="1969"/>
      <c r="K31" s="1969"/>
      <c r="L31" s="1969"/>
    </row>
    <row r="32" spans="1:19">
      <c r="A32" s="1969"/>
      <c r="B32" s="2327" t="s">
        <v>2321</v>
      </c>
      <c r="C32" s="2611"/>
      <c r="D32" s="1197"/>
      <c r="E32" s="1197">
        <f>SUMIF(C19:C26,"*住宅*",E19:E26)</f>
        <v>32130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18" activePane="bottomRight" state="frozen"/>
      <selection pane="topRight" activeCell="D1" sqref="D1"/>
      <selection pane="bottomLeft" activeCell="A4" sqref="A4"/>
      <selection pane="bottomRight" activeCell="T35" sqref="T35"/>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69168</v>
      </c>
      <c r="F6" s="174">
        <f>SUMIF(项目基本情况!D$15:I$15,C6,项目基本情况!D$19:I$19)</f>
        <v>70</v>
      </c>
      <c r="G6" s="175">
        <f>IF(ISERROR(ROUND(POWER(1+H6,D6-F6)*(POWER(1+H6,F6)-1)/(POWER(1+H6,D6)-1),3)),0,ROUND(POWER(1+H6,D6-F6)*(POWER(1+H6,F6)-1)/(POWER(1+H6,D6)-1),3))</f>
        <v>1</v>
      </c>
      <c r="H6" s="2978">
        <v>0.04</v>
      </c>
      <c r="I6" s="2978">
        <v>4.4999999999999998E-2</v>
      </c>
      <c r="J6" s="176">
        <v>8.5000000000000006E-2</v>
      </c>
      <c r="K6" s="179">
        <f>SUMIF('数据-汇总表'!C$19:C$33,'数据-取费表'!A6,'数据-汇总表'!E$19:E$33)</f>
        <v>32130</v>
      </c>
      <c r="L6" s="2979">
        <v>2000</v>
      </c>
      <c r="M6" s="177">
        <f t="shared" ref="M6:M14" si="0">ROUND(K6*L6/10000,0)</f>
        <v>6426</v>
      </c>
      <c r="N6" s="2980">
        <v>0</v>
      </c>
      <c r="O6" s="177">
        <f>IF($N$5="成新度","——",ROUND(M6*N6,0))</f>
        <v>0</v>
      </c>
      <c r="P6" s="178">
        <f>IF($N$5="成新度","——",M6-O6)</f>
        <v>6426</v>
      </c>
      <c r="Q6" s="2981">
        <v>0.15</v>
      </c>
      <c r="R6" s="179">
        <f>SUMIF('数据-汇总表'!C$19:C$33,A6,'数据-汇总表'!R$19:R$33)</f>
        <v>16174.01</v>
      </c>
      <c r="S6" s="132">
        <f>IF('数据-汇总表'!$I$17="按面积比例",SUMIF('数据-汇总表'!C$19:C$33,A6,'数据-汇总表'!K$19:K$33),SUMIF('数据-汇总表'!C$19:C$33,A6,'数据-汇总表'!N$19:N$33))</f>
        <v>14154</v>
      </c>
      <c r="T6" s="2219">
        <f>IF($T$4="按面积比例",IF(ISERROR(ROUND($M$14*S6/S$16,0)),"0",ROUND($M$14*S6/S$16,0)),"需自行计算录入")</f>
        <v>2831</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14154</v>
      </c>
      <c r="L14" s="193">
        <v>2000</v>
      </c>
      <c r="M14" s="177">
        <f t="shared" si="0"/>
        <v>2831</v>
      </c>
      <c r="N14" s="194">
        <v>0</v>
      </c>
      <c r="O14" s="177">
        <f t="shared" si="3"/>
        <v>0</v>
      </c>
      <c r="P14" s="178">
        <f t="shared" si="4"/>
        <v>2831</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218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46502</v>
      </c>
      <c r="L16" s="206">
        <f>ROUND(M16*10000/SUM(K6:K14),0)</f>
        <v>2000</v>
      </c>
      <c r="M16" s="206">
        <f>SUM(M6:M14)</f>
        <v>9257</v>
      </c>
      <c r="N16" s="207">
        <f>ROUND(SUMPRODUCT(M6:M14,N6:N14)/M16,3)</f>
        <v>0</v>
      </c>
      <c r="O16" s="206">
        <f>SUM(O6:O14)</f>
        <v>0</v>
      </c>
      <c r="P16" s="206">
        <f>SUM(P6:P14)</f>
        <v>9257</v>
      </c>
      <c r="Q16" s="208">
        <f>ROUND(SUMPRODUCT(Q6:Q13,K6:K13)/SUMPRODUCT((Q6:Q13&gt;0)*(K6:K13)),2)</f>
        <v>0.15</v>
      </c>
      <c r="R16" s="2296">
        <f>SUM(R6:R13)</f>
        <v>16174.01</v>
      </c>
      <c r="S16" s="209">
        <f>SUM(S6:S13)</f>
        <v>14154</v>
      </c>
      <c r="T16" s="210">
        <f>IF(SUMIF(T6:T13,"&lt;9E307")=M14,SUMIF(T6:T13,"&lt;9E307"),"有误，请检查")</f>
        <v>2831</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0.93600000000000005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1.5</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1.5</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220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220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1.4999999999999999E-2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925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8</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9" t="s">
        <v>1663</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46502</v>
      </c>
      <c r="C1" s="2998"/>
      <c r="D1" s="2998"/>
      <c r="E1" s="2998"/>
      <c r="F1" s="2998"/>
    </row>
    <row r="2" spans="1:9" ht="16.5">
      <c r="A2" s="2997" t="s">
        <v>2845</v>
      </c>
      <c r="B2" s="2997">
        <f>SUM(C14:C23)</f>
        <v>16174.01</v>
      </c>
      <c r="C2" s="2998"/>
      <c r="D2" s="2998"/>
      <c r="E2" s="2998"/>
      <c r="F2" s="2998"/>
    </row>
    <row r="3" spans="1:9" ht="16.5">
      <c r="A3" s="2997" t="s">
        <v>2846</v>
      </c>
      <c r="B3" s="2999">
        <f>项目基本情况!D3</f>
        <v>43612</v>
      </c>
      <c r="C3" s="2998"/>
      <c r="D3" s="2998"/>
      <c r="E3" s="2998"/>
      <c r="F3" s="2998"/>
    </row>
    <row r="4" spans="1:9" ht="33">
      <c r="A4" s="2997" t="s">
        <v>2847</v>
      </c>
      <c r="B4" s="2997" t="s">
        <v>2848</v>
      </c>
      <c r="C4" s="2997" t="s">
        <v>2849</v>
      </c>
      <c r="D4" s="2997" t="s">
        <v>2850</v>
      </c>
      <c r="E4" s="2998"/>
      <c r="F4" s="2998"/>
    </row>
    <row r="5" spans="1:9" ht="16.5">
      <c r="A5" s="2997" t="s">
        <v>2851</v>
      </c>
      <c r="B5" s="2997">
        <f ca="1">SUM(D14:D23)</f>
        <v>45138</v>
      </c>
      <c r="C5" s="2997">
        <f ca="1">ROUND(B5*10000/$B$1,0)</f>
        <v>9707</v>
      </c>
      <c r="D5" s="2997">
        <f ca="1">ROUND(B5*10000/$B$2,0)</f>
        <v>27908</v>
      </c>
      <c r="E5" s="2998"/>
      <c r="F5" s="2998"/>
    </row>
    <row r="6" spans="1:9" ht="16.5">
      <c r="A6" s="2997" t="s">
        <v>2852</v>
      </c>
      <c r="B6" s="2997">
        <f ca="1">SUM(G14:G23)</f>
        <v>45138</v>
      </c>
      <c r="C6" s="2997">
        <f t="shared" ref="C6:C8" ca="1" si="0">ROUND(B6*10000/$B$1,0)</f>
        <v>9707</v>
      </c>
      <c r="D6" s="2997">
        <f t="shared" ref="D6:D8" ca="1" si="1">ROUND(B6*10000/$B$2,0)</f>
        <v>27908</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46502</v>
      </c>
      <c r="C14" s="3001">
        <f>结果表!K38</f>
        <v>16174.01</v>
      </c>
      <c r="D14" s="3001">
        <f ca="1">结果表!C42</f>
        <v>45138</v>
      </c>
      <c r="E14" s="3001">
        <f ca="1">ROUND(D14*10000/B14,0)</f>
        <v>9707</v>
      </c>
      <c r="F14" s="3001">
        <f ca="1">ROUND(D14*10000/C14,0)</f>
        <v>27908</v>
      </c>
      <c r="G14" s="3001">
        <f ca="1">结果表!C44</f>
        <v>45138</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4.25">
      <c r="A3" s="3337" t="s">
        <v>298</v>
      </c>
      <c r="B3" s="3338"/>
      <c r="C3" s="3338"/>
      <c r="D3" s="3338"/>
      <c r="E3" s="3338"/>
      <c r="F3" s="3338"/>
      <c r="G3" s="3338"/>
      <c r="H3" s="3338"/>
      <c r="I3" s="3338"/>
      <c r="J3" s="2015"/>
      <c r="K3" s="2014"/>
      <c r="L3" s="2014"/>
      <c r="M3" s="2014"/>
      <c r="N3" s="2014"/>
      <c r="O3" s="2014"/>
      <c r="P3" s="2014"/>
      <c r="Q3" s="2014"/>
      <c r="R3" s="2014"/>
      <c r="S3" s="2014"/>
      <c r="T3" s="2014"/>
      <c r="U3" s="2014"/>
      <c r="V3" s="2014"/>
    </row>
    <row r="4" spans="1:22" ht="14.25">
      <c r="A4" s="258" t="s">
        <v>299</v>
      </c>
      <c r="B4" s="259" t="s">
        <v>300</v>
      </c>
      <c r="C4" s="260" t="s">
        <v>3289</v>
      </c>
      <c r="D4" s="260" t="s">
        <v>3290</v>
      </c>
      <c r="E4" s="3301" t="s">
        <v>301</v>
      </c>
      <c r="F4" s="3343"/>
      <c r="G4" s="3343"/>
      <c r="H4" s="3343"/>
      <c r="I4" s="330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0" t="s">
        <v>302</v>
      </c>
      <c r="B5" s="3331">
        <v>25</v>
      </c>
      <c r="C5" s="3339"/>
      <c r="D5" s="3342"/>
      <c r="E5" s="261" t="s">
        <v>303</v>
      </c>
      <c r="F5" s="262"/>
      <c r="G5" s="262"/>
      <c r="H5" s="262"/>
      <c r="I5" s="263"/>
      <c r="J5" s="2015"/>
      <c r="K5" s="2014"/>
      <c r="L5" s="2014"/>
      <c r="M5" s="2014"/>
      <c r="N5" s="2014"/>
      <c r="O5" s="2014"/>
      <c r="P5" s="2014"/>
      <c r="Q5" s="2014"/>
      <c r="R5" s="2014"/>
      <c r="S5" s="2014"/>
      <c r="T5" s="2014"/>
      <c r="U5" s="2014"/>
      <c r="V5" s="2014"/>
    </row>
    <row r="6" spans="1:22" ht="14.25">
      <c r="A6" s="3330"/>
      <c r="B6" s="3331"/>
      <c r="C6" s="3340"/>
      <c r="D6" s="3342"/>
      <c r="E6" s="261" t="s">
        <v>304</v>
      </c>
      <c r="F6" s="262"/>
      <c r="G6" s="262"/>
      <c r="H6" s="262"/>
      <c r="I6" s="263"/>
      <c r="J6" s="2015"/>
      <c r="K6" s="2014"/>
      <c r="L6" s="2014"/>
      <c r="M6" s="2014"/>
      <c r="N6" s="2014"/>
      <c r="O6" s="2014"/>
      <c r="P6" s="2014"/>
      <c r="Q6" s="2014"/>
      <c r="R6" s="2014"/>
      <c r="S6" s="2014"/>
      <c r="T6" s="2014"/>
      <c r="U6" s="2014"/>
      <c r="V6" s="2014"/>
    </row>
    <row r="7" spans="1:22" ht="14.25">
      <c r="A7" s="3330"/>
      <c r="B7" s="3331"/>
      <c r="C7" s="3341"/>
      <c r="D7" s="3342"/>
      <c r="E7" s="261" t="s">
        <v>305</v>
      </c>
      <c r="F7" s="262"/>
      <c r="G7" s="262"/>
      <c r="H7" s="262"/>
      <c r="I7" s="263"/>
      <c r="J7" s="2015"/>
      <c r="K7" s="2014"/>
      <c r="L7" s="2014"/>
      <c r="M7" s="2014"/>
      <c r="N7" s="2014"/>
      <c r="O7" s="2014"/>
      <c r="P7" s="2014"/>
      <c r="Q7" s="2014"/>
      <c r="R7" s="2014"/>
      <c r="S7" s="2014"/>
      <c r="T7" s="2014"/>
      <c r="U7" s="2014"/>
      <c r="V7" s="2014"/>
    </row>
    <row r="8" spans="1:22" ht="14.25">
      <c r="A8" s="3330" t="s">
        <v>306</v>
      </c>
      <c r="B8" s="3331">
        <v>15</v>
      </c>
      <c r="C8" s="3339"/>
      <c r="D8" s="3342"/>
      <c r="E8" s="261" t="s">
        <v>307</v>
      </c>
      <c r="F8" s="262"/>
      <c r="G8" s="262"/>
      <c r="H8" s="262"/>
      <c r="I8" s="263"/>
      <c r="J8" s="2015"/>
      <c r="K8" s="2014"/>
      <c r="L8" s="2014"/>
      <c r="M8" s="2014"/>
      <c r="N8" s="2014"/>
      <c r="O8" s="2014"/>
      <c r="P8" s="2014"/>
      <c r="Q8" s="2014"/>
      <c r="R8" s="2014"/>
      <c r="S8" s="2014"/>
      <c r="T8" s="2014"/>
      <c r="U8" s="2014"/>
      <c r="V8" s="2014"/>
    </row>
    <row r="9" spans="1:22" ht="14.25">
      <c r="A9" s="3330"/>
      <c r="B9" s="3331"/>
      <c r="C9" s="3341"/>
      <c r="D9" s="3342"/>
      <c r="E9" s="261" t="s">
        <v>308</v>
      </c>
      <c r="F9" s="262"/>
      <c r="G9" s="262"/>
      <c r="H9" s="262"/>
      <c r="I9" s="263"/>
      <c r="J9" s="2015"/>
      <c r="K9" s="2014"/>
      <c r="L9" s="2014"/>
      <c r="M9" s="2014"/>
      <c r="N9" s="2014"/>
      <c r="O9" s="2014"/>
      <c r="P9" s="2014"/>
      <c r="Q9" s="2014"/>
      <c r="R9" s="2014"/>
      <c r="S9" s="2014"/>
      <c r="T9" s="2014"/>
      <c r="U9" s="2014"/>
      <c r="V9" s="2014"/>
    </row>
    <row r="10" spans="1:22" ht="14.25">
      <c r="A10" s="3330" t="s">
        <v>309</v>
      </c>
      <c r="B10" s="3331">
        <v>15</v>
      </c>
      <c r="C10" s="3339"/>
      <c r="D10" s="334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0"/>
      <c r="B11" s="3331"/>
      <c r="C11" s="3341"/>
      <c r="D11" s="334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0" t="s">
        <v>312</v>
      </c>
      <c r="B12" s="3331">
        <v>15</v>
      </c>
      <c r="C12" s="3339"/>
      <c r="D12" s="334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0"/>
      <c r="B13" s="3331"/>
      <c r="C13" s="3341"/>
      <c r="D13" s="334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0" t="s">
        <v>315</v>
      </c>
      <c r="B14" s="3331">
        <v>30</v>
      </c>
      <c r="C14" s="3339">
        <v>5</v>
      </c>
      <c r="D14" s="334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0"/>
      <c r="B15" s="3331"/>
      <c r="C15" s="3340"/>
      <c r="D15" s="334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0"/>
      <c r="B16" s="3331"/>
      <c r="C16" s="3341"/>
      <c r="D16" s="334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39456</v>
      </c>
      <c r="D19" s="271">
        <f ca="1">SUMIF(INDIRECT("'"&amp;D4&amp;"'"&amp;"!A:A"),结果表!B19,INDIRECT("'"&amp;D4&amp;"'"&amp;"!B:B"))</f>
        <v>50819</v>
      </c>
      <c r="E19" s="268" t="s">
        <v>323</v>
      </c>
      <c r="F19" s="269" t="s">
        <v>322</v>
      </c>
      <c r="G19" s="272">
        <f ca="1">ROUND(C19*$C$18+D19*$D$18,0)</f>
        <v>45138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8485</v>
      </c>
      <c r="D20" s="277">
        <f ca="1">SUMIF(INDIRECT("'"&amp;D4&amp;"'"&amp;"!A:A"),结果表!B20,INDIRECT("'"&amp;D4&amp;"'"&amp;"!B:B"))</f>
        <v>15817</v>
      </c>
      <c r="E20" s="274"/>
      <c r="F20" s="275" t="s">
        <v>325</v>
      </c>
      <c r="G20" s="278">
        <f ca="1">ROUND(C20*$C$18+D20*$D$18,0)</f>
        <v>12151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24395</v>
      </c>
      <c r="D21" s="151">
        <f ca="1">SUMIF(INDIRECT("'"&amp;D4&amp;"'"&amp;"!A:A"),结果表!B21,INDIRECT("'"&amp;D4&amp;"'"&amp;"!B:B"))</f>
        <v>31420</v>
      </c>
      <c r="E21" s="274"/>
      <c r="F21" s="280" t="s">
        <v>327</v>
      </c>
      <c r="G21" s="282">
        <f ca="1">ROUND(C21*$C$18+D21*$D$18,0)</f>
        <v>27908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0.28799168694241684</v>
      </c>
      <c r="E22" s="284"/>
      <c r="F22" s="285"/>
      <c r="G22" s="286">
        <f ca="1">ROUND(G19/('数据-汇总表'!D3/666.67),0)</f>
        <v>1861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5"/>
      <c r="B25" s="1317" t="s">
        <v>331</v>
      </c>
      <c r="C25" s="290">
        <f>IF(B30=0,0,C30)</f>
        <v>0</v>
      </c>
      <c r="D25" s="291"/>
      <c r="E25" s="311"/>
      <c r="F25" s="311"/>
      <c r="G25" s="311"/>
      <c r="H25" s="311"/>
      <c r="I25" s="311"/>
      <c r="J25" s="2014"/>
      <c r="K25" s="1251" t="str">
        <f ca="1">项目基本情况!B16&amp;"国有建设用地使用权价格："&amp;O38&amp;"万元"</f>
        <v>出让国有建设用地使用权价格：45138万元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大写金额：人民币肆亿伍仟壹佰叁拾捌万元整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f>45000/'数据-汇总表'!F31*10000</f>
        <v>13911.215531099295</v>
      </c>
      <c r="E27" s="311"/>
      <c r="F27" s="311"/>
      <c r="G27" s="311"/>
      <c r="H27" s="311"/>
      <c r="I27" s="311"/>
      <c r="J27" s="2014"/>
      <c r="K27" s="1254" t="str">
        <f ca="1">"单位面积地价："&amp;M38&amp;"元/平方米"</f>
        <v>单位面积地价：27908元/平方米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楼面地价：9707元/平方米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抵押价格：45138万元</v>
      </c>
      <c r="L29" s="1248"/>
      <c r="M29" s="1248"/>
      <c r="N29" s="1248"/>
      <c r="O29" s="1247"/>
      <c r="P29" s="2014"/>
      <c r="V29" s="2014"/>
    </row>
    <row r="30" spans="1:26" ht="18.75" thickBot="1">
      <c r="A30" s="3082" t="s">
        <v>336</v>
      </c>
      <c r="B30" s="309"/>
      <c r="C30" s="309"/>
      <c r="D30" s="310"/>
      <c r="E30" s="3083" t="s">
        <v>2970</v>
      </c>
      <c r="F30" s="311"/>
      <c r="G30" s="311"/>
      <c r="H30" s="311"/>
      <c r="I30" s="311"/>
      <c r="J30" s="2014"/>
      <c r="K30" s="1254" t="str">
        <f ca="1">IF(K29="——","——","大写金额：人民币"&amp;NUMBERSTRING(INT(O39*10000),2)&amp;"元整")</f>
        <v>大写金额：人民币肆亿伍仟壹佰叁拾捌万元整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45138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9707</v>
      </c>
      <c r="D33" s="1382" t="s">
        <v>1691</v>
      </c>
      <c r="E33" s="330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27908</v>
      </c>
      <c r="D34" s="1384" t="s">
        <v>1691</v>
      </c>
      <c r="E34" s="330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1861</v>
      </c>
      <c r="D35" s="1387" t="s">
        <v>1693</v>
      </c>
      <c r="E35" s="3305"/>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16174.01</v>
      </c>
      <c r="L38" s="1265">
        <f>'数据-汇总表'!E3</f>
        <v>46502</v>
      </c>
      <c r="M38" s="1265">
        <f ca="1">C34</f>
        <v>27908</v>
      </c>
      <c r="N38" s="1265">
        <f ca="1">C33</f>
        <v>9707</v>
      </c>
      <c r="O38" s="1266">
        <f ca="1">C32</f>
        <v>45138</v>
      </c>
      <c r="P38" s="2014"/>
      <c r="V38" s="2014"/>
    </row>
    <row r="39" spans="1:26" ht="16.5" customHeight="1" thickBot="1">
      <c r="A39" s="1261"/>
      <c r="B39" s="308"/>
      <c r="C39" s="309"/>
      <c r="D39" s="309"/>
      <c r="E39" s="310"/>
      <c r="F39" s="311"/>
      <c r="G39" s="311"/>
      <c r="H39" s="311"/>
      <c r="I39" s="311"/>
      <c r="J39" s="2016"/>
      <c r="K39" s="3286" t="str">
        <f>MID(A44,3,LEN(A44)-2)</f>
        <v>抵押价格</v>
      </c>
      <c r="L39" s="3287"/>
      <c r="M39" s="3287"/>
      <c r="N39" s="3288"/>
      <c r="O39" s="1389">
        <f ca="1">C44</f>
        <v>45138</v>
      </c>
      <c r="P39" s="2014"/>
      <c r="V39" s="2014"/>
    </row>
    <row r="40" spans="1:26" ht="19.5" thickBot="1">
      <c r="A40" s="104" t="s">
        <v>873</v>
      </c>
      <c r="B40" s="311"/>
      <c r="C40" s="311"/>
      <c r="D40" s="311"/>
      <c r="E40" s="311"/>
      <c r="F40" s="311"/>
      <c r="G40" s="311"/>
      <c r="H40" s="311"/>
      <c r="I40" s="311"/>
      <c r="J40" s="2016"/>
      <c r="K40" s="3286" t="str">
        <f t="shared" ref="K40:K41" si="0">MID(A45,3,LEN(A45)-2)</f>
        <v/>
      </c>
      <c r="L40" s="3287"/>
      <c r="M40" s="3287"/>
      <c r="N40" s="32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6" t="str">
        <f t="shared" si="0"/>
        <v/>
      </c>
      <c r="L41" s="3287"/>
      <c r="M41" s="3287"/>
      <c r="N41" s="3288"/>
      <c r="O41" s="1389" t="str">
        <f>C46</f>
        <v>——</v>
      </c>
      <c r="P41" s="2014"/>
      <c r="V41" s="2014"/>
    </row>
    <row r="42" spans="1:26" ht="29.25">
      <c r="A42" s="3346" t="s">
        <v>2067</v>
      </c>
      <c r="B42" s="3347"/>
      <c r="C42" s="264">
        <f ca="1">C32</f>
        <v>45138</v>
      </c>
      <c r="D42" s="317">
        <f ca="1">C33</f>
        <v>9707</v>
      </c>
      <c r="E42" s="317">
        <f ca="1">C34</f>
        <v>27908</v>
      </c>
      <c r="F42" s="318">
        <f ca="1">C35</f>
        <v>1861</v>
      </c>
      <c r="G42" s="311"/>
      <c r="H42" s="311"/>
      <c r="I42" s="319"/>
      <c r="J42" s="2016"/>
      <c r="K42" s="1267" t="s">
        <v>361</v>
      </c>
      <c r="L42" s="2033" t="s">
        <v>362</v>
      </c>
      <c r="M42" s="1268" t="s">
        <v>363</v>
      </c>
      <c r="N42" s="2034" t="s">
        <v>364</v>
      </c>
      <c r="O42" s="2035" t="s">
        <v>365</v>
      </c>
      <c r="P42" s="2014"/>
      <c r="V42" s="2014"/>
    </row>
    <row r="43" spans="1:26" ht="30">
      <c r="A43" s="3356" t="s">
        <v>2730</v>
      </c>
      <c r="B43" s="3357"/>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39456</v>
      </c>
      <c r="M43" s="1271">
        <f>C18</f>
        <v>0.5</v>
      </c>
      <c r="N43" s="1272">
        <f ca="1">IF(N42="测算结果/万元",G19,G20)</f>
        <v>45138</v>
      </c>
      <c r="O43" s="1273">
        <f ca="1">IF(O42="最终结果/万元",C32,C33)</f>
        <v>45138</v>
      </c>
      <c r="P43" s="2014"/>
      <c r="V43" s="2014"/>
    </row>
    <row r="44" spans="1:26" ht="30.75" thickBot="1">
      <c r="A44" s="3346" t="str">
        <f>IF(OR(项目基本情况!E8="抵押价格",项目基本情况!E8="已注销及未注销"),"3.抵押价格","——")</f>
        <v>3.抵押价格</v>
      </c>
      <c r="B44" s="3347"/>
      <c r="C44" s="264">
        <f ca="1">IF(A44="——","——",C42-C43)</f>
        <v>45138</v>
      </c>
      <c r="D44" s="317">
        <f ca="1">ROUND(C44*10000/'数据-汇总表'!E3,0)</f>
        <v>9707</v>
      </c>
      <c r="E44" s="317">
        <f ca="1">ROUND(C44*10000/'数据-汇总表'!D3,0)</f>
        <v>27908</v>
      </c>
      <c r="F44" s="318">
        <f ca="1">ROUND(C44/('数据-汇总表'!D3/666.67),0)</f>
        <v>1861</v>
      </c>
      <c r="G44" s="311"/>
      <c r="H44" s="311"/>
      <c r="I44" s="319"/>
      <c r="J44" s="2016"/>
      <c r="K44" s="1274" t="str">
        <f>D4</f>
        <v>剩余法-待开发</v>
      </c>
      <c r="L44" s="1275">
        <f ca="1">IF(L42="估价结果/万元",D19,D20)</f>
        <v>50819</v>
      </c>
      <c r="M44" s="1276">
        <f>D18</f>
        <v>0.5</v>
      </c>
      <c r="N44" s="1277"/>
      <c r="O44" s="1278"/>
      <c r="P44" s="2014"/>
      <c r="V44" s="2014"/>
    </row>
    <row r="45" spans="1:26" ht="15">
      <c r="A45" s="3351" t="str">
        <f>IF(项目基本情况!E8="已注销及未注销","4.抵押担保权已注销时的抵押价格",IF(项目基本情况!E8="已注销","3.抵押担保权已注销时的抵押价格","——"))</f>
        <v>——</v>
      </c>
      <c r="B45" s="335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4" t="s">
        <v>374</v>
      </c>
      <c r="B63" s="3315"/>
      <c r="C63" s="3316"/>
      <c r="D63" s="341">
        <f ca="1">ROUND(C42*F63,0)</f>
        <v>27083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3" t="s">
        <v>378</v>
      </c>
      <c r="B64" s="3354"/>
      <c r="C64" s="3354"/>
      <c r="D64" s="3354"/>
      <c r="E64" s="3354"/>
      <c r="F64" s="3354"/>
      <c r="G64" s="335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0" t="s">
        <v>386</v>
      </c>
      <c r="B66" s="3321"/>
      <c r="C66" s="3321"/>
      <c r="D66" s="261">
        <f ca="1">IF(H66="情况1",0,IF(H66="情况2",D70,IF(H66="情况3",D71,IF(H66="情况4",D72))))</f>
        <v>1444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0" t="s">
        <v>385</v>
      </c>
      <c r="M66" s="3291"/>
      <c r="N66" s="2423"/>
      <c r="O66" s="2424"/>
      <c r="P66" s="2425"/>
      <c r="Q66" s="2014"/>
      <c r="R66" s="2014"/>
      <c r="S66" s="2014"/>
      <c r="T66" s="2014"/>
      <c r="U66" s="2014"/>
      <c r="V66" s="2014"/>
    </row>
    <row r="67" spans="1:22" ht="25.5" customHeight="1">
      <c r="A67" s="352" t="s">
        <v>390</v>
      </c>
      <c r="B67" s="3333" t="s">
        <v>391</v>
      </c>
      <c r="C67" s="3333"/>
      <c r="D67" s="353">
        <v>0</v>
      </c>
      <c r="E67" s="41" t="s">
        <v>392</v>
      </c>
      <c r="F67" s="62" t="s">
        <v>21</v>
      </c>
      <c r="G67" s="3317"/>
      <c r="H67" s="311"/>
      <c r="I67" s="1288"/>
      <c r="J67" s="2021"/>
      <c r="K67" s="1962">
        <v>2</v>
      </c>
      <c r="L67" s="3289" t="s">
        <v>389</v>
      </c>
      <c r="M67" s="3289"/>
      <c r="N67" s="1321">
        <f>'数据-取费表'!B2</f>
        <v>43612</v>
      </c>
      <c r="O67" s="1321"/>
      <c r="P67" s="1321"/>
      <c r="Q67" s="2014"/>
      <c r="R67" s="2014"/>
      <c r="S67" s="2014"/>
      <c r="T67" s="2014"/>
      <c r="U67" s="2014"/>
      <c r="V67" s="2014"/>
    </row>
    <row r="68" spans="1:22" ht="25.5" customHeight="1">
      <c r="A68" s="354"/>
      <c r="B68" s="3333" t="s">
        <v>394</v>
      </c>
      <c r="C68" s="3333"/>
      <c r="D68" s="355"/>
      <c r="E68" s="77"/>
      <c r="F68" s="356"/>
      <c r="G68" s="3318"/>
      <c r="H68" s="311"/>
      <c r="I68" s="1288"/>
      <c r="J68" s="2021"/>
      <c r="K68" s="1962">
        <v>3</v>
      </c>
      <c r="L68" s="3289" t="s">
        <v>393</v>
      </c>
      <c r="M68" s="3289"/>
      <c r="N68" s="1289">
        <f ca="1">C42</f>
        <v>45138</v>
      </c>
      <c r="O68" s="1289"/>
      <c r="P68" s="1289"/>
      <c r="Q68" s="2014"/>
      <c r="R68" s="2014"/>
      <c r="S68" s="2014"/>
      <c r="T68" s="2014"/>
      <c r="U68" s="2014"/>
      <c r="V68" s="2014"/>
    </row>
    <row r="69" spans="1:22" ht="12" customHeight="1">
      <c r="A69" s="357"/>
      <c r="B69" s="3333" t="s">
        <v>395</v>
      </c>
      <c r="C69" s="3333"/>
      <c r="D69" s="358"/>
      <c r="E69" s="73"/>
      <c r="F69" s="356"/>
      <c r="G69" s="3319"/>
      <c r="H69" s="311"/>
      <c r="I69" s="1288"/>
      <c r="J69" s="2021"/>
      <c r="K69" s="1290">
        <v>4</v>
      </c>
      <c r="L69" s="3295" t="s">
        <v>2883</v>
      </c>
      <c r="M69" s="3296"/>
      <c r="N69" s="1291">
        <f ca="1">C44</f>
        <v>45138</v>
      </c>
      <c r="O69" s="1291"/>
      <c r="P69" s="1291"/>
      <c r="Q69" s="2014"/>
      <c r="R69" s="2014"/>
      <c r="S69" s="2014"/>
      <c r="T69" s="2014"/>
      <c r="U69" s="2014"/>
      <c r="V69" s="2014"/>
    </row>
    <row r="70" spans="1:22" ht="24" customHeight="1">
      <c r="A70" s="359" t="s">
        <v>396</v>
      </c>
      <c r="B70" s="3333" t="s">
        <v>397</v>
      </c>
      <c r="C70" s="3333"/>
      <c r="D70" s="358">
        <f ca="1">ROUND(D63*'数据-取费表'!B41/(1+'数据-取费表'!C42),0)</f>
        <v>1444</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2" t="s">
        <v>405</v>
      </c>
      <c r="C71" s="3344"/>
      <c r="D71" s="358">
        <f ca="1">ROUND(D63*'数据-取费表'!B41/(1+'数据-取费表'!C42),0)</f>
        <v>1444</v>
      </c>
      <c r="E71" s="17" t="s">
        <v>398</v>
      </c>
      <c r="F71" s="360">
        <f>'数据-取费表'!B41</f>
        <v>5.6000000000000001E-2</v>
      </c>
      <c r="G71" s="361"/>
      <c r="H71" s="311"/>
      <c r="I71" s="1288"/>
      <c r="J71" s="2021"/>
      <c r="K71" s="3013" t="s">
        <v>399</v>
      </c>
      <c r="L71" s="3297" t="s">
        <v>400</v>
      </c>
      <c r="M71" s="3297"/>
      <c r="N71" s="3013" t="s">
        <v>401</v>
      </c>
      <c r="O71" s="3013" t="s">
        <v>402</v>
      </c>
      <c r="P71" s="3013" t="s">
        <v>403</v>
      </c>
      <c r="Q71" s="2014"/>
      <c r="R71" s="2014"/>
      <c r="S71" s="2014"/>
      <c r="T71" s="2014"/>
      <c r="U71" s="2014"/>
      <c r="V71" s="2014"/>
    </row>
    <row r="72" spans="1:22" ht="12" customHeight="1">
      <c r="A72" s="359" t="s">
        <v>407</v>
      </c>
      <c r="B72" s="3332" t="s">
        <v>408</v>
      </c>
      <c r="C72" s="3344"/>
      <c r="D72" s="358">
        <f ca="1">C86</f>
        <v>1332</v>
      </c>
      <c r="E72" s="73" t="s">
        <v>409</v>
      </c>
      <c r="F72" s="360">
        <f>'数据-取费表'!B41</f>
        <v>5.6000000000000001E-2</v>
      </c>
      <c r="G72" s="361"/>
      <c r="H72" s="1294"/>
      <c r="I72" s="1288"/>
      <c r="J72" s="2021"/>
      <c r="K72" s="1962">
        <v>1</v>
      </c>
      <c r="L72" s="3294" t="s">
        <v>406</v>
      </c>
      <c r="M72" s="3294"/>
      <c r="N72" s="1292">
        <f ca="1">D66</f>
        <v>1444</v>
      </c>
      <c r="O72" s="1845" t="str">
        <f>E66</f>
        <v>销售额×税（费）率</v>
      </c>
      <c r="P72" s="1293">
        <f>F66</f>
        <v>5.6000000000000001E-2</v>
      </c>
      <c r="Q72" s="2014"/>
      <c r="R72" s="2014"/>
      <c r="S72" s="2014"/>
      <c r="T72" s="2014"/>
      <c r="U72" s="2014"/>
      <c r="V72" s="2014"/>
    </row>
    <row r="73" spans="1:22" ht="24" customHeight="1">
      <c r="A73" s="3320" t="s">
        <v>411</v>
      </c>
      <c r="B73" s="3321"/>
      <c r="C73" s="3321"/>
      <c r="D73" s="362">
        <f>IF(H73="个人住宅",0,ROUND(D63*I73,0))</f>
        <v>0</v>
      </c>
      <c r="E73" s="17" t="s">
        <v>412</v>
      </c>
      <c r="F73" s="360" t="str">
        <f>IF(H73="正常",I73,"免征")</f>
        <v>免征</v>
      </c>
      <c r="G73" s="361"/>
      <c r="H73" s="191" t="s">
        <v>2455</v>
      </c>
      <c r="I73" s="360">
        <f>'数据-取费表'!B49</f>
        <v>5.0000000000000001E-4</v>
      </c>
      <c r="J73" s="2021"/>
      <c r="K73" s="1962">
        <v>2</v>
      </c>
      <c r="L73" s="3294" t="s">
        <v>410</v>
      </c>
      <c r="M73" s="3294"/>
      <c r="N73" s="1292">
        <f t="shared" ref="N73:P74" si="1">D73</f>
        <v>0</v>
      </c>
      <c r="O73" s="1845" t="str">
        <f t="shared" si="1"/>
        <v>销售额×税（费）率</v>
      </c>
      <c r="P73" s="1293" t="str">
        <f t="shared" si="1"/>
        <v>免征</v>
      </c>
      <c r="Q73" s="2014"/>
      <c r="R73" s="2014"/>
      <c r="S73" s="2014"/>
      <c r="T73" s="2014"/>
      <c r="U73" s="2014"/>
      <c r="V73" s="2014"/>
    </row>
    <row r="74" spans="1:22" ht="24.75">
      <c r="A74" s="3320" t="s">
        <v>415</v>
      </c>
      <c r="B74" s="3321"/>
      <c r="C74" s="3321"/>
      <c r="D74" s="362">
        <f ca="1">IF(H74="个人住宅",D75,D76)</f>
        <v>14673</v>
      </c>
      <c r="E74" s="17" t="s">
        <v>416</v>
      </c>
      <c r="F74" s="360" t="str">
        <f>IF(H74="正常",F76,"免征")</f>
        <v>——</v>
      </c>
      <c r="G74" s="983" t="s">
        <v>417</v>
      </c>
      <c r="H74" s="363" t="s">
        <v>413</v>
      </c>
      <c r="I74" s="42"/>
      <c r="J74" s="2021"/>
      <c r="K74" s="1962">
        <v>3</v>
      </c>
      <c r="L74" s="3294" t="s">
        <v>414</v>
      </c>
      <c r="M74" s="3294"/>
      <c r="N74" s="1292">
        <f t="shared" ca="1" si="1"/>
        <v>14673</v>
      </c>
      <c r="O74" s="1845" t="str">
        <f t="shared" si="1"/>
        <v>增值额×税（费）率</v>
      </c>
      <c r="P74" s="1295" t="str">
        <f t="shared" si="1"/>
        <v>——</v>
      </c>
      <c r="Q74" s="2014"/>
      <c r="R74" s="2014"/>
      <c r="S74" s="2014"/>
      <c r="T74" s="2014"/>
      <c r="U74" s="2014"/>
      <c r="V74" s="2014"/>
    </row>
    <row r="75" spans="1:22" ht="24">
      <c r="A75" s="359" t="s">
        <v>418</v>
      </c>
      <c r="B75" s="3301" t="s">
        <v>419</v>
      </c>
      <c r="C75" s="3302"/>
      <c r="D75" s="364">
        <v>0</v>
      </c>
      <c r="E75" s="41" t="s">
        <v>420</v>
      </c>
      <c r="F75" s="365"/>
      <c r="G75" s="361"/>
      <c r="H75" s="42"/>
      <c r="I75" s="42"/>
      <c r="J75" s="2021"/>
      <c r="K75" s="3006">
        <f>IF(H77="非个人房产","",4)</f>
        <v>4</v>
      </c>
      <c r="L75" s="3294" t="str">
        <f>IF(H77="非个人房产","——","个人所得税")</f>
        <v>个人所得税</v>
      </c>
      <c r="M75" s="3294"/>
      <c r="N75" s="1296">
        <f ca="1">D77</f>
        <v>271</v>
      </c>
      <c r="O75" s="1858" t="str">
        <f>E77</f>
        <v>销售额×税（费）率</v>
      </c>
      <c r="P75" s="1297">
        <f>F77</f>
        <v>0.01</v>
      </c>
      <c r="Q75" s="2014"/>
      <c r="R75" s="2014"/>
      <c r="S75" s="2014"/>
      <c r="T75" s="2014"/>
      <c r="U75" s="2014"/>
      <c r="V75" s="2014"/>
    </row>
    <row r="76" spans="1:22" ht="24.75">
      <c r="A76" s="359" t="s">
        <v>396</v>
      </c>
      <c r="B76" s="3301" t="s">
        <v>422</v>
      </c>
      <c r="C76" s="3343"/>
      <c r="D76" s="362">
        <f ca="1">IF(H76="转让取得",C99,C115)</f>
        <v>14673</v>
      </c>
      <c r="E76" s="17" t="s">
        <v>423</v>
      </c>
      <c r="F76" s="53" t="s">
        <v>21</v>
      </c>
      <c r="G76" s="361"/>
      <c r="H76" s="363" t="s">
        <v>424</v>
      </c>
      <c r="I76" s="42"/>
      <c r="J76" s="2021"/>
      <c r="K76" s="3006"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4"/>
      <c r="R76" s="2014"/>
      <c r="S76" s="2014"/>
      <c r="T76" s="2014"/>
      <c r="U76" s="2014"/>
      <c r="V76" s="2014"/>
    </row>
    <row r="77" spans="1:22" ht="26.25" thickBot="1">
      <c r="A77" s="3312" t="s">
        <v>426</v>
      </c>
      <c r="B77" s="3313"/>
      <c r="C77" s="3313"/>
      <c r="D77" s="366">
        <f ca="1">IF(H77="非个人房产","——",IF(H77="个人住宅",0,ROUND(D63*I77,0)))</f>
        <v>271</v>
      </c>
      <c r="E77" s="367" t="str">
        <f>IF(H77="非个人房产","——","销售额×税（费）率")</f>
        <v>销售额×税（费）率</v>
      </c>
      <c r="F77" s="368">
        <f>IF(H77="非个人房产","——",IF(H77="个人住宅","免征",I77))</f>
        <v>0.01</v>
      </c>
      <c r="G77" s="984" t="s">
        <v>417</v>
      </c>
      <c r="H77" s="363" t="s">
        <v>2884</v>
      </c>
      <c r="I77" s="369">
        <v>0.01</v>
      </c>
      <c r="J77" s="2021"/>
      <c r="K77" s="3308">
        <f>IF(AND(K75="",K76=""),4,IF(项目基本情况!K6="上海银行",K76+1,K75+1))</f>
        <v>5</v>
      </c>
      <c r="L77" s="3294" t="s">
        <v>2885</v>
      </c>
      <c r="M77" s="3012" t="s">
        <v>421</v>
      </c>
      <c r="N77" s="1298"/>
      <c r="O77" s="1299">
        <f ca="1">SUMIF(N72:N76,"&lt;9e307")</f>
        <v>16388</v>
      </c>
      <c r="P77" s="1300"/>
      <c r="Q77" s="3010">
        <f ca="1">O77/N69</f>
        <v>0.36306438034472066</v>
      </c>
      <c r="R77" s="2014"/>
      <c r="S77" s="2014"/>
      <c r="T77" s="2014"/>
      <c r="U77" s="2014"/>
      <c r="V77" s="2014"/>
    </row>
    <row r="78" spans="1:22" ht="12" customHeight="1">
      <c r="A78" s="1301"/>
      <c r="B78" s="311"/>
      <c r="C78" s="311"/>
      <c r="D78" s="311"/>
      <c r="E78" s="42"/>
      <c r="F78" s="42"/>
      <c r="G78" s="42"/>
      <c r="H78" s="1003"/>
      <c r="I78" s="311"/>
      <c r="J78" s="2021"/>
      <c r="K78" s="3308"/>
      <c r="L78" s="3294"/>
      <c r="M78" s="3012" t="s">
        <v>425</v>
      </c>
      <c r="N78" s="1298"/>
      <c r="O78" s="1299" t="str">
        <f ca="1">NUMBERSTRING(INT(O77*10000),2)&amp;"元整"</f>
        <v>壹亿陆仟叁佰捌拾捌万元整</v>
      </c>
      <c r="P78" s="1300"/>
      <c r="Q78" s="2014"/>
      <c r="R78" s="2014"/>
      <c r="S78" s="2014"/>
      <c r="T78" s="2014"/>
      <c r="U78" s="2014"/>
      <c r="V78" s="2014"/>
    </row>
    <row r="79" spans="1:22" ht="13.5" thickBot="1">
      <c r="A79" s="3298" t="s">
        <v>427</v>
      </c>
      <c r="B79" s="3298"/>
      <c r="C79" s="3298"/>
      <c r="D79" s="3298"/>
      <c r="E79" s="3298"/>
      <c r="F79" s="42"/>
      <c r="G79" s="42"/>
      <c r="H79" s="1003"/>
      <c r="I79" s="311"/>
      <c r="J79" s="2021"/>
      <c r="K79" s="3292">
        <f>K77+1</f>
        <v>6</v>
      </c>
      <c r="L79" s="3294" t="s">
        <v>2886</v>
      </c>
      <c r="M79" s="3012" t="s">
        <v>421</v>
      </c>
      <c r="N79" s="1298"/>
      <c r="O79" s="1299">
        <f ca="1">N69-O77</f>
        <v>28750</v>
      </c>
      <c r="P79" s="1300"/>
      <c r="Q79" s="2014"/>
      <c r="R79" s="2014"/>
      <c r="S79" s="2014"/>
      <c r="T79" s="2014"/>
      <c r="U79" s="2014"/>
      <c r="V79" s="2014"/>
    </row>
    <row r="80" spans="1:22" ht="25.5">
      <c r="A80" s="3299" t="s">
        <v>428</v>
      </c>
      <c r="B80" s="3300"/>
      <c r="C80" s="994"/>
      <c r="D80" s="994" t="s">
        <v>429</v>
      </c>
      <c r="E80" s="370" t="s">
        <v>430</v>
      </c>
      <c r="F80" s="42"/>
      <c r="G80" s="42"/>
      <c r="H80" s="1003"/>
      <c r="I80" s="311"/>
      <c r="J80" s="2014"/>
      <c r="K80" s="3293"/>
      <c r="L80" s="3294"/>
      <c r="M80" s="3012" t="s">
        <v>425</v>
      </c>
      <c r="N80" s="1298"/>
      <c r="O80" s="1299" t="str">
        <f ca="1">NUMBERSTRING(INT(O79*10000),2)&amp;"元整"</f>
        <v>贰亿捌仟柒佰伍拾万元整</v>
      </c>
      <c r="P80" s="1300"/>
      <c r="Q80" s="2014"/>
      <c r="R80" s="2014"/>
      <c r="S80" s="2014"/>
      <c r="T80" s="2014"/>
      <c r="U80" s="2014"/>
      <c r="V80" s="2014"/>
    </row>
    <row r="81" spans="1:26" ht="13.5" thickBot="1">
      <c r="A81" s="381" t="s">
        <v>1823</v>
      </c>
      <c r="B81" s="371" t="s">
        <v>431</v>
      </c>
      <c r="C81" s="372">
        <f ca="1">ROUND((C82+C83)/(1+'数据-取费表'!C42),0)</f>
        <v>25793</v>
      </c>
      <c r="D81" s="373"/>
      <c r="E81" s="374"/>
      <c r="F81" s="42"/>
      <c r="G81" s="42"/>
      <c r="H81" s="1003"/>
      <c r="I81" s="311"/>
      <c r="J81" s="2014"/>
      <c r="K81" s="3006">
        <f>K79+1</f>
        <v>7</v>
      </c>
      <c r="L81" s="3306" t="s">
        <v>2887</v>
      </c>
      <c r="M81" s="3307"/>
      <c r="N81" s="1302"/>
      <c r="O81" s="1303">
        <f ca="1">ROUND(O79*10000/'数据-汇总表'!E3,0)</f>
        <v>6183</v>
      </c>
      <c r="P81" s="1304"/>
      <c r="Q81" s="2014"/>
      <c r="R81" s="2014"/>
      <c r="S81" s="2014"/>
      <c r="T81" s="2014"/>
      <c r="U81" s="2014"/>
      <c r="V81" s="2014"/>
    </row>
    <row r="82" spans="1:26" ht="13.5" thickTop="1">
      <c r="A82" s="375" t="s">
        <v>1824</v>
      </c>
      <c r="B82" s="376" t="s">
        <v>432</v>
      </c>
      <c r="C82" s="377">
        <f ca="1">D63</f>
        <v>27083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1" t="s">
        <v>2874</v>
      </c>
      <c r="L83" s="3018" t="s">
        <v>2875</v>
      </c>
      <c r="M83" s="3008">
        <f ca="1">IF(N69&gt;10000,N69*0.5%,IF(AND(N69&gt;1000,N69&lt;=10000),N69*1%,IF(AND(N69&gt;100,N69&lt;=1000),N69*3%,IF(AND(N69&gt;10,N69&lt;=100),N69*5%,N69*8%))))</f>
        <v>225.69</v>
      </c>
      <c r="N83" s="53">
        <f ca="1">ROUND(M83,1)</f>
        <v>225.7</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81"/>
      <c r="L84" s="3018" t="s">
        <v>2876</v>
      </c>
      <c r="M84" s="3008">
        <f ca="1">IF(N69&gt;2000,N69*0.5%,IF(AND(N69&gt;1000,N69&lt;=2000),N69*0.6%,IF(AND(N69&gt;500,N69&lt;=1000),N69*0.7%,IF(AND(N69&gt;200,N69&lt;=500),N69*0.8%,IF(AND(N69&gt;100,N69&lt;=200),N69*0.9%,IF(AND(N69&gt;50,N69&lt;=100),N69*1%,IF(AND(N69&gt;20,N69&lt;=50),N69*1.5%,IF(AND(N69&gt;10,N69&lt;=20),N69*2%,IF(AND(N69&gt;1,N69&lt;=10),N69*2.5%)))))))))</f>
        <v>225.69</v>
      </c>
      <c r="N84" s="53">
        <f t="shared" ref="N84:N85" ca="1" si="2">ROUND(M84,1)</f>
        <v>225.7</v>
      </c>
      <c r="O84" s="2014" t="s">
        <v>2877</v>
      </c>
      <c r="P84" s="2014"/>
      <c r="Q84" s="2014"/>
      <c r="R84" s="2014"/>
      <c r="S84" s="2014"/>
      <c r="T84" s="2014"/>
      <c r="U84" s="2014"/>
      <c r="V84" s="2014"/>
    </row>
    <row r="85" spans="1:26" ht="12.75">
      <c r="A85" s="381" t="s">
        <v>1827</v>
      </c>
      <c r="B85" s="382" t="s">
        <v>435</v>
      </c>
      <c r="C85" s="385">
        <f ca="1">C81-C84</f>
        <v>23793</v>
      </c>
      <c r="D85" s="378" t="s">
        <v>19</v>
      </c>
      <c r="E85" s="379"/>
      <c r="F85" s="42"/>
      <c r="G85" s="42"/>
      <c r="H85" s="1003"/>
      <c r="I85" s="311"/>
      <c r="J85" s="2014"/>
      <c r="K85" s="3281"/>
      <c r="L85" s="3018" t="s">
        <v>2878</v>
      </c>
      <c r="M85" s="3008">
        <f ca="1">IF(N69&gt;1000,N69*0.1%,IF(AND(N69&gt;500,N69&lt;=1000),N69*0.5%,IF(AND(N69&gt;50,N69&lt;=500),N69*1%,IF(AND(N69&gt;1,N69&lt;=50),N69*1.5%))))</f>
        <v>45.137999999999998</v>
      </c>
      <c r="N85" s="53">
        <f t="shared" ca="1" si="2"/>
        <v>45.1</v>
      </c>
      <c r="O85" s="2014" t="s">
        <v>2877</v>
      </c>
      <c r="P85" s="2014"/>
      <c r="Q85" s="2014"/>
      <c r="R85" s="2014"/>
      <c r="S85" s="2014"/>
      <c r="T85" s="2014"/>
      <c r="U85" s="2014"/>
      <c r="V85" s="2014"/>
    </row>
    <row r="86" spans="1:26" ht="13.5" thickBot="1">
      <c r="A86" s="386" t="s">
        <v>1828</v>
      </c>
      <c r="B86" s="387" t="s">
        <v>436</v>
      </c>
      <c r="C86" s="388">
        <f ca="1">IF(C85&lt;=0,0,ROUND(C85*D86,0))</f>
        <v>1332</v>
      </c>
      <c r="D86" s="389">
        <f>'数据-取费表'!B41</f>
        <v>5.6000000000000001E-2</v>
      </c>
      <c r="E86" s="390"/>
      <c r="F86" s="42"/>
      <c r="G86" s="42"/>
      <c r="H86" s="1003"/>
      <c r="I86" s="311"/>
      <c r="J86" s="2014"/>
      <c r="K86" s="3281"/>
      <c r="L86" s="3018" t="s">
        <v>2879</v>
      </c>
      <c r="M86" s="3008">
        <f ca="1">N69*0.5%</f>
        <v>225.69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1"/>
      <c r="L87" s="3018" t="s">
        <v>2881</v>
      </c>
      <c r="M87" s="3008">
        <f ca="1">IF(N69&gt;=10000,(8.25+(N69-10000)*0.01%),IF(AND(N69&gt;=8000,N69&lt;10000),(7.85+(N69-8000)*0.02%),IF(AND(N69&gt;=5000,N69&lt;8000),(6.65+(N69-5000)*0.04%),IF(AND(N69&gt;=2000,N69&lt;5000),(4.25+(PN69-2000)*0.08%),IF(AND(N69&gt;=1000,N69&lt;2000),(2.75+(N69-1000)*0.15%),IF(AND(N69&gt;=100,N69&lt;1000),(0.5+(N69-100)*0.25%),IF(AND(N69&gt;0,N69&lt;100),N69*0.5%)))))))</f>
        <v>11.7638</v>
      </c>
      <c r="N87" s="53">
        <f ca="1">ROUND(M87*0.9,1)</f>
        <v>10.6</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281"/>
      <c r="L88" s="3018" t="s">
        <v>2882</v>
      </c>
      <c r="M88" s="3008">
        <f ca="1">IF(N69&gt;10000,N69*0.5%,IF(AND(N69&gt;5000,N69&lt;=10000),N69*1%,IF(AND(N69&gt;1000,N69&lt;=5000),N69*2%,IF(AND(N69&gt;200,N69&lt;=1000),N69*3%,N69*5%))))</f>
        <v>225.69</v>
      </c>
      <c r="N88" s="53">
        <f ca="1">ROUND(M88,1)</f>
        <v>225.7</v>
      </c>
      <c r="O88" s="3011"/>
      <c r="P88" s="11"/>
      <c r="Q88" s="2019"/>
      <c r="R88" s="2019"/>
      <c r="S88" s="2019"/>
      <c r="T88" s="2019"/>
      <c r="U88" s="2019"/>
      <c r="V88" s="2019"/>
      <c r="W88" s="2023"/>
      <c r="X88" s="2023"/>
      <c r="Y88" s="2023"/>
      <c r="Z88" s="2023"/>
    </row>
    <row r="89" spans="1:26" s="1310" customFormat="1" ht="14.25">
      <c r="A89" s="3299" t="s">
        <v>428</v>
      </c>
      <c r="B89" s="3300"/>
      <c r="C89" s="994"/>
      <c r="D89" s="994" t="s">
        <v>429</v>
      </c>
      <c r="E89" s="391" t="s">
        <v>438</v>
      </c>
      <c r="F89" s="392"/>
      <c r="G89" s="392"/>
      <c r="H89" s="393"/>
      <c r="I89" s="1312"/>
      <c r="J89" s="2024"/>
      <c r="K89" s="3281"/>
      <c r="L89" s="3018" t="s">
        <v>27</v>
      </c>
      <c r="M89" s="3009"/>
      <c r="N89" s="53">
        <f ca="1">ROUND(SUM(N83:N88),0)</f>
        <v>733</v>
      </c>
      <c r="O89" s="3019">
        <f ca="1">N89/N69</f>
        <v>1.6239089015906774E-2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25793</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2716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2" t="s">
        <v>447</v>
      </c>
      <c r="F94" s="3333"/>
      <c r="G94" s="3333"/>
      <c r="H94" s="333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155</v>
      </c>
      <c r="D96" s="406">
        <f>'数据-取费表'!B43</f>
        <v>6.000000000000001E-3</v>
      </c>
      <c r="E96" s="3322" t="s">
        <v>2428</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23077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8.4966863033873334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12896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9" t="s">
        <v>428</v>
      </c>
      <c r="B102" s="330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25793</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845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5" t="s">
        <v>462</v>
      </c>
      <c r="F109" s="3323"/>
      <c r="G109" s="332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155</v>
      </c>
      <c r="D111" s="406">
        <f>'数据-取费表'!B43</f>
        <v>6.000000000000001E-3</v>
      </c>
      <c r="E111" s="3322" t="s">
        <v>2428</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5" t="s">
        <v>2453</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24948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29.524260355029586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14673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5" zoomScaleNormal="95" zoomScaleSheetLayoutView="85" workbookViewId="0">
      <selection activeCell="I41" sqref="I4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39456</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8485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24395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1626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0" t="s">
        <v>522</v>
      </c>
      <c r="D6" s="3381"/>
      <c r="E6" s="3380" t="s">
        <v>523</v>
      </c>
      <c r="F6" s="3381"/>
      <c r="G6" s="3380" t="s">
        <v>524</v>
      </c>
      <c r="H6" s="3381"/>
      <c r="I6" s="3380" t="s">
        <v>525</v>
      </c>
      <c r="J6" s="3381"/>
      <c r="K6" s="514" t="s">
        <v>526</v>
      </c>
      <c r="L6" s="2119"/>
      <c r="M6" s="2118"/>
      <c r="N6" s="2118"/>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30" ht="20.25">
      <c r="A7" s="515"/>
      <c r="B7" s="516"/>
      <c r="C7" s="3391" t="s">
        <v>2931</v>
      </c>
      <c r="D7" s="3392"/>
      <c r="E7" s="3391" t="str">
        <f>土地案例!A3</f>
        <v>锦江区成龙路街道棬子树村4、5、6组</v>
      </c>
      <c r="F7" s="3392"/>
      <c r="G7" s="3391" t="str">
        <f>土地案例!E4</f>
        <v>锦江区三圣街道粉坊堰村6、8、9、11组,粉坊堰村属</v>
      </c>
      <c r="H7" s="3392"/>
      <c r="I7" s="3391" t="str">
        <f>土地案例!E5</f>
        <v>锦江区柳江街办潘家沟村12组,成龙街办棬子树村2、3、4组</v>
      </c>
      <c r="J7" s="3392"/>
      <c r="K7" s="514"/>
      <c r="L7" s="2119"/>
      <c r="M7" s="2118"/>
      <c r="N7" s="2118"/>
      <c r="O7" s="2120"/>
      <c r="P7" s="3384"/>
      <c r="Q7" s="3385"/>
      <c r="R7" s="3370"/>
      <c r="S7" s="3371"/>
      <c r="T7" s="3370"/>
      <c r="U7" s="3371"/>
      <c r="V7" s="3388"/>
      <c r="W7" s="3388"/>
      <c r="X7" s="1554"/>
      <c r="Y7" s="3370"/>
      <c r="Z7" s="3371"/>
      <c r="AA7" s="3364"/>
      <c r="AB7" s="3364"/>
      <c r="AC7" s="3364"/>
    </row>
    <row r="8" spans="1:30" ht="21" thickBot="1">
      <c r="A8" s="515"/>
      <c r="B8" s="516"/>
      <c r="C8" s="3393" t="s">
        <v>2935</v>
      </c>
      <c r="D8" s="3394"/>
      <c r="E8" s="3393" t="str">
        <f>土地案例!E3</f>
        <v>锦江区成龙路街道棬子树村4、5、6组</v>
      </c>
      <c r="F8" s="3394"/>
      <c r="G8" s="3389" t="s">
        <v>2935</v>
      </c>
      <c r="H8" s="3390"/>
      <c r="I8" s="3389" t="s">
        <v>2935</v>
      </c>
      <c r="J8" s="3390"/>
      <c r="K8" s="514" t="s">
        <v>528</v>
      </c>
      <c r="L8" s="2119"/>
      <c r="M8" s="2118"/>
      <c r="N8" s="2118"/>
      <c r="O8" s="2120"/>
      <c r="P8" s="3386"/>
      <c r="Q8" s="3387"/>
      <c r="R8" s="3370"/>
      <c r="S8" s="3371"/>
      <c r="T8" s="3372"/>
      <c r="U8" s="3373"/>
      <c r="V8" s="3388"/>
      <c r="W8" s="3388"/>
      <c r="X8" s="1554"/>
      <c r="Y8" s="3372"/>
      <c r="Z8" s="3373"/>
      <c r="AA8" s="3365"/>
      <c r="AB8" s="3365"/>
      <c r="AC8" s="3365"/>
    </row>
    <row r="9" spans="1:30" s="1216" customFormat="1" ht="21" thickBot="1">
      <c r="A9" s="2868"/>
      <c r="B9" s="2875" t="s">
        <v>529</v>
      </c>
      <c r="C9" s="2867">
        <f>'数据-取费表'!B2</f>
        <v>43612</v>
      </c>
      <c r="D9" s="520">
        <v>100</v>
      </c>
      <c r="E9" s="521" t="str">
        <f>土地案例!L3</f>
        <v>2018-09-05</v>
      </c>
      <c r="F9" s="522">
        <f>SUMIF(72:72,YEAR(E9)&amp;"-"&amp;INT((MONTH(E9)+2)/3),73:73)</f>
        <v>99</v>
      </c>
      <c r="G9" s="523" t="str">
        <f>土地案例!L4</f>
        <v>2018-03-27</v>
      </c>
      <c r="H9" s="520">
        <f>SUMIF(72:72,YEAR(G9)&amp;"-"&amp;INT((MONTH(G9)+2)/3),73:73)</f>
        <v>98</v>
      </c>
      <c r="I9" s="523" t="str">
        <f>土地案例!L5</f>
        <v>2017-11-30</v>
      </c>
      <c r="J9" s="520">
        <f>SUMIF(72:72,YEAR(I9)&amp;"-"&amp;INT((MONTH(I9)+2)/3),73:73)</f>
        <v>97.5</v>
      </c>
      <c r="K9" s="524"/>
      <c r="L9" s="2121"/>
      <c r="M9" s="2118"/>
      <c r="N9" s="2118"/>
      <c r="O9" s="2122"/>
      <c r="P9" s="3366" t="s">
        <v>530</v>
      </c>
      <c r="Q9" s="3375"/>
      <c r="R9" s="1555" t="s">
        <v>8</v>
      </c>
      <c r="S9" s="1556">
        <f t="shared" ref="S9:S17" si="0">F9</f>
        <v>99</v>
      </c>
      <c r="T9" s="1555" t="s">
        <v>8</v>
      </c>
      <c r="U9" s="1556">
        <f t="shared" ref="U9:U17" si="1">H9</f>
        <v>98</v>
      </c>
      <c r="V9" s="1555" t="s">
        <v>8</v>
      </c>
      <c r="W9" s="1556">
        <f t="shared" ref="W9:W17" si="2">J9</f>
        <v>97.5</v>
      </c>
      <c r="X9" s="1557"/>
      <c r="Y9" s="3366" t="s">
        <v>530</v>
      </c>
      <c r="Z9" s="3367"/>
      <c r="AA9" s="1558">
        <f>D9/F9</f>
        <v>1.0101010101010102</v>
      </c>
      <c r="AB9" s="1558">
        <f>D9/H9</f>
        <v>1.0204081632653061</v>
      </c>
      <c r="AC9" s="1558">
        <f>D9/J9</f>
        <v>1.0256410256410255</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6" t="s">
        <v>533</v>
      </c>
      <c r="Q10" s="3367"/>
      <c r="R10" s="1555" t="s">
        <v>8</v>
      </c>
      <c r="S10" s="1556">
        <f t="shared" si="0"/>
        <v>100</v>
      </c>
      <c r="T10" s="1555" t="s">
        <v>8</v>
      </c>
      <c r="U10" s="1556">
        <f t="shared" si="1"/>
        <v>100</v>
      </c>
      <c r="V10" s="1555" t="s">
        <v>8</v>
      </c>
      <c r="W10" s="1556">
        <f t="shared" si="2"/>
        <v>100</v>
      </c>
      <c r="X10" s="1557"/>
      <c r="Y10" s="3366" t="s">
        <v>533</v>
      </c>
      <c r="Z10" s="3367"/>
      <c r="AA10" s="1558">
        <f t="shared" ref="AA10:AA47" si="3">D10/F10</f>
        <v>1</v>
      </c>
      <c r="AB10" s="1558">
        <f t="shared" ref="AB10:AB47" si="4">D10/H10</f>
        <v>1</v>
      </c>
      <c r="AC10" s="1558">
        <f t="shared" ref="AC10:AC47" si="5">D10/J10</f>
        <v>1</v>
      </c>
    </row>
    <row r="11" spans="1:30" s="1216" customFormat="1" ht="20.25">
      <c r="A11" s="2870"/>
      <c r="B11" s="2877" t="s">
        <v>2756</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2757</v>
      </c>
      <c r="C12" s="910">
        <v>70</v>
      </c>
      <c r="D12" s="255">
        <v>100</v>
      </c>
      <c r="E12" s="910">
        <v>70</v>
      </c>
      <c r="F12" s="255">
        <f>ROUND(100/'数据-取费表'!G16,0)</f>
        <v>100</v>
      </c>
      <c r="G12" s="910">
        <v>70</v>
      </c>
      <c r="H12" s="255">
        <f>ROUND(100/'数据-取费表'!G16,0)</f>
        <v>100</v>
      </c>
      <c r="I12" s="910">
        <v>70</v>
      </c>
      <c r="J12" s="255">
        <f>ROUND(100/'数据-取费表'!G16,0)</f>
        <v>100</v>
      </c>
      <c r="K12" s="531"/>
      <c r="L12" s="2124"/>
      <c r="M12" s="2118"/>
      <c r="N12" s="2118"/>
      <c r="O12" s="2125"/>
      <c r="P12" s="3374"/>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30" ht="20.25">
      <c r="A13" s="2872"/>
      <c r="B13" s="2876" t="s">
        <v>2758</v>
      </c>
      <c r="C13" s="534">
        <v>2</v>
      </c>
      <c r="D13" s="255">
        <v>100</v>
      </c>
      <c r="E13" s="534">
        <v>1.5</v>
      </c>
      <c r="F13" s="255">
        <f>LOOKUP(E13,82:82,83:83)-LOOKUP(C13,82:82,83:83)+100</f>
        <v>100.5</v>
      </c>
      <c r="G13" s="534">
        <v>2.5</v>
      </c>
      <c r="H13" s="255">
        <f>LOOKUP(G13,82:82,83:83)-LOOKUP(C13,82:82,83:83)+100</f>
        <v>100</v>
      </c>
      <c r="I13" s="534">
        <v>2</v>
      </c>
      <c r="J13" s="255">
        <f>LOOKUP(I13,82:82,83:83)-LOOKUP(C13,82:82,83:83)+100</f>
        <v>100</v>
      </c>
      <c r="K13" s="535">
        <v>0.5</v>
      </c>
      <c r="L13" s="2126"/>
      <c r="M13" s="2118"/>
      <c r="N13" s="2118"/>
      <c r="O13" s="2127"/>
      <c r="P13" s="3374"/>
      <c r="Q13" s="1147" t="str">
        <f t="shared" si="6"/>
        <v>容积率</v>
      </c>
      <c r="R13" s="1555" t="s">
        <v>8</v>
      </c>
      <c r="S13" s="1556">
        <f t="shared" si="0"/>
        <v>100.5</v>
      </c>
      <c r="T13" s="1555" t="s">
        <v>8</v>
      </c>
      <c r="U13" s="1556">
        <f t="shared" si="1"/>
        <v>100</v>
      </c>
      <c r="V13" s="1555" t="s">
        <v>8</v>
      </c>
      <c r="W13" s="1556">
        <f t="shared" si="2"/>
        <v>100</v>
      </c>
      <c r="X13" s="1557"/>
      <c r="Y13" s="3331"/>
      <c r="Z13" s="1146" t="str">
        <f t="shared" si="7"/>
        <v>容积率</v>
      </c>
      <c r="AA13" s="1558">
        <f t="shared" si="3"/>
        <v>0.99502487562189057</v>
      </c>
      <c r="AB13" s="1558">
        <f t="shared" si="4"/>
        <v>1</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76" t="s">
        <v>540</v>
      </c>
      <c r="Q17" s="1559" t="str">
        <f t="shared" si="6"/>
        <v>居住社区成熟度</v>
      </c>
      <c r="R17" s="1560" t="s">
        <v>8</v>
      </c>
      <c r="S17" s="1561">
        <f t="shared" si="0"/>
        <v>100</v>
      </c>
      <c r="T17" s="1560" t="s">
        <v>8</v>
      </c>
      <c r="U17" s="1561">
        <f t="shared" si="1"/>
        <v>100</v>
      </c>
      <c r="V17" s="1560" t="s">
        <v>8</v>
      </c>
      <c r="W17" s="1561">
        <f t="shared" si="2"/>
        <v>100</v>
      </c>
      <c r="X17" s="1554"/>
      <c r="Y17" s="3376" t="s">
        <v>540</v>
      </c>
      <c r="Z17" s="1562" t="str">
        <f t="shared" si="7"/>
        <v>居住社区成熟度</v>
      </c>
      <c r="AA17" s="1563">
        <f t="shared" si="3"/>
        <v>1</v>
      </c>
      <c r="AB17" s="1563">
        <f t="shared" si="4"/>
        <v>1</v>
      </c>
      <c r="AC17" s="1563">
        <f t="shared" si="5"/>
        <v>1</v>
      </c>
    </row>
    <row r="18" spans="1:29" ht="20.25">
      <c r="A18" s="532"/>
      <c r="B18" s="553"/>
      <c r="C18" s="554" t="s">
        <v>3279</v>
      </c>
      <c r="D18" s="557"/>
      <c r="E18" s="554" t="s">
        <v>3279</v>
      </c>
      <c r="F18" s="555"/>
      <c r="G18" s="554" t="s">
        <v>3279</v>
      </c>
      <c r="H18" s="559"/>
      <c r="I18" s="554" t="s">
        <v>3279</v>
      </c>
      <c r="J18" s="555"/>
      <c r="K18" s="531"/>
      <c r="L18" s="2128"/>
      <c r="M18" s="2118"/>
      <c r="N18" s="2118"/>
      <c r="O18" s="2127"/>
      <c r="P18" s="3377"/>
      <c r="Q18" s="1559"/>
      <c r="R18" s="1560"/>
      <c r="S18" s="1561"/>
      <c r="T18" s="1560"/>
      <c r="U18" s="1561"/>
      <c r="V18" s="1560"/>
      <c r="W18" s="1561"/>
      <c r="X18" s="1554"/>
      <c r="Y18" s="337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0.25">
      <c r="A20" s="532"/>
      <c r="B20" s="566"/>
      <c r="C20" s="567" t="s">
        <v>3279</v>
      </c>
      <c r="D20" s="563"/>
      <c r="E20" s="554" t="s">
        <v>3279</v>
      </c>
      <c r="F20" s="559"/>
      <c r="G20" s="554" t="s">
        <v>3279</v>
      </c>
      <c r="H20" s="555"/>
      <c r="I20" s="554" t="s">
        <v>3279</v>
      </c>
      <c r="J20" s="555"/>
      <c r="K20" s="531"/>
      <c r="L20" s="2128"/>
      <c r="M20" s="2118"/>
      <c r="N20" s="2118"/>
      <c r="O20" s="2127"/>
      <c r="P20" s="3377"/>
      <c r="Q20" s="1559"/>
      <c r="R20" s="1560"/>
      <c r="S20" s="1561"/>
      <c r="T20" s="1560"/>
      <c r="U20" s="1561"/>
      <c r="V20" s="1560"/>
      <c r="W20" s="1561"/>
      <c r="X20" s="1554"/>
      <c r="Y20" s="337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0.25">
      <c r="A22" s="532"/>
      <c r="B22" s="566"/>
      <c r="C22" s="554" t="s">
        <v>3280</v>
      </c>
      <c r="D22" s="557"/>
      <c r="E22" s="554" t="s">
        <v>3280</v>
      </c>
      <c r="F22" s="555"/>
      <c r="G22" s="554" t="s">
        <v>3280</v>
      </c>
      <c r="H22" s="555"/>
      <c r="I22" s="554" t="s">
        <v>3280</v>
      </c>
      <c r="J22" s="555"/>
      <c r="K22" s="531"/>
      <c r="L22" s="2128"/>
      <c r="M22" s="2118"/>
      <c r="N22" s="2118"/>
      <c r="O22" s="2127"/>
      <c r="P22" s="3377"/>
      <c r="Q22" s="1559"/>
      <c r="R22" s="1560"/>
      <c r="S22" s="1561"/>
      <c r="T22" s="1560"/>
      <c r="U22" s="1561"/>
      <c r="V22" s="1560"/>
      <c r="W22" s="1561"/>
      <c r="X22" s="1554"/>
      <c r="Y22" s="337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77"/>
      <c r="Q23" s="1559" t="str">
        <f>B23</f>
        <v>交通便捷度</v>
      </c>
      <c r="R23" s="1560" t="s">
        <v>8</v>
      </c>
      <c r="S23" s="1561">
        <f>F23</f>
        <v>100</v>
      </c>
      <c r="T23" s="1560" t="s">
        <v>8</v>
      </c>
      <c r="U23" s="1561">
        <f>H23</f>
        <v>100</v>
      </c>
      <c r="V23" s="1560" t="s">
        <v>8</v>
      </c>
      <c r="W23" s="1561">
        <f>J23</f>
        <v>100</v>
      </c>
      <c r="X23" s="1554"/>
      <c r="Y23" s="3377"/>
      <c r="Z23" s="1562" t="str">
        <f>Q23</f>
        <v>交通便捷度</v>
      </c>
      <c r="AA23" s="1563">
        <f t="shared" si="3"/>
        <v>1</v>
      </c>
      <c r="AB23" s="1563">
        <f t="shared" si="4"/>
        <v>1</v>
      </c>
      <c r="AC23" s="1563">
        <f t="shared" si="5"/>
        <v>1</v>
      </c>
    </row>
    <row r="24" spans="1:29" ht="20.25">
      <c r="A24" s="532"/>
      <c r="B24" s="578"/>
      <c r="C24" s="554" t="s">
        <v>3279</v>
      </c>
      <c r="D24" s="557"/>
      <c r="E24" s="554" t="s">
        <v>3279</v>
      </c>
      <c r="F24" s="555"/>
      <c r="G24" s="554" t="s">
        <v>3279</v>
      </c>
      <c r="H24" s="555"/>
      <c r="I24" s="554" t="s">
        <v>3279</v>
      </c>
      <c r="J24" s="555"/>
      <c r="K24" s="531"/>
      <c r="L24" s="2128"/>
      <c r="M24" s="2118"/>
      <c r="N24" s="2118"/>
      <c r="O24" s="2127"/>
      <c r="P24" s="3377"/>
      <c r="Q24" s="1559"/>
      <c r="R24" s="1560"/>
      <c r="S24" s="1561"/>
      <c r="T24" s="1560"/>
      <c r="U24" s="1561"/>
      <c r="V24" s="1560"/>
      <c r="W24" s="1561"/>
      <c r="X24" s="1554"/>
      <c r="Y24" s="337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0.25">
      <c r="A26" s="515"/>
      <c r="B26" s="1007"/>
      <c r="C26" s="554" t="s">
        <v>3279</v>
      </c>
      <c r="D26" s="557"/>
      <c r="E26" s="554" t="s">
        <v>3279</v>
      </c>
      <c r="F26" s="555"/>
      <c r="G26" s="554" t="s">
        <v>3279</v>
      </c>
      <c r="H26" s="555"/>
      <c r="I26" s="554" t="s">
        <v>3279</v>
      </c>
      <c r="J26" s="555"/>
      <c r="K26" s="531"/>
      <c r="L26" s="2128"/>
      <c r="M26" s="2118"/>
      <c r="N26" s="2118"/>
      <c r="O26" s="2127"/>
      <c r="P26" s="3377"/>
      <c r="Q26" s="1559"/>
      <c r="R26" s="1560"/>
      <c r="S26" s="1561"/>
      <c r="T26" s="1560"/>
      <c r="U26" s="1561"/>
      <c r="V26" s="1560"/>
      <c r="W26" s="1561"/>
      <c r="X26" s="1554"/>
      <c r="Y26" s="337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28"/>
      <c r="M27" s="2118"/>
      <c r="N27" s="2118"/>
      <c r="O27" s="2127"/>
      <c r="P27" s="3377"/>
      <c r="Q27" s="1559" t="str">
        <f t="shared" si="8"/>
        <v>自然及人文环境状况</v>
      </c>
      <c r="R27" s="1560" t="s">
        <v>8</v>
      </c>
      <c r="S27" s="1561">
        <f>F27</f>
        <v>98</v>
      </c>
      <c r="T27" s="1560" t="s">
        <v>8</v>
      </c>
      <c r="U27" s="1561">
        <f>H27</f>
        <v>98</v>
      </c>
      <c r="V27" s="1560" t="s">
        <v>8</v>
      </c>
      <c r="W27" s="1561">
        <f>J27</f>
        <v>98</v>
      </c>
      <c r="X27" s="1554"/>
      <c r="Y27" s="3377"/>
      <c r="Z27" s="1562" t="str">
        <f>Q27</f>
        <v>自然及人文环境状况</v>
      </c>
      <c r="AA27" s="1563">
        <f t="shared" si="3"/>
        <v>1.0204081632653061</v>
      </c>
      <c r="AB27" s="1563">
        <f t="shared" si="4"/>
        <v>1.0204081632653061</v>
      </c>
      <c r="AC27" s="1563">
        <f t="shared" si="5"/>
        <v>1.0204081632653061</v>
      </c>
    </row>
    <row r="28" spans="1:29" ht="20.25">
      <c r="A28" s="515"/>
      <c r="B28" s="566"/>
      <c r="C28" s="554" t="s">
        <v>3279</v>
      </c>
      <c r="D28" s="557"/>
      <c r="E28" s="554" t="s">
        <v>3280</v>
      </c>
      <c r="F28" s="555"/>
      <c r="G28" s="554" t="s">
        <v>3280</v>
      </c>
      <c r="H28" s="555"/>
      <c r="I28" s="554" t="s">
        <v>3280</v>
      </c>
      <c r="J28" s="555"/>
      <c r="K28" s="531"/>
      <c r="L28" s="2128"/>
      <c r="M28" s="2118"/>
      <c r="N28" s="2118"/>
      <c r="O28" s="2127"/>
      <c r="P28" s="3377"/>
      <c r="Q28" s="1559"/>
      <c r="R28" s="1560"/>
      <c r="S28" s="1561"/>
      <c r="T28" s="1560"/>
      <c r="U28" s="1561"/>
      <c r="V28" s="1560"/>
      <c r="W28" s="1561"/>
      <c r="X28" s="1554"/>
      <c r="Y28" s="337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77"/>
      <c r="Q29" s="1147" t="str">
        <f t="shared" si="8"/>
        <v>公共配套设施</v>
      </c>
      <c r="R29" s="1555" t="s">
        <v>8</v>
      </c>
      <c r="S29" s="1556">
        <f>F29</f>
        <v>100</v>
      </c>
      <c r="T29" s="1555" t="s">
        <v>8</v>
      </c>
      <c r="U29" s="1556">
        <f>H29</f>
        <v>100</v>
      </c>
      <c r="V29" s="1555" t="s">
        <v>8</v>
      </c>
      <c r="W29" s="1556">
        <f>J29</f>
        <v>100</v>
      </c>
      <c r="X29" s="1557"/>
      <c r="Y29" s="3377"/>
      <c r="Z29" s="1146" t="str">
        <f>Q29</f>
        <v>公共配套设施</v>
      </c>
      <c r="AA29" s="1563">
        <f>D29/F29</f>
        <v>1</v>
      </c>
      <c r="AB29" s="1563">
        <f>D29/H29</f>
        <v>1</v>
      </c>
      <c r="AC29" s="1563">
        <f>D29/J29</f>
        <v>1</v>
      </c>
    </row>
    <row r="30" spans="1:29" s="1216" customFormat="1" ht="20.25">
      <c r="A30" s="577"/>
      <c r="B30" s="566"/>
      <c r="C30" s="579" t="s">
        <v>3279</v>
      </c>
      <c r="D30" s="557"/>
      <c r="E30" s="554" t="s">
        <v>3279</v>
      </c>
      <c r="F30" s="555"/>
      <c r="G30" s="554" t="s">
        <v>3279</v>
      </c>
      <c r="H30" s="555"/>
      <c r="I30" s="554" t="s">
        <v>3279</v>
      </c>
      <c r="J30" s="555"/>
      <c r="K30" s="531"/>
      <c r="L30" s="2121"/>
      <c r="M30" s="2118"/>
      <c r="N30" s="2118"/>
      <c r="O30" s="2123"/>
      <c r="P30" s="3377"/>
      <c r="Q30" s="1147"/>
      <c r="R30" s="1555"/>
      <c r="S30" s="1556"/>
      <c r="T30" s="1555"/>
      <c r="U30" s="1556"/>
      <c r="V30" s="1555"/>
      <c r="W30" s="1556"/>
      <c r="X30" s="1557"/>
      <c r="Y30" s="337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77"/>
      <c r="Q31" s="2543" t="str">
        <f t="shared" ref="Q31" si="9">B31</f>
        <v>基础设施水平</v>
      </c>
      <c r="R31" s="1555" t="s">
        <v>8</v>
      </c>
      <c r="S31" s="1556">
        <f>F31</f>
        <v>100</v>
      </c>
      <c r="T31" s="1555" t="s">
        <v>8</v>
      </c>
      <c r="U31" s="1556">
        <f>H31</f>
        <v>100</v>
      </c>
      <c r="V31" s="1555" t="s">
        <v>8</v>
      </c>
      <c r="W31" s="1556">
        <f>J31</f>
        <v>100</v>
      </c>
      <c r="X31" s="1557"/>
      <c r="Y31" s="3377"/>
      <c r="Z31" s="2540" t="str">
        <f>Q31</f>
        <v>基础设施水平</v>
      </c>
      <c r="AA31" s="1563">
        <f>D31/F31</f>
        <v>1</v>
      </c>
      <c r="AB31" s="1563">
        <f>D31/H31</f>
        <v>1</v>
      </c>
      <c r="AC31" s="1563">
        <f>D31/J31</f>
        <v>1</v>
      </c>
    </row>
    <row r="32" spans="1:29" s="1216" customFormat="1" ht="20.25">
      <c r="A32" s="577"/>
      <c r="B32" s="566"/>
      <c r="C32" s="579" t="s">
        <v>3281</v>
      </c>
      <c r="D32" s="557"/>
      <c r="E32" s="579" t="s">
        <v>3281</v>
      </c>
      <c r="F32" s="555"/>
      <c r="G32" s="579" t="s">
        <v>3281</v>
      </c>
      <c r="H32" s="555"/>
      <c r="I32" s="579" t="s">
        <v>3281</v>
      </c>
      <c r="J32" s="555"/>
      <c r="K32" s="531"/>
      <c r="L32" s="2121"/>
      <c r="M32" s="2118"/>
      <c r="N32" s="2118"/>
      <c r="O32" s="2123"/>
      <c r="P32" s="3377"/>
      <c r="Q32" s="2543"/>
      <c r="R32" s="1555"/>
      <c r="S32" s="1556"/>
      <c r="T32" s="1555"/>
      <c r="U32" s="1556"/>
      <c r="V32" s="1555"/>
      <c r="W32" s="1556"/>
      <c r="X32" s="1557"/>
      <c r="Y32" s="3377"/>
      <c r="Z32" s="2540"/>
      <c r="AA32" s="1563">
        <v>1</v>
      </c>
      <c r="AB32" s="1563">
        <v>1</v>
      </c>
      <c r="AC32" s="1563">
        <v>1</v>
      </c>
    </row>
    <row r="33" spans="1:29" ht="20.25">
      <c r="A33" s="532"/>
      <c r="B33" s="566" t="s">
        <v>547</v>
      </c>
      <c r="C33" s="580" t="s">
        <v>3282</v>
      </c>
      <c r="D33" s="575">
        <v>100</v>
      </c>
      <c r="E33" s="583" t="s">
        <v>3285</v>
      </c>
      <c r="F33" s="540">
        <f>SUMIF(106:106,E33,107:107)-SUMIF(106:106,C33,107:107)+100</f>
        <v>104</v>
      </c>
      <c r="G33" s="580" t="s">
        <v>3286</v>
      </c>
      <c r="H33" s="540">
        <f>SUMIF(106:106,G33,107:107)-SUMIF(106:106,C33,107:107)+100</f>
        <v>102</v>
      </c>
      <c r="I33" s="580" t="s">
        <v>3282</v>
      </c>
      <c r="J33" s="540">
        <f>SUMIF(106:106,I33,107:107)-SUMIF(106:106,C33,107:107)+100</f>
        <v>100</v>
      </c>
      <c r="K33" s="535">
        <v>2</v>
      </c>
      <c r="L33" s="2128"/>
      <c r="M33" s="2118"/>
      <c r="N33" s="2118"/>
      <c r="O33" s="2127"/>
      <c r="P33" s="3377"/>
      <c r="Q33" s="1559" t="str">
        <f t="shared" si="8"/>
        <v>临街状况</v>
      </c>
      <c r="R33" s="1560" t="s">
        <v>8</v>
      </c>
      <c r="S33" s="1561">
        <f t="shared" ref="S33:S47" si="10">F33</f>
        <v>104</v>
      </c>
      <c r="T33" s="1560" t="s">
        <v>8</v>
      </c>
      <c r="U33" s="1561">
        <f t="shared" ref="U33:U47" si="11">H33</f>
        <v>102</v>
      </c>
      <c r="V33" s="1560" t="s">
        <v>8</v>
      </c>
      <c r="W33" s="1561">
        <f t="shared" ref="W33:W47" si="12">J33</f>
        <v>100</v>
      </c>
      <c r="X33" s="1554"/>
      <c r="Y33" s="3377"/>
      <c r="Z33" s="1562" t="str">
        <f t="shared" ref="Z33:Z47" si="13">Q33</f>
        <v>临街状况</v>
      </c>
      <c r="AA33" s="1563">
        <f t="shared" si="3"/>
        <v>0.96153846153846156</v>
      </c>
      <c r="AB33" s="1563">
        <f t="shared" si="4"/>
        <v>0.98039215686274506</v>
      </c>
      <c r="AC33" s="1563">
        <f t="shared" si="5"/>
        <v>1</v>
      </c>
    </row>
    <row r="34" spans="1:29" ht="27">
      <c r="A34" s="532"/>
      <c r="B34" s="578" t="s">
        <v>548</v>
      </c>
      <c r="C34" s="3189" t="s">
        <v>3283</v>
      </c>
      <c r="D34" s="563">
        <v>100</v>
      </c>
      <c r="E34" s="564"/>
      <c r="F34" s="559">
        <f>SUMIF(108:108,E35,109:109)-SUMIF(108:108,C35,109:109)+100</f>
        <v>96</v>
      </c>
      <c r="G34" s="562"/>
      <c r="H34" s="559">
        <f>SUMIF(108:108,G35,109:109)-SUMIF(108:108,C35,109:109)+100</f>
        <v>96</v>
      </c>
      <c r="I34" s="564"/>
      <c r="J34" s="559">
        <f>SUMIF(108:108,I35,109:109)-SUMIF(108:108,C35,109:109)+100</f>
        <v>96</v>
      </c>
      <c r="K34" s="535">
        <v>2</v>
      </c>
      <c r="L34" s="2128"/>
      <c r="M34" s="2118"/>
      <c r="N34" s="2118"/>
      <c r="O34" s="2127"/>
      <c r="P34" s="3377"/>
      <c r="Q34" s="1559" t="str">
        <f t="shared" si="8"/>
        <v>毗邻道路的类型与等级</v>
      </c>
      <c r="R34" s="1560" t="s">
        <v>8</v>
      </c>
      <c r="S34" s="1561">
        <f t="shared" si="10"/>
        <v>96</v>
      </c>
      <c r="T34" s="1560" t="s">
        <v>8</v>
      </c>
      <c r="U34" s="1561">
        <f t="shared" si="11"/>
        <v>96</v>
      </c>
      <c r="V34" s="1560" t="s">
        <v>8</v>
      </c>
      <c r="W34" s="1561">
        <f t="shared" si="12"/>
        <v>96</v>
      </c>
      <c r="X34" s="1554"/>
      <c r="Y34" s="3377"/>
      <c r="Z34" s="1562" t="str">
        <f t="shared" si="13"/>
        <v>毗邻道路的类型与等级</v>
      </c>
      <c r="AA34" s="1563">
        <f t="shared" si="3"/>
        <v>1.0416666666666667</v>
      </c>
      <c r="AB34" s="1563">
        <f t="shared" si="4"/>
        <v>1.0416666666666667</v>
      </c>
      <c r="AC34" s="1563">
        <f t="shared" si="5"/>
        <v>1.0416666666666667</v>
      </c>
    </row>
    <row r="35" spans="1:29" ht="20.25">
      <c r="A35" s="532"/>
      <c r="B35" s="566"/>
      <c r="C35" s="554" t="s">
        <v>3274</v>
      </c>
      <c r="D35" s="557"/>
      <c r="E35" s="576" t="s">
        <v>3277</v>
      </c>
      <c r="F35" s="555"/>
      <c r="G35" s="554" t="s">
        <v>3277</v>
      </c>
      <c r="H35" s="555"/>
      <c r="I35" s="576" t="s">
        <v>3277</v>
      </c>
      <c r="J35" s="555"/>
      <c r="K35" s="581"/>
      <c r="L35" s="2128"/>
      <c r="M35" s="2118"/>
      <c r="N35" s="2118"/>
      <c r="O35" s="2127"/>
      <c r="P35" s="3377"/>
      <c r="Q35" s="1559"/>
      <c r="R35" s="1560"/>
      <c r="S35" s="1561"/>
      <c r="T35" s="1560"/>
      <c r="U35" s="1561"/>
      <c r="V35" s="1560"/>
      <c r="W35" s="1561"/>
      <c r="X35" s="1554"/>
      <c r="Y35" s="337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8" t="s">
        <v>550</v>
      </c>
      <c r="Q38" s="1559">
        <f t="shared" si="8"/>
        <v>111</v>
      </c>
      <c r="R38" s="1560" t="s">
        <v>8</v>
      </c>
      <c r="S38" s="1561">
        <f t="shared" si="10"/>
        <v>100</v>
      </c>
      <c r="T38" s="1560" t="s">
        <v>8</v>
      </c>
      <c r="U38" s="1561">
        <f t="shared" si="11"/>
        <v>100</v>
      </c>
      <c r="V38" s="1560" t="s">
        <v>8</v>
      </c>
      <c r="W38" s="1561">
        <f t="shared" si="12"/>
        <v>100</v>
      </c>
      <c r="X38" s="1554"/>
      <c r="Y38" s="337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0.25">
      <c r="A40" s="2863" t="s">
        <v>2755</v>
      </c>
      <c r="B40" s="595" t="s">
        <v>552</v>
      </c>
      <c r="C40" s="596">
        <f>'数据-汇总表'!D5</f>
        <v>11175.24</v>
      </c>
      <c r="D40" s="597">
        <v>100</v>
      </c>
      <c r="E40" s="596">
        <f>土地案例!H3</f>
        <v>47209.43</v>
      </c>
      <c r="F40" s="597">
        <f>LOOKUP(E40,119:119,120:120)-LOOKUP(C40,119:119,120:120)+100</f>
        <v>94</v>
      </c>
      <c r="G40" s="596">
        <f>土地案例!H4</f>
        <v>17331.16</v>
      </c>
      <c r="H40" s="597">
        <f>LOOKUP(G40,119:119,120:120)-LOOKUP(C40,119:119,120:120)+100</f>
        <v>100</v>
      </c>
      <c r="I40" s="598">
        <f>土地案例!H5</f>
        <v>38820.75</v>
      </c>
      <c r="J40" s="597">
        <f>LOOKUP(I40,119:119,120:120)-LOOKUP(C40,119:119,120:120)+100</f>
        <v>96</v>
      </c>
      <c r="K40" s="581"/>
      <c r="L40" s="2128"/>
      <c r="M40" s="2118"/>
      <c r="N40" s="2118"/>
      <c r="O40" s="2127"/>
      <c r="P40" s="3379"/>
      <c r="Q40" s="1559" t="str">
        <f>B40</f>
        <v>宗地面积</v>
      </c>
      <c r="R40" s="1560" t="s">
        <v>8</v>
      </c>
      <c r="S40" s="1561">
        <f t="shared" si="10"/>
        <v>94</v>
      </c>
      <c r="T40" s="1560" t="s">
        <v>8</v>
      </c>
      <c r="U40" s="1561">
        <f t="shared" si="11"/>
        <v>100</v>
      </c>
      <c r="V40" s="1560" t="s">
        <v>8</v>
      </c>
      <c r="W40" s="1561">
        <f t="shared" si="12"/>
        <v>96</v>
      </c>
      <c r="X40" s="1554"/>
      <c r="Y40" s="3379"/>
      <c r="Z40" s="1562" t="str">
        <f t="shared" si="13"/>
        <v>宗地面积</v>
      </c>
      <c r="AA40" s="1563">
        <f t="shared" si="3"/>
        <v>1.0638297872340425</v>
      </c>
      <c r="AB40" s="1563">
        <f t="shared" si="4"/>
        <v>1</v>
      </c>
      <c r="AC40" s="1563">
        <f t="shared" si="5"/>
        <v>1.0416666666666667</v>
      </c>
    </row>
    <row r="41" spans="1:29" ht="20.25">
      <c r="A41" s="594"/>
      <c r="B41" s="527" t="s">
        <v>553</v>
      </c>
      <c r="C41" s="599" t="s">
        <v>3322</v>
      </c>
      <c r="D41" s="540">
        <v>100</v>
      </c>
      <c r="E41" s="599" t="s">
        <v>3319</v>
      </c>
      <c r="F41" s="540">
        <f>SUMIF(121:121,E41,122:122)-SUMIF(121:121,C41,122:122)+100</f>
        <v>104</v>
      </c>
      <c r="G41" s="599" t="s">
        <v>3319</v>
      </c>
      <c r="H41" s="540">
        <f>SUMIF(121:121,G41,122:122)-SUMIF(121:121,C41,122:122)+100</f>
        <v>104</v>
      </c>
      <c r="I41" s="599" t="s">
        <v>3319</v>
      </c>
      <c r="J41" s="540">
        <f>SUMIF(121:121,I41,122:122)-SUMIF(121:121,C41,122:122)+100</f>
        <v>104</v>
      </c>
      <c r="K41" s="584">
        <v>2</v>
      </c>
      <c r="L41" s="2128"/>
      <c r="M41" s="2118"/>
      <c r="N41" s="2118"/>
      <c r="O41" s="2127"/>
      <c r="P41" s="3379"/>
      <c r="Q41" s="1559" t="str">
        <f t="shared" ref="Q41:Q47" si="14">B41</f>
        <v>宗地形状</v>
      </c>
      <c r="R41" s="1560" t="s">
        <v>8</v>
      </c>
      <c r="S41" s="1561">
        <f t="shared" si="10"/>
        <v>104</v>
      </c>
      <c r="T41" s="1560" t="s">
        <v>8</v>
      </c>
      <c r="U41" s="1561">
        <f t="shared" si="11"/>
        <v>104</v>
      </c>
      <c r="V41" s="1560" t="s">
        <v>8</v>
      </c>
      <c r="W41" s="1561">
        <f t="shared" si="12"/>
        <v>104</v>
      </c>
      <c r="X41" s="1554"/>
      <c r="Y41" s="3379"/>
      <c r="Z41" s="1562" t="str">
        <f t="shared" si="13"/>
        <v>宗地形状</v>
      </c>
      <c r="AA41" s="1563">
        <f t="shared" si="3"/>
        <v>0.96153846153846156</v>
      </c>
      <c r="AB41" s="1563">
        <f t="shared" si="4"/>
        <v>0.96153846153846156</v>
      </c>
      <c r="AC41" s="1563">
        <f t="shared" si="5"/>
        <v>0.96153846153846156</v>
      </c>
    </row>
    <row r="42" spans="1:29" ht="20.25">
      <c r="A42" s="594"/>
      <c r="B42" s="527" t="s">
        <v>554</v>
      </c>
      <c r="C42" s="599" t="s">
        <v>3280</v>
      </c>
      <c r="D42" s="540">
        <v>100</v>
      </c>
      <c r="E42" s="599" t="s">
        <v>3324</v>
      </c>
      <c r="F42" s="540">
        <f>SUMIF(123:123,E42,124:124)-SUMIF(123:123,C42,124:124)+100</f>
        <v>104</v>
      </c>
      <c r="G42" s="599" t="s">
        <v>3279</v>
      </c>
      <c r="H42" s="540">
        <f>SUMIF(123:123,G42,124:124)-SUMIF(123:123,C42,124:124)+100</f>
        <v>102</v>
      </c>
      <c r="I42" s="599" t="s">
        <v>3279</v>
      </c>
      <c r="J42" s="540">
        <f>SUMIF(123:123,I42,124:124)-SUMIF(123:123,C42,124:124)+100</f>
        <v>102</v>
      </c>
      <c r="K42" s="584">
        <v>2</v>
      </c>
      <c r="L42" s="2128"/>
      <c r="M42" s="2118"/>
      <c r="N42" s="2118"/>
      <c r="O42" s="2127"/>
      <c r="P42" s="3379"/>
      <c r="Q42" s="1559" t="str">
        <f t="shared" si="14"/>
        <v>临街宽度及深度</v>
      </c>
      <c r="R42" s="1560" t="s">
        <v>8</v>
      </c>
      <c r="S42" s="1561">
        <f t="shared" si="10"/>
        <v>104</v>
      </c>
      <c r="T42" s="1560" t="s">
        <v>8</v>
      </c>
      <c r="U42" s="1561">
        <f t="shared" si="11"/>
        <v>102</v>
      </c>
      <c r="V42" s="1560" t="s">
        <v>8</v>
      </c>
      <c r="W42" s="1561">
        <f t="shared" si="12"/>
        <v>102</v>
      </c>
      <c r="X42" s="1554"/>
      <c r="Y42" s="3379"/>
      <c r="Z42" s="1562" t="str">
        <f t="shared" si="13"/>
        <v>临街宽度及深度</v>
      </c>
      <c r="AA42" s="1563">
        <f t="shared" si="3"/>
        <v>0.96153846153846156</v>
      </c>
      <c r="AB42" s="1563">
        <f t="shared" si="4"/>
        <v>0.98039215686274506</v>
      </c>
      <c r="AC42" s="1563">
        <f t="shared" si="5"/>
        <v>0.98039215686274506</v>
      </c>
    </row>
    <row r="43" spans="1:29" s="1216" customFormat="1" ht="20.25">
      <c r="A43" s="600"/>
      <c r="B43" s="1881" t="s">
        <v>2424</v>
      </c>
      <c r="C43" s="601" t="s">
        <v>3281</v>
      </c>
      <c r="D43" s="255">
        <v>100</v>
      </c>
      <c r="E43" s="601" t="s">
        <v>3281</v>
      </c>
      <c r="F43" s="540">
        <f>SUMIF(125:125,E43,126:126)-SUMIF(125:125,C43,126:126)+100</f>
        <v>100</v>
      </c>
      <c r="G43" s="601" t="s">
        <v>3281</v>
      </c>
      <c r="H43" s="540">
        <f>SUMIF(125:125,G43,126:126)-SUMIF(125:125,C43,126:126)+100</f>
        <v>100</v>
      </c>
      <c r="I43" s="601" t="s">
        <v>3281</v>
      </c>
      <c r="J43" s="540">
        <f>SUMIF(125:125,I43,126:126)-SUMIF(125:125,C43,126:126)+100</f>
        <v>100</v>
      </c>
      <c r="K43" s="584">
        <v>2</v>
      </c>
      <c r="L43" s="2121"/>
      <c r="M43" s="2118"/>
      <c r="N43" s="2118"/>
      <c r="O43" s="2123"/>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8"/>
      <c r="M44" s="2118"/>
      <c r="N44" s="2118"/>
      <c r="O44" s="2127"/>
      <c r="P44" s="3379" t="s">
        <v>550</v>
      </c>
      <c r="Q44" s="1559" t="str">
        <f t="shared" si="14"/>
        <v>工程地质条件</v>
      </c>
      <c r="R44" s="1560" t="s">
        <v>8</v>
      </c>
      <c r="S44" s="1561">
        <f t="shared" si="10"/>
        <v>100</v>
      </c>
      <c r="T44" s="1560" t="s">
        <v>8</v>
      </c>
      <c r="U44" s="1561">
        <f t="shared" si="11"/>
        <v>100</v>
      </c>
      <c r="V44" s="1560" t="s">
        <v>8</v>
      </c>
      <c r="W44" s="1561">
        <f t="shared" si="12"/>
        <v>100</v>
      </c>
      <c r="X44" s="1554"/>
      <c r="Y44" s="337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0.25">
      <c r="A48" s="607" t="s">
        <v>556</v>
      </c>
      <c r="B48" s="608" t="s">
        <v>3284</v>
      </c>
      <c r="C48" s="609" t="s">
        <v>1</v>
      </c>
      <c r="D48" s="610"/>
      <c r="E48" s="611">
        <f>土地案例!R3</f>
        <v>11000</v>
      </c>
      <c r="F48" s="612"/>
      <c r="G48" s="613">
        <f>土地案例!R4</f>
        <v>13168</v>
      </c>
      <c r="H48" s="614"/>
      <c r="I48" s="3494">
        <f>土地案例!R5</f>
        <v>11700.06</v>
      </c>
      <c r="J48" s="614"/>
      <c r="K48" s="1336"/>
      <c r="L48" s="2130"/>
      <c r="M48" s="2118"/>
      <c r="N48" s="2118"/>
      <c r="O48" s="2131"/>
      <c r="P48" s="3374" t="str">
        <f>A48</f>
        <v>成交单价</v>
      </c>
      <c r="Q48" s="3374"/>
      <c r="R48" s="3388">
        <f>E48</f>
        <v>11000</v>
      </c>
      <c r="S48" s="3388"/>
      <c r="T48" s="3388">
        <f>G48</f>
        <v>13168</v>
      </c>
      <c r="U48" s="3388"/>
      <c r="V48" s="3388">
        <f>I48</f>
        <v>11700.06</v>
      </c>
      <c r="W48" s="3388"/>
      <c r="X48" s="1546"/>
      <c r="Y48" s="1568"/>
      <c r="Z48" s="1546"/>
      <c r="AA48" s="1546"/>
      <c r="AB48" s="1546"/>
      <c r="AC48" s="1546"/>
    </row>
    <row r="49" spans="1:29" ht="21" thickBot="1">
      <c r="A49" s="615" t="s">
        <v>2693</v>
      </c>
      <c r="B49" s="616"/>
      <c r="C49" s="617">
        <f>R50</f>
        <v>12280</v>
      </c>
      <c r="D49" s="618"/>
      <c r="E49" s="617">
        <f>R49</f>
        <v>11114</v>
      </c>
      <c r="F49" s="619"/>
      <c r="G49" s="620">
        <f>T49</f>
        <v>13200</v>
      </c>
      <c r="H49" s="618"/>
      <c r="I49" s="617">
        <f>V49</f>
        <v>12525</v>
      </c>
      <c r="J49" s="618"/>
      <c r="K49" s="1337"/>
      <c r="L49" s="2130"/>
      <c r="M49" s="2118"/>
      <c r="N49" s="2118"/>
      <c r="O49" s="2131"/>
      <c r="P49" s="3374" t="str">
        <f>A49</f>
        <v>比较价格（元/平方米）</v>
      </c>
      <c r="Q49" s="3374"/>
      <c r="R49" s="3398">
        <f>ROUND(PRODUCT(R48,AA9:AA47),0)</f>
        <v>11114</v>
      </c>
      <c r="S49" s="3398"/>
      <c r="T49" s="3398">
        <f>ROUND(PRODUCT(T48,AB9:AB47),0)</f>
        <v>13200</v>
      </c>
      <c r="U49" s="3398"/>
      <c r="V49" s="3398">
        <f>ROUND(PRODUCT(V48,AC9:AC47),0)</f>
        <v>12525</v>
      </c>
      <c r="W49" s="3398"/>
      <c r="X49" s="1546"/>
      <c r="Y49" s="1546"/>
      <c r="Z49" s="1546"/>
      <c r="AA49" s="1546"/>
      <c r="AB49" s="1546"/>
      <c r="AC49" s="1546"/>
    </row>
    <row r="50" spans="1:29" ht="21" thickBot="1">
      <c r="A50" s="621" t="s">
        <v>2937</v>
      </c>
      <c r="B50" s="622"/>
      <c r="C50" s="623">
        <f>R50</f>
        <v>12280</v>
      </c>
      <c r="D50" s="623"/>
      <c r="E50" s="623"/>
      <c r="F50" s="623"/>
      <c r="G50" s="623"/>
      <c r="H50" s="623"/>
      <c r="I50" s="623"/>
      <c r="J50" s="623"/>
      <c r="K50" s="1338"/>
      <c r="L50" s="2130"/>
      <c r="M50" s="2118"/>
      <c r="N50" s="2118"/>
      <c r="O50" s="2131"/>
      <c r="P50" s="3395" t="str">
        <f>A50</f>
        <v>估价对象XX用房的比较价格（楼面单价，元/平方米）</v>
      </c>
      <c r="Q50" s="3396"/>
      <c r="R50" s="3397">
        <f>ROUND(AVERAGE(R49:V49),0)</f>
        <v>12280</v>
      </c>
      <c r="S50" s="3397"/>
      <c r="T50" s="3397"/>
      <c r="U50" s="3397"/>
      <c r="V50" s="3397"/>
      <c r="W50" s="339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1.0363636363636353E-2</v>
      </c>
      <c r="F53" s="627" t="str">
        <f>IF(OR(E53&gt;=0.3,E53&lt;=-0.3),"超过30%","")</f>
        <v/>
      </c>
      <c r="G53" s="626">
        <f>IF(G48&lt;G49,G49/G48-1,G48/G49-1)</f>
        <v>2.430133657351119E-3</v>
      </c>
      <c r="H53" s="627" t="str">
        <f>IF(OR(G53&gt;=0.3,G53&lt;=-0.3),"超过30%","")</f>
        <v/>
      </c>
      <c r="I53" s="626">
        <f>IF(I48&lt;I49,I49/I48-1,I48/I49-1)</f>
        <v>7.0507330731637285E-2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0.18769120028792519</v>
      </c>
      <c r="F54" s="627" t="str">
        <f>IF(OR(E54&gt;=0.2,E54&lt;=-0.2),"超过20%","")</f>
        <v/>
      </c>
      <c r="G54" s="626">
        <f>IF(G49&lt;I49,I49/G49-1,G49/I49-1)</f>
        <v>5.3892215568862367E-2</v>
      </c>
      <c r="H54" s="627" t="str">
        <f>IF(OR(G54&gt;=0.2,G54&lt;=-0.2),"超过20%","")</f>
        <v/>
      </c>
      <c r="I54" s="626">
        <f>IF(I49&lt;E49,E49/I49-1,I49/E49-1)</f>
        <v>0.12695699118229253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0.19709090909090898</v>
      </c>
      <c r="F55" s="627" t="str">
        <f>IF(OR(E55&gt;=0.3,E55&lt;=-0.3),"超过30%","")</f>
        <v/>
      </c>
      <c r="G55" s="626">
        <f>IF(G48&lt;I48,I48/G48-1,G48/I48-1)</f>
        <v>0.12546431385821966</v>
      </c>
      <c r="H55" s="627" t="str">
        <f>IF(OR(G55&gt;=0.3,G55&lt;=-0.3),"超过30%","")</f>
        <v/>
      </c>
      <c r="I55" s="626">
        <f>IF(I48&lt;E48,E48/I48-1,I48/E48-1)</f>
        <v>6.3641818181818133E-2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8" t="s">
        <v>2281</v>
      </c>
      <c r="H57" s="335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12280</v>
      </c>
      <c r="C58" s="635">
        <v>1</v>
      </c>
      <c r="D58" s="2214">
        <v>1</v>
      </c>
      <c r="E58" s="635">
        <f>'数据-汇总表'!E8+'数据-汇总表'!E9</f>
        <v>32130</v>
      </c>
      <c r="F58" s="636">
        <f t="shared" ref="F58:F67" si="15">ROUND(B58*E58/10000,0)</f>
        <v>39456</v>
      </c>
      <c r="G58" s="3360"/>
      <c r="H58" s="336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32130</v>
      </c>
      <c r="F68" s="644">
        <f>IF(B48="楼面地价",SUM(F58:F67),ROUND(C50*E68/10000,0))</f>
        <v>39456</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北京市平均增长率2.06%</v>
      </c>
      <c r="C73" s="894">
        <v>100</v>
      </c>
      <c r="D73" s="730">
        <f>C73</f>
        <v>100</v>
      </c>
      <c r="E73" s="730">
        <f>D73-0.5</f>
        <v>99.5</v>
      </c>
      <c r="F73" s="730">
        <f t="shared" ref="F73:N73" si="20">E73-0.5</f>
        <v>99</v>
      </c>
      <c r="G73" s="730">
        <f t="shared" si="20"/>
        <v>98.5</v>
      </c>
      <c r="H73" s="730">
        <f t="shared" si="20"/>
        <v>98</v>
      </c>
      <c r="I73" s="730">
        <f t="shared" si="20"/>
        <v>97.5</v>
      </c>
      <c r="J73" s="730">
        <f t="shared" si="20"/>
        <v>97</v>
      </c>
      <c r="K73" s="730">
        <f t="shared" si="20"/>
        <v>96.5</v>
      </c>
      <c r="L73" s="730">
        <f t="shared" si="20"/>
        <v>96</v>
      </c>
      <c r="M73" s="730">
        <f t="shared" si="20"/>
        <v>95.5</v>
      </c>
      <c r="N73" s="730">
        <f t="shared" si="20"/>
        <v>95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3271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99.5</v>
      </c>
      <c r="E83" s="679">
        <f t="shared" ref="E83:M83" si="22">IF($B$48="单位面积地价",D83+$K13,D83-$K13)</f>
        <v>99</v>
      </c>
      <c r="F83" s="679">
        <f t="shared" si="22"/>
        <v>98.5</v>
      </c>
      <c r="G83" s="679">
        <f t="shared" si="22"/>
        <v>98</v>
      </c>
      <c r="H83" s="679">
        <f t="shared" si="22"/>
        <v>97.5</v>
      </c>
      <c r="I83" s="679">
        <f t="shared" si="22"/>
        <v>97</v>
      </c>
      <c r="J83" s="679">
        <f t="shared" si="22"/>
        <v>96.5</v>
      </c>
      <c r="K83" s="679">
        <f t="shared" si="22"/>
        <v>96</v>
      </c>
      <c r="L83" s="679">
        <f t="shared" si="22"/>
        <v>95.5</v>
      </c>
      <c r="M83" s="679">
        <f t="shared" si="22"/>
        <v>95</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8" t="s">
        <v>3272</v>
      </c>
      <c r="D108" s="3188" t="s">
        <v>3273</v>
      </c>
      <c r="E108" s="3188" t="s">
        <v>3275</v>
      </c>
      <c r="F108" s="3188" t="s">
        <v>3276</v>
      </c>
      <c r="G108" s="3188" t="s">
        <v>3278</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f>C120-2</f>
        <v>98</v>
      </c>
      <c r="E120" s="726">
        <f t="shared" ref="E120:H120" si="27">D120-2</f>
        <v>96</v>
      </c>
      <c r="F120" s="726">
        <f t="shared" si="27"/>
        <v>94</v>
      </c>
      <c r="G120" s="726">
        <f t="shared" si="27"/>
        <v>92</v>
      </c>
      <c r="H120" s="726">
        <f t="shared" si="27"/>
        <v>90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495" t="s">
        <v>3318</v>
      </c>
      <c r="D121" s="3495" t="s">
        <v>3320</v>
      </c>
      <c r="E121" s="3495" t="s">
        <v>3321</v>
      </c>
      <c r="F121" s="3495" t="s">
        <v>3323</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t="s">
        <v>3324</v>
      </c>
      <c r="D123" s="688" t="s">
        <v>3279</v>
      </c>
      <c r="E123" s="688" t="s">
        <v>3280</v>
      </c>
      <c r="F123" s="718" t="s">
        <v>3325</v>
      </c>
      <c r="G123" s="718" t="s">
        <v>3326</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3281</v>
      </c>
      <c r="D125" s="1372" t="s">
        <v>3306</v>
      </c>
      <c r="E125" s="1372" t="s">
        <v>3307</v>
      </c>
      <c r="F125" s="1372" t="s">
        <v>3308</v>
      </c>
      <c r="G125" s="1372" t="s">
        <v>3309</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923</v>
      </c>
      <c r="C1" s="2090"/>
      <c r="D1" s="2090"/>
      <c r="E1" s="2090"/>
      <c r="F1" s="2090"/>
      <c r="G1" s="2090"/>
      <c r="H1" s="2090"/>
      <c r="I1" s="2090"/>
      <c r="J1" s="2090"/>
      <c r="K1" s="422">
        <f>MATCH(B1,'数据-取费表'!A6:A16,0)+5</f>
        <v>6</v>
      </c>
    </row>
    <row r="2" spans="1:31" s="2027" customFormat="1" ht="18" customHeight="1">
      <c r="A2" s="2087" t="s">
        <v>467</v>
      </c>
      <c r="B2" s="2091">
        <f ca="1">C36</f>
        <v>50819</v>
      </c>
      <c r="C2" s="2090"/>
      <c r="D2" s="2090"/>
      <c r="E2" s="2090"/>
      <c r="F2" s="2090"/>
      <c r="G2" s="2090"/>
      <c r="H2" s="2090"/>
      <c r="I2" s="2090"/>
      <c r="J2" s="2090"/>
      <c r="K2" s="2090"/>
    </row>
    <row r="3" spans="1:31" s="2027" customFormat="1" ht="18" customHeight="1">
      <c r="A3" s="2092" t="s">
        <v>1684</v>
      </c>
      <c r="B3" s="2093">
        <f ca="1">ROUND(B2*10000/IF(B1="",'数据-汇总表'!E3,INDIRECT("'数据-取费表'!K"&amp;$K$1)),0)</f>
        <v>15817</v>
      </c>
      <c r="C3" s="2090"/>
      <c r="D3" s="2090"/>
      <c r="E3" s="2090"/>
      <c r="F3" s="2090"/>
      <c r="G3" s="2090"/>
      <c r="H3" s="2090"/>
      <c r="I3" s="2090"/>
      <c r="J3" s="2090"/>
      <c r="K3" s="2090"/>
    </row>
    <row r="4" spans="1:31" s="2027" customFormat="1" ht="18" customHeight="1">
      <c r="A4" s="426" t="s">
        <v>468</v>
      </c>
      <c r="B4" s="427">
        <f ca="1">ROUND(B2*10000/IF(B1="",'数据-汇总表'!D3,INDIRECT("'数据-取费表'!R"&amp;$K$1)),0)</f>
        <v>31420</v>
      </c>
      <c r="C4" s="428"/>
      <c r="D4" s="422"/>
      <c r="E4" s="422"/>
      <c r="F4" s="422"/>
      <c r="G4" s="422"/>
      <c r="H4" s="422"/>
      <c r="I4" s="422"/>
      <c r="J4" s="422"/>
      <c r="K4" s="422"/>
    </row>
    <row r="5" spans="1:31" s="2027" customFormat="1" ht="18" customHeight="1" thickBot="1">
      <c r="A5" s="429"/>
      <c r="B5" s="430">
        <f ca="1">ROUND(B2/(IF(B1="",'数据-汇总表'!D3,INDIRECT("'数据-取费表'!R"&amp;$K$1))/666.67),0)</f>
        <v>2095</v>
      </c>
      <c r="C5" s="431" t="s">
        <v>469</v>
      </c>
      <c r="D5" s="422"/>
      <c r="E5" s="422"/>
      <c r="F5" s="422"/>
      <c r="G5" s="422"/>
      <c r="H5" s="422"/>
      <c r="I5" s="422"/>
      <c r="J5" s="422"/>
      <c r="K5" s="422"/>
    </row>
    <row r="6" spans="1:31" s="2097" customFormat="1" ht="16.5" customHeight="1">
      <c r="A6" s="2784" t="s">
        <v>1842</v>
      </c>
      <c r="B6" s="2785"/>
      <c r="C6" s="2786">
        <f>SUM(C10:K10)</f>
        <v>83875.365000000005</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26105</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32130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83875.365000000005</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9257</v>
      </c>
      <c r="D13" s="2800"/>
      <c r="E13" s="2801"/>
      <c r="F13" s="2802"/>
      <c r="G13" s="2768"/>
      <c r="H13" s="2769"/>
      <c r="I13" s="2769"/>
      <c r="J13" s="2769"/>
      <c r="K13" s="2770"/>
    </row>
    <row r="14" spans="1:31" s="2102" customFormat="1" ht="13.5" customHeight="1">
      <c r="A14" s="2798" t="s">
        <v>1849</v>
      </c>
      <c r="B14" s="2799" t="s">
        <v>480</v>
      </c>
      <c r="C14" s="53">
        <f ca="1">ROUND(C13*F14,0)</f>
        <v>278</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193</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694</v>
      </c>
      <c r="D16" s="2800">
        <f ca="1">IF(B1="",'数据-汇总表'!E3,INDIRECT("'数据-取费表'!K"&amp;$K$1)+INDIRECT("'数据-取费表'!S"&amp;$K$1))</f>
        <v>46284</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139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10561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46284</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1018</v>
      </c>
      <c r="D20" s="2810"/>
      <c r="E20" s="2764"/>
      <c r="F20" s="2811"/>
      <c r="G20" s="3041"/>
      <c r="H20" s="2766"/>
      <c r="I20" s="2767" t="s">
        <v>2651</v>
      </c>
      <c r="J20" s="2773"/>
      <c r="K20" s="2774"/>
    </row>
    <row r="21" spans="1:14" s="2102" customFormat="1" ht="13.5" customHeight="1">
      <c r="A21" s="2798" t="s">
        <v>1856</v>
      </c>
      <c r="B21" s="2799" t="s">
        <v>491</v>
      </c>
      <c r="C21" s="53">
        <f ca="1">ROUND(D21*E21/10000,0)</f>
        <v>707</v>
      </c>
      <c r="D21" s="2800">
        <f ca="1">IF(B1="",'数据-汇总表'!E5,IF(INDIRECT("'数据-取费表'!c"&amp;$K$1)="住宅",INDIRECT("'数据-取费表'!k"&amp;$K$1),0))</f>
        <v>32130</v>
      </c>
      <c r="E21" s="53">
        <f>'数据-取费表'!B27</f>
        <v>220</v>
      </c>
      <c r="F21" s="2803"/>
      <c r="G21" s="26"/>
      <c r="H21" s="51"/>
      <c r="I21" s="51"/>
      <c r="J21" s="51"/>
      <c r="K21" s="2775"/>
    </row>
    <row r="22" spans="1:14" s="2102" customFormat="1" ht="13.5" customHeight="1">
      <c r="A22" s="2798" t="s">
        <v>1857</v>
      </c>
      <c r="B22" s="2799" t="s">
        <v>492</v>
      </c>
      <c r="C22" s="53">
        <f ca="1">ROUND(D22*E22/10000,0)</f>
        <v>311</v>
      </c>
      <c r="D22" s="2800">
        <f ca="1">IF(B1="",'数据-汇总表'!E6,IF(INDIRECT("'数据-取费表'!c"&amp;$K$1)="住宅",INDIRECT("'数据-取费表'!s"&amp;$K$1),INDIRECT("'数据-取费表'!k"&amp;$K$1)+INDIRECT("'数据-取费表'!s"&amp;$K$1)))</f>
        <v>14154</v>
      </c>
      <c r="E22" s="53">
        <f>'数据-取费表'!B28</f>
        <v>220</v>
      </c>
      <c r="F22" s="2803"/>
      <c r="G22" s="26"/>
      <c r="H22" s="51"/>
      <c r="I22" s="51"/>
      <c r="J22" s="51"/>
      <c r="K22" s="2775"/>
    </row>
    <row r="23" spans="1:14" s="2102" customFormat="1" ht="13.5" customHeight="1">
      <c r="A23" s="2806" t="s">
        <v>1858</v>
      </c>
      <c r="B23" s="2988" t="s">
        <v>2834</v>
      </c>
      <c r="C23" s="2808">
        <f ca="1">ROUND((C18+C19+C20)*F23,0)</f>
        <v>232</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1258</v>
      </c>
      <c r="D24" s="475"/>
      <c r="E24" s="473"/>
      <c r="F24" s="2812">
        <f>'数据-取费表'!B38</f>
        <v>1.4999999999999999E-2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'数据-取费表'!B48+'数据-取费表'!B49</f>
        <v>3.0499999999999999E-2</v>
      </c>
      <c r="G25" s="2776" t="s">
        <v>2289</v>
      </c>
      <c r="H25" s="2769"/>
      <c r="I25" s="2769"/>
      <c r="J25" s="2769"/>
      <c r="K25" s="2770"/>
    </row>
    <row r="26" spans="1:14" s="2104" customFormat="1" ht="13.5" customHeight="1">
      <c r="A26" s="2806" t="s">
        <v>1861</v>
      </c>
      <c r="B26" s="2989" t="s">
        <v>2836</v>
      </c>
      <c r="C26" s="2813">
        <f ca="1">C28</f>
        <v>463</v>
      </c>
      <c r="D26" s="467">
        <f ca="1">C27</f>
        <v>7.4200000000000002E-2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7.4200000000000002E-2</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463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4473</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18005</v>
      </c>
      <c r="D30" s="477">
        <f ca="1">C32</f>
        <v>0.1032</v>
      </c>
      <c r="E30" s="469" t="s">
        <v>495</v>
      </c>
      <c r="F30" s="471"/>
      <c r="G30" s="2776" t="s">
        <v>2974</v>
      </c>
      <c r="H30" s="2769"/>
      <c r="I30" s="2769"/>
      <c r="J30" s="2769"/>
      <c r="K30" s="2770"/>
    </row>
    <row r="31" spans="1:14" s="2106" customFormat="1" ht="13.5" customHeight="1">
      <c r="A31" s="803" t="s">
        <v>1856</v>
      </c>
      <c r="B31" s="2814"/>
      <c r="C31" s="450">
        <f ca="1">C18+C19+C20+C23+C24+C26+C29</f>
        <v>18005</v>
      </c>
      <c r="D31" s="472"/>
      <c r="E31" s="473"/>
      <c r="F31" s="474"/>
      <c r="G31" s="261"/>
      <c r="H31" s="2771"/>
      <c r="I31" s="2771"/>
      <c r="J31" s="2771"/>
      <c r="K31" s="279"/>
    </row>
    <row r="32" spans="1:14" s="2106" customFormat="1" ht="13.5" customHeight="1">
      <c r="A32" s="803" t="s">
        <v>1857</v>
      </c>
      <c r="B32" s="2814"/>
      <c r="C32" s="53">
        <f ca="1">ROUND(C25+D26,4)</f>
        <v>0.1032</v>
      </c>
      <c r="D32" s="472"/>
      <c r="E32" s="473"/>
      <c r="F32" s="474"/>
      <c r="G32" s="261"/>
      <c r="H32" s="2771"/>
      <c r="I32" s="2771"/>
      <c r="J32" s="2771"/>
      <c r="K32" s="279"/>
    </row>
    <row r="33" spans="1:11" s="2108" customFormat="1" ht="13.5" customHeight="1">
      <c r="A33" s="2987" t="s">
        <v>2833</v>
      </c>
      <c r="B33" s="2985" t="s">
        <v>2831</v>
      </c>
      <c r="C33" s="478">
        <f ca="1">C35</f>
        <v>1960</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1960</v>
      </c>
      <c r="D35" s="1615"/>
      <c r="E35" s="2820"/>
      <c r="F35" s="1616"/>
      <c r="G35" s="2778"/>
      <c r="H35" s="2779"/>
      <c r="I35" s="2779"/>
      <c r="J35" s="2779"/>
      <c r="K35" s="2780"/>
    </row>
    <row r="36" spans="1:11" s="2071" customFormat="1" ht="13.5" customHeight="1" thickBot="1">
      <c r="A36" s="284" t="s">
        <v>1844</v>
      </c>
      <c r="B36" s="2782"/>
      <c r="C36" s="2821">
        <f ca="1">ROUND((C6-C30-C33)/(1+D30+D33),0)</f>
        <v>50819</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3" t="str">
        <f>项目基本情况!B1</f>
        <v>出让国有建设用地使用权抵押价格预评估</v>
      </c>
      <c r="C37" s="3193"/>
      <c r="D37" s="3193"/>
      <c r="E37" s="3193"/>
      <c r="F37" s="3193"/>
      <c r="G37" s="3193"/>
      <c r="H37" s="3193"/>
      <c r="I37" s="319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49" activeCellId="1" sqref="G32 J49"/>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9257</v>
      </c>
      <c r="D13" s="451"/>
      <c r="E13" s="365"/>
      <c r="F13" s="452"/>
      <c r="G13" s="444"/>
      <c r="H13" s="447"/>
      <c r="I13" s="447"/>
      <c r="J13" s="447"/>
      <c r="K13" s="448"/>
    </row>
    <row r="14" spans="1:41" s="2102" customFormat="1" ht="13.5" customHeight="1">
      <c r="A14" s="1619" t="s">
        <v>1849</v>
      </c>
      <c r="B14" s="449" t="s">
        <v>480</v>
      </c>
      <c r="C14" s="53">
        <f ca="1">ROUND(C13*F14,0)</f>
        <v>278</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193</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698</v>
      </c>
      <c r="D16" s="451">
        <f ca="1">IF(B1="",'数据-汇总表'!E3,INDIRECT("'数据-取费表'!K"&amp;$K$1)+INDIRECT("'数据-取费表'!S"&amp;$K$1))</f>
        <v>46502</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139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10565</v>
      </c>
      <c r="D18" s="461"/>
      <c r="E18" s="462"/>
      <c r="F18" s="462"/>
      <c r="G18" s="1323" t="s">
        <v>2432</v>
      </c>
      <c r="H18" s="447"/>
      <c r="I18" s="447"/>
      <c r="J18" s="447"/>
      <c r="K18" s="448"/>
    </row>
    <row r="19" spans="1:14" s="2105" customFormat="1" ht="13.5" customHeight="1">
      <c r="A19" s="1620" t="s">
        <v>1854</v>
      </c>
      <c r="B19" s="459" t="s">
        <v>493</v>
      </c>
      <c r="C19" s="460">
        <f ca="1">ROUND(C18*F19,0)</f>
        <v>211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1.4999999999999999E-2</v>
      </c>
      <c r="D20" s="469" t="s">
        <v>505</v>
      </c>
      <c r="E20" s="469"/>
      <c r="F20" s="486">
        <f>'数据-取费表'!B38</f>
        <v>1.4999999999999999E-2</v>
      </c>
      <c r="G20" s="1323" t="s">
        <v>506</v>
      </c>
      <c r="H20" s="447"/>
      <c r="I20" s="447"/>
      <c r="J20" s="447"/>
      <c r="K20" s="448"/>
      <c r="L20" s="2107"/>
      <c r="M20" s="2107"/>
      <c r="N20" s="2107"/>
    </row>
    <row r="21" spans="1:14" s="2107" customFormat="1" ht="13.5" customHeight="1">
      <c r="A21" s="1620" t="s">
        <v>1858</v>
      </c>
      <c r="B21" s="461" t="s">
        <v>494</v>
      </c>
      <c r="C21" s="470">
        <f ca="1">C22</f>
        <v>382</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382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1616</v>
      </c>
      <c r="D24" s="489">
        <f ca="1">C26</f>
        <v>2.3E-3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1616</v>
      </c>
      <c r="D25" s="472"/>
      <c r="E25" s="473"/>
      <c r="F25" s="480"/>
      <c r="G25" s="1322" t="s">
        <v>2433</v>
      </c>
      <c r="H25" s="457"/>
      <c r="I25" s="457"/>
      <c r="J25" s="457"/>
      <c r="K25" s="458"/>
    </row>
    <row r="26" spans="1:14" s="2106" customFormat="1" ht="13.5" customHeight="1">
      <c r="A26" s="1619" t="s">
        <v>1849</v>
      </c>
      <c r="B26" s="1324" t="s">
        <v>509</v>
      </c>
      <c r="C26" s="491">
        <f ca="1">ROUND(F20*F24,4)</f>
        <v>2.3E-3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13752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0" t="s">
        <v>522</v>
      </c>
      <c r="D6" s="3381"/>
      <c r="E6" s="3404" t="s">
        <v>523</v>
      </c>
      <c r="F6" s="3405"/>
      <c r="G6" s="3380" t="s">
        <v>524</v>
      </c>
      <c r="H6" s="3381"/>
      <c r="I6" s="3380" t="s">
        <v>525</v>
      </c>
      <c r="J6" s="3381"/>
      <c r="K6" s="514" t="s">
        <v>526</v>
      </c>
      <c r="L6" s="2119"/>
      <c r="M6" s="2120"/>
      <c r="N6" s="2120"/>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29" ht="15">
      <c r="A7" s="515"/>
      <c r="B7" s="516"/>
      <c r="C7" s="3391" t="s">
        <v>2931</v>
      </c>
      <c r="D7" s="3392"/>
      <c r="E7" s="3406" t="s">
        <v>2932</v>
      </c>
      <c r="F7" s="3407"/>
      <c r="G7" s="3391" t="s">
        <v>2933</v>
      </c>
      <c r="H7" s="3392"/>
      <c r="I7" s="3391" t="s">
        <v>2934</v>
      </c>
      <c r="J7" s="3392"/>
      <c r="K7" s="514"/>
      <c r="L7" s="2119"/>
      <c r="M7" s="2120"/>
      <c r="N7" s="2120"/>
      <c r="O7" s="2120"/>
      <c r="P7" s="3384"/>
      <c r="Q7" s="3385"/>
      <c r="R7" s="3370"/>
      <c r="S7" s="3371"/>
      <c r="T7" s="3370"/>
      <c r="U7" s="3371"/>
      <c r="V7" s="3388"/>
      <c r="W7" s="3388"/>
      <c r="X7" s="1554"/>
      <c r="Y7" s="3370"/>
      <c r="Z7" s="3371"/>
      <c r="AA7" s="3364"/>
      <c r="AB7" s="3364"/>
      <c r="AC7" s="3364"/>
    </row>
    <row r="8" spans="1:29" ht="15.75" thickBot="1">
      <c r="A8" s="517"/>
      <c r="B8" s="518"/>
      <c r="C8" s="3389" t="s">
        <v>2935</v>
      </c>
      <c r="D8" s="3390"/>
      <c r="E8" s="3408" t="s">
        <v>2935</v>
      </c>
      <c r="F8" s="3409"/>
      <c r="G8" s="3389" t="s">
        <v>2935</v>
      </c>
      <c r="H8" s="3390"/>
      <c r="I8" s="3389" t="s">
        <v>2935</v>
      </c>
      <c r="J8" s="3390"/>
      <c r="K8" s="514" t="s">
        <v>528</v>
      </c>
      <c r="L8" s="2119"/>
      <c r="M8" s="2120"/>
      <c r="N8" s="2120"/>
      <c r="O8" s="2120"/>
      <c r="P8" s="3386"/>
      <c r="Q8" s="3387"/>
      <c r="R8" s="3370"/>
      <c r="S8" s="3371"/>
      <c r="T8" s="3372"/>
      <c r="U8" s="3373"/>
      <c r="V8" s="3388"/>
      <c r="W8" s="3388"/>
      <c r="X8" s="1554"/>
      <c r="Y8" s="3372"/>
      <c r="Z8" s="3373"/>
      <c r="AA8" s="3365"/>
      <c r="AB8" s="3365"/>
      <c r="AC8" s="3365"/>
    </row>
    <row r="9" spans="1:29" s="1216" customFormat="1" ht="15.75" thickBot="1">
      <c r="A9" s="2868"/>
      <c r="B9" s="2875" t="s">
        <v>529</v>
      </c>
      <c r="C9" s="519">
        <f>'数据-取费表'!B2</f>
        <v>43612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74"/>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6" t="s">
        <v>540</v>
      </c>
      <c r="Q17" s="1559" t="str">
        <f t="shared" si="6"/>
        <v>产业集聚程度</v>
      </c>
      <c r="R17" s="1560" t="s">
        <v>8</v>
      </c>
      <c r="S17" s="1561">
        <f t="shared" si="0"/>
        <v>100</v>
      </c>
      <c r="T17" s="1560" t="s">
        <v>8</v>
      </c>
      <c r="U17" s="1561">
        <f t="shared" si="1"/>
        <v>100</v>
      </c>
      <c r="V17" s="1560" t="s">
        <v>8</v>
      </c>
      <c r="W17" s="1561">
        <f t="shared" si="2"/>
        <v>100</v>
      </c>
      <c r="X17" s="1554"/>
      <c r="Y17" s="337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7"/>
      <c r="Q18" s="1559"/>
      <c r="R18" s="1560"/>
      <c r="S18" s="1561"/>
      <c r="T18" s="1560"/>
      <c r="U18" s="1561"/>
      <c r="V18" s="1560"/>
      <c r="W18" s="1561"/>
      <c r="X18" s="1554"/>
      <c r="Y18" s="337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7"/>
      <c r="Q19" s="1559" t="str">
        <f>B19</f>
        <v>交通便捷度</v>
      </c>
      <c r="R19" s="1560" t="s">
        <v>8</v>
      </c>
      <c r="S19" s="1561">
        <f>F19</f>
        <v>100</v>
      </c>
      <c r="T19" s="1560" t="s">
        <v>8</v>
      </c>
      <c r="U19" s="1561">
        <f>H19</f>
        <v>100</v>
      </c>
      <c r="V19" s="1560" t="s">
        <v>8</v>
      </c>
      <c r="W19" s="1561">
        <f>J19</f>
        <v>100</v>
      </c>
      <c r="X19" s="1554"/>
      <c r="Y19" s="337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7"/>
      <c r="Q22" s="1559"/>
      <c r="R22" s="1560"/>
      <c r="S22" s="1561"/>
      <c r="T22" s="1560"/>
      <c r="U22" s="1561"/>
      <c r="V22" s="1560"/>
      <c r="W22" s="1561"/>
      <c r="X22" s="1554"/>
      <c r="Y22" s="337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7"/>
      <c r="Q24" s="1559"/>
      <c r="R24" s="1560"/>
      <c r="S24" s="1561"/>
      <c r="T24" s="1560"/>
      <c r="U24" s="1561"/>
      <c r="V24" s="1560"/>
      <c r="W24" s="1561"/>
      <c r="X24" s="1554"/>
      <c r="Y24" s="337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7"/>
      <c r="Q25" s="1147" t="str">
        <f t="shared" si="8"/>
        <v>公共配套设施</v>
      </c>
      <c r="R25" s="1555" t="s">
        <v>8</v>
      </c>
      <c r="S25" s="1556">
        <f>F25</f>
        <v>100</v>
      </c>
      <c r="T25" s="1555" t="s">
        <v>8</v>
      </c>
      <c r="U25" s="1556">
        <f>H25</f>
        <v>100</v>
      </c>
      <c r="V25" s="1555" t="s">
        <v>8</v>
      </c>
      <c r="W25" s="1556">
        <f>J25</f>
        <v>100</v>
      </c>
      <c r="X25" s="1557"/>
      <c r="Y25" s="337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7"/>
      <c r="Q26" s="1147"/>
      <c r="R26" s="1555"/>
      <c r="S26" s="1556"/>
      <c r="T26" s="1555"/>
      <c r="U26" s="1556"/>
      <c r="V26" s="1555"/>
      <c r="W26" s="1556"/>
      <c r="X26" s="1557"/>
      <c r="Y26" s="337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7"/>
      <c r="Q27" s="2543" t="str">
        <f t="shared" ref="Q27" si="9">B27</f>
        <v>基础设施水平</v>
      </c>
      <c r="R27" s="1555" t="s">
        <v>8</v>
      </c>
      <c r="S27" s="1556">
        <f>F27</f>
        <v>100</v>
      </c>
      <c r="T27" s="1555" t="s">
        <v>8</v>
      </c>
      <c r="U27" s="1556">
        <f>H27</f>
        <v>100</v>
      </c>
      <c r="V27" s="1555" t="s">
        <v>8</v>
      </c>
      <c r="W27" s="1556">
        <f>J27</f>
        <v>100</v>
      </c>
      <c r="X27" s="1557"/>
      <c r="Y27" s="337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7"/>
      <c r="Q28" s="2543"/>
      <c r="R28" s="1555"/>
      <c r="S28" s="1556"/>
      <c r="T28" s="1555"/>
      <c r="U28" s="1556"/>
      <c r="V28" s="1555"/>
      <c r="W28" s="1556"/>
      <c r="X28" s="1557"/>
      <c r="Y28" s="337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7"/>
      <c r="Q30" s="1559" t="str">
        <f t="shared" si="8"/>
        <v>毗邻道路的类型与等级</v>
      </c>
      <c r="R30" s="1560" t="s">
        <v>8</v>
      </c>
      <c r="S30" s="1561">
        <f t="shared" si="10"/>
        <v>100</v>
      </c>
      <c r="T30" s="1560" t="s">
        <v>8</v>
      </c>
      <c r="U30" s="1561">
        <f t="shared" si="11"/>
        <v>100</v>
      </c>
      <c r="V30" s="1560" t="s">
        <v>8</v>
      </c>
      <c r="W30" s="1561">
        <f t="shared" si="12"/>
        <v>100</v>
      </c>
      <c r="X30" s="1554"/>
      <c r="Y30" s="337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7"/>
      <c r="Q31" s="1559"/>
      <c r="R31" s="1560"/>
      <c r="S31" s="1561"/>
      <c r="T31" s="1560"/>
      <c r="U31" s="1561"/>
      <c r="V31" s="1560"/>
      <c r="W31" s="1561"/>
      <c r="X31" s="1554"/>
      <c r="Y31" s="337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8" t="s">
        <v>550</v>
      </c>
      <c r="Q34" s="1559">
        <f t="shared" si="8"/>
        <v>111</v>
      </c>
      <c r="R34" s="1560" t="s">
        <v>8</v>
      </c>
      <c r="S34" s="1561">
        <f t="shared" si="10"/>
        <v>100</v>
      </c>
      <c r="T34" s="1560" t="s">
        <v>8</v>
      </c>
      <c r="U34" s="1561">
        <f t="shared" si="11"/>
        <v>100</v>
      </c>
      <c r="V34" s="1560" t="s">
        <v>8</v>
      </c>
      <c r="W34" s="1561">
        <f t="shared" si="12"/>
        <v>100</v>
      </c>
      <c r="X34" s="1554"/>
      <c r="Y34" s="337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9"/>
      <c r="Q36" s="1559" t="str">
        <f>B36</f>
        <v>宗地面积</v>
      </c>
      <c r="R36" s="1560" t="s">
        <v>8</v>
      </c>
      <c r="S36" s="1561" t="e">
        <f t="shared" si="10"/>
        <v>#N/A</v>
      </c>
      <c r="T36" s="1560" t="s">
        <v>8</v>
      </c>
      <c r="U36" s="1561" t="e">
        <f t="shared" si="11"/>
        <v>#N/A</v>
      </c>
      <c r="V36" s="1560" t="s">
        <v>8</v>
      </c>
      <c r="W36" s="1561" t="e">
        <f t="shared" si="12"/>
        <v>#N/A</v>
      </c>
      <c r="X36" s="1554"/>
      <c r="Y36" s="337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9"/>
      <c r="Q37" s="1559" t="str">
        <f t="shared" ref="Q37:Q42" si="14">B37</f>
        <v>宗地形状</v>
      </c>
      <c r="R37" s="1560" t="s">
        <v>8</v>
      </c>
      <c r="S37" s="1561">
        <f t="shared" si="10"/>
        <v>100</v>
      </c>
      <c r="T37" s="1560" t="s">
        <v>8</v>
      </c>
      <c r="U37" s="1561">
        <f t="shared" si="11"/>
        <v>100</v>
      </c>
      <c r="V37" s="1560" t="s">
        <v>8</v>
      </c>
      <c r="W37" s="1561">
        <f t="shared" si="12"/>
        <v>100</v>
      </c>
      <c r="X37" s="1554"/>
      <c r="Y37" s="337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t="s">
        <v>601</v>
      </c>
      <c r="Q39" s="1559" t="str">
        <f t="shared" si="14"/>
        <v>工程地质条件</v>
      </c>
      <c r="R39" s="1560" t="s">
        <v>8</v>
      </c>
      <c r="S39" s="1561">
        <f t="shared" si="10"/>
        <v>100</v>
      </c>
      <c r="T39" s="1560" t="s">
        <v>8</v>
      </c>
      <c r="U39" s="1561">
        <f t="shared" si="11"/>
        <v>100</v>
      </c>
      <c r="V39" s="1560" t="s">
        <v>8</v>
      </c>
      <c r="W39" s="1561">
        <f t="shared" si="12"/>
        <v>100</v>
      </c>
      <c r="X39" s="1554"/>
      <c r="Y39" s="337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4" t="str">
        <f>A43</f>
        <v>成交单价</v>
      </c>
      <c r="Q43" s="3374"/>
      <c r="R43" s="3388">
        <f>E43</f>
        <v>0</v>
      </c>
      <c r="S43" s="3388"/>
      <c r="T43" s="3388">
        <f>G43</f>
        <v>0</v>
      </c>
      <c r="U43" s="3388"/>
      <c r="V43" s="3388">
        <f>I43</f>
        <v>0</v>
      </c>
      <c r="W43" s="338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4" t="str">
        <f>A44</f>
        <v>比较价格（元/平方米）</v>
      </c>
      <c r="Q44" s="3374"/>
      <c r="R44" s="3398" t="e">
        <f>ROUND(PRODUCT(R43,AA9:AA42),0)</f>
        <v>#DIV/0!</v>
      </c>
      <c r="S44" s="3398"/>
      <c r="T44" s="3398" t="e">
        <f>ROUND(PRODUCT(T43,AB9:AB42),0)</f>
        <v>#DIV/0!</v>
      </c>
      <c r="U44" s="3398"/>
      <c r="V44" s="3398" t="e">
        <f>ROUND(PRODUCT(V43,AC9:AC42),0)</f>
        <v>#DIV/0!</v>
      </c>
      <c r="W44" s="339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5" t="str">
        <f>A45</f>
        <v>估价对象XX用房的比较价格（楼面单价，元/平方米）</v>
      </c>
      <c r="Q45" s="3396"/>
      <c r="R45" s="3397" t="e">
        <f>ROUND(AVERAGE(R44:V44),0)</f>
        <v>#DIV/0!</v>
      </c>
      <c r="S45" s="3397"/>
      <c r="T45" s="3397"/>
      <c r="U45" s="3397"/>
      <c r="V45" s="3397"/>
      <c r="W45" s="339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9" t="s">
        <v>2284</v>
      </c>
      <c r="H52" s="340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32130</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16174.01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49" activeCellId="1" sqref="G32 J4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2783</v>
      </c>
      <c r="X8" s="342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2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3"/>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4"/>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1" t="s">
        <v>1838</v>
      </c>
      <c r="B16" s="1424" t="s">
        <v>950</v>
      </c>
      <c r="C16" s="1052" t="e">
        <f>ROUND(IF(F17="与级别开发程度一致",0,(G17-E17)/C17),0)</f>
        <v>#DIV/0!</v>
      </c>
      <c r="D16" s="3429" t="s">
        <v>954</v>
      </c>
      <c r="E16" s="3430"/>
      <c r="F16" s="3429" t="s">
        <v>951</v>
      </c>
      <c r="G16" s="3430"/>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5"/>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43612</v>
      </c>
      <c r="H19" s="1464"/>
      <c r="I19" s="2741" t="str">
        <f>IF(H19="季度增幅（自定义）",SUMIF(N21:N24,E2,O21:O24),"")</f>
        <v/>
      </c>
      <c r="J19" s="1460"/>
      <c r="K19" s="3155"/>
      <c r="L19" s="2993" t="s">
        <v>2841</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2842</v>
      </c>
      <c r="M20" s="3164">
        <f>ROUND(SUMPRODUCT((地价!A4:A26=YEAR(G19)&amp;"-"&amp;ROUNDUP(MONTH(G19)/3,0))*(地价!B2:F2=E2)*(地价!B4:F26)),0)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2648</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8"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2990</v>
      </c>
      <c r="C41" s="839" t="e">
        <f>ROUND(POWER(1+E41,H41-G41)*(POWER(1+E41,G41)-1)/(POWER(1+E41,H41)-1),4)</f>
        <v>#DIV/0!</v>
      </c>
      <c r="D41" s="378" t="s">
        <v>2988</v>
      </c>
      <c r="E41" s="3150">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5"/>
      <c r="B108" s="342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0" t="s">
        <v>1639</v>
      </c>
      <c r="B110" s="3410"/>
      <c r="C110" s="3410"/>
      <c r="D110" s="3410"/>
      <c r="E110" s="3410"/>
      <c r="F110" s="3410"/>
      <c r="G110" s="3410"/>
      <c r="H110" s="3410"/>
      <c r="I110" s="3410"/>
      <c r="J110" s="341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7" t="s">
        <v>1501</v>
      </c>
      <c r="C61" s="1064" t="s">
        <v>1502</v>
      </c>
      <c r="D61" s="1064" t="s">
        <v>1503</v>
      </c>
      <c r="E61" s="1135">
        <v>0.5</v>
      </c>
      <c r="F61" s="1150">
        <v>80</v>
      </c>
      <c r="H61" s="1101">
        <f>SUMIF(C59:C119,基准地价!C8,E59:E119)</f>
        <v>0</v>
      </c>
    </row>
    <row r="62" spans="1:8" s="1101" customFormat="1" ht="24">
      <c r="A62" s="1150">
        <v>2</v>
      </c>
      <c r="B62" s="3417"/>
      <c r="C62" s="1064" t="s">
        <v>1504</v>
      </c>
      <c r="D62" s="1064" t="s">
        <v>1505</v>
      </c>
      <c r="E62" s="1135">
        <v>0.5</v>
      </c>
      <c r="F62" s="1150">
        <v>80</v>
      </c>
    </row>
    <row r="63" spans="1:8" s="1101" customFormat="1" ht="36">
      <c r="A63" s="1150">
        <v>3</v>
      </c>
      <c r="B63" s="3417"/>
      <c r="C63" s="1064" t="s">
        <v>1506</v>
      </c>
      <c r="D63" s="1064" t="s">
        <v>1507</v>
      </c>
      <c r="E63" s="1135">
        <v>0.5</v>
      </c>
      <c r="F63" s="1150">
        <v>80</v>
      </c>
    </row>
    <row r="64" spans="1:8" s="1101" customFormat="1" ht="36">
      <c r="A64" s="1150">
        <v>4</v>
      </c>
      <c r="B64" s="3417"/>
      <c r="C64" s="1064" t="s">
        <v>1508</v>
      </c>
      <c r="D64" s="1064" t="s">
        <v>1509</v>
      </c>
      <c r="E64" s="1135">
        <v>0.4</v>
      </c>
      <c r="F64" s="1150">
        <v>60</v>
      </c>
    </row>
    <row r="65" spans="1:6" s="1101" customFormat="1" ht="36">
      <c r="A65" s="1150">
        <v>5</v>
      </c>
      <c r="B65" s="3417"/>
      <c r="C65" s="1064" t="s">
        <v>1510</v>
      </c>
      <c r="D65" s="1064" t="s">
        <v>1511</v>
      </c>
      <c r="E65" s="1135">
        <v>0.2</v>
      </c>
      <c r="F65" s="1150">
        <v>30</v>
      </c>
    </row>
    <row r="66" spans="1:6" s="1101" customFormat="1" ht="36">
      <c r="A66" s="1150">
        <v>6</v>
      </c>
      <c r="B66" s="3417"/>
      <c r="C66" s="1064" t="s">
        <v>1512</v>
      </c>
      <c r="D66" s="1064" t="s">
        <v>1513</v>
      </c>
      <c r="E66" s="1135">
        <v>0.3</v>
      </c>
      <c r="F66" s="1150">
        <v>50</v>
      </c>
    </row>
    <row r="67" spans="1:6" s="1101" customFormat="1" ht="36">
      <c r="A67" s="1150">
        <v>7</v>
      </c>
      <c r="B67" s="3417"/>
      <c r="C67" s="1064" t="s">
        <v>1514</v>
      </c>
      <c r="D67" s="1064" t="s">
        <v>1515</v>
      </c>
      <c r="E67" s="1135">
        <v>0.2</v>
      </c>
      <c r="F67" s="1150">
        <v>30</v>
      </c>
    </row>
    <row r="68" spans="1:6" s="1101" customFormat="1" ht="36">
      <c r="A68" s="1150">
        <v>8</v>
      </c>
      <c r="B68" s="3417"/>
      <c r="C68" s="1064" t="s">
        <v>1516</v>
      </c>
      <c r="D68" s="1064" t="s">
        <v>1517</v>
      </c>
      <c r="E68" s="1135">
        <v>0.2</v>
      </c>
      <c r="F68" s="1150">
        <v>30</v>
      </c>
    </row>
    <row r="69" spans="1:6" s="1101" customFormat="1" ht="36">
      <c r="A69" s="1150">
        <v>9</v>
      </c>
      <c r="B69" s="3417"/>
      <c r="C69" s="1064" t="s">
        <v>1518</v>
      </c>
      <c r="D69" s="1064" t="s">
        <v>1519</v>
      </c>
      <c r="E69" s="1135">
        <v>0.2</v>
      </c>
      <c r="F69" s="1150">
        <v>30</v>
      </c>
    </row>
    <row r="70" spans="1:6" s="1101" customFormat="1" ht="48">
      <c r="A70" s="1150">
        <v>10</v>
      </c>
      <c r="B70" s="3417"/>
      <c r="C70" s="1064" t="s">
        <v>1520</v>
      </c>
      <c r="D70" s="1064" t="s">
        <v>1521</v>
      </c>
      <c r="E70" s="1135">
        <v>0.2</v>
      </c>
      <c r="F70" s="1150">
        <v>30</v>
      </c>
    </row>
    <row r="71" spans="1:6" s="1101" customFormat="1" ht="48">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24">
      <c r="A73" s="1150">
        <v>13</v>
      </c>
      <c r="B73" s="3417"/>
      <c r="C73" s="1064" t="s">
        <v>1526</v>
      </c>
      <c r="D73" s="1064" t="s">
        <v>1527</v>
      </c>
      <c r="E73" s="1135">
        <v>0.4</v>
      </c>
      <c r="F73" s="1150">
        <v>60</v>
      </c>
    </row>
    <row r="74" spans="1:6" s="1101" customFormat="1" ht="24">
      <c r="A74" s="1150">
        <v>14</v>
      </c>
      <c r="B74" s="3417"/>
      <c r="C74" s="1064" t="s">
        <v>1528</v>
      </c>
      <c r="D74" s="1064" t="s">
        <v>1529</v>
      </c>
      <c r="E74" s="1135">
        <v>0.2</v>
      </c>
      <c r="F74" s="1150">
        <v>30</v>
      </c>
    </row>
    <row r="75" spans="1:6" s="1101" customFormat="1" ht="24">
      <c r="A75" s="1150">
        <v>15</v>
      </c>
      <c r="B75" s="3417"/>
      <c r="C75" s="1064" t="s">
        <v>1530</v>
      </c>
      <c r="D75" s="1064" t="s">
        <v>1531</v>
      </c>
      <c r="E75" s="1135">
        <v>0.2</v>
      </c>
      <c r="F75" s="1150">
        <v>30</v>
      </c>
    </row>
    <row r="76" spans="1:6" s="1101" customFormat="1" ht="24">
      <c r="A76" s="1150">
        <v>16</v>
      </c>
      <c r="B76" s="3417" t="s">
        <v>1532</v>
      </c>
      <c r="C76" s="1064" t="s">
        <v>1533</v>
      </c>
      <c r="D76" s="1064" t="s">
        <v>1534</v>
      </c>
      <c r="E76" s="1135">
        <v>0.5</v>
      </c>
      <c r="F76" s="1150">
        <v>80</v>
      </c>
    </row>
    <row r="77" spans="1:6" s="1101" customFormat="1" ht="24">
      <c r="A77" s="1150">
        <v>17</v>
      </c>
      <c r="B77" s="3417"/>
      <c r="C77" s="1064" t="s">
        <v>1535</v>
      </c>
      <c r="D77" s="1064" t="s">
        <v>1536</v>
      </c>
      <c r="E77" s="1135">
        <v>0.5</v>
      </c>
      <c r="F77" s="1150">
        <v>80</v>
      </c>
    </row>
    <row r="78" spans="1:6" s="1101" customFormat="1" ht="24">
      <c r="A78" s="1150">
        <v>18</v>
      </c>
      <c r="B78" s="3417"/>
      <c r="C78" s="1064" t="s">
        <v>1537</v>
      </c>
      <c r="D78" s="1064" t="s">
        <v>1538</v>
      </c>
      <c r="E78" s="1135">
        <v>0.2</v>
      </c>
      <c r="F78" s="1150">
        <v>30</v>
      </c>
    </row>
    <row r="79" spans="1:6" s="1101" customFormat="1" ht="24">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48">
      <c r="A82" s="1150">
        <v>22</v>
      </c>
      <c r="B82" s="3417"/>
      <c r="C82" s="1064" t="s">
        <v>1545</v>
      </c>
      <c r="D82" s="1064" t="s">
        <v>1546</v>
      </c>
      <c r="E82" s="1135">
        <v>0.2</v>
      </c>
      <c r="F82" s="1150">
        <v>30</v>
      </c>
    </row>
    <row r="83" spans="1:6" s="1101" customFormat="1" ht="48">
      <c r="A83" s="1150">
        <v>23</v>
      </c>
      <c r="B83" s="3417"/>
      <c r="C83" s="1064" t="s">
        <v>1547</v>
      </c>
      <c r="D83" s="1064" t="s">
        <v>1548</v>
      </c>
      <c r="E83" s="1135">
        <v>0.2</v>
      </c>
      <c r="F83" s="1150">
        <v>30</v>
      </c>
    </row>
    <row r="84" spans="1:6" s="1101" customFormat="1" ht="36">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24">
      <c r="A89" s="1150">
        <v>29</v>
      </c>
      <c r="B89" s="3417"/>
      <c r="C89" s="1064" t="s">
        <v>1559</v>
      </c>
      <c r="D89" s="1064" t="s">
        <v>1560</v>
      </c>
      <c r="E89" s="1135">
        <v>0.2</v>
      </c>
      <c r="F89" s="1150">
        <v>30</v>
      </c>
    </row>
    <row r="90" spans="1:6" s="1101" customFormat="1" ht="24">
      <c r="A90" s="1150">
        <v>30</v>
      </c>
      <c r="B90" s="3417"/>
      <c r="C90" s="1064" t="s">
        <v>1561</v>
      </c>
      <c r="D90" s="1064" t="s">
        <v>1562</v>
      </c>
      <c r="E90" s="1135">
        <v>0.2</v>
      </c>
      <c r="F90" s="1150">
        <v>30</v>
      </c>
    </row>
    <row r="91" spans="1:6" s="1101" customFormat="1" ht="36">
      <c r="A91" s="1150">
        <v>31</v>
      </c>
      <c r="B91" s="3417"/>
      <c r="C91" s="1064" t="s">
        <v>1563</v>
      </c>
      <c r="D91" s="1064" t="s">
        <v>1564</v>
      </c>
      <c r="E91" s="1135">
        <v>0.2</v>
      </c>
      <c r="F91" s="1150">
        <v>30</v>
      </c>
    </row>
    <row r="92" spans="1:6" s="1101" customFormat="1" ht="24">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48">
      <c r="A94" s="1150">
        <v>34</v>
      </c>
      <c r="B94" s="3417"/>
      <c r="C94" s="1150" t="s">
        <v>1570</v>
      </c>
      <c r="D94" s="1064" t="s">
        <v>1571</v>
      </c>
      <c r="E94" s="1135">
        <v>0.2</v>
      </c>
      <c r="F94" s="1150">
        <v>30</v>
      </c>
    </row>
    <row r="95" spans="1:6" s="1101" customFormat="1" ht="36">
      <c r="A95" s="1150">
        <v>35</v>
      </c>
      <c r="B95" s="3417"/>
      <c r="C95" s="1150" t="s">
        <v>1572</v>
      </c>
      <c r="D95" s="1064" t="s">
        <v>1573</v>
      </c>
      <c r="E95" s="1135">
        <v>0.2</v>
      </c>
      <c r="F95" s="1150">
        <v>30</v>
      </c>
    </row>
    <row r="96" spans="1:6" s="1101" customFormat="1" ht="48">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24">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7" t="s">
        <v>1595</v>
      </c>
      <c r="C105" s="1150" t="s">
        <v>1596</v>
      </c>
      <c r="D105" s="1064" t="s">
        <v>1597</v>
      </c>
      <c r="E105" s="1135">
        <v>0.2</v>
      </c>
      <c r="F105" s="1150">
        <v>30</v>
      </c>
    </row>
    <row r="106" spans="1:6" s="1101" customFormat="1" ht="36">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36">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7" t="s">
        <v>1611</v>
      </c>
      <c r="C111" s="1150" t="s">
        <v>1612</v>
      </c>
      <c r="D111" s="1064" t="s">
        <v>1613</v>
      </c>
      <c r="E111" s="1135">
        <v>0.2</v>
      </c>
      <c r="F111" s="1150">
        <v>30</v>
      </c>
    </row>
    <row r="112" spans="1:6" s="1101" customFormat="1" ht="24">
      <c r="A112" s="1150">
        <v>52</v>
      </c>
      <c r="B112" s="3417"/>
      <c r="C112" s="1150" t="s">
        <v>1614</v>
      </c>
      <c r="D112" s="1064" t="s">
        <v>1615</v>
      </c>
      <c r="E112" s="1135">
        <v>0.2</v>
      </c>
      <c r="F112" s="1150">
        <v>30</v>
      </c>
    </row>
    <row r="113" spans="1:14" s="1101" customFormat="1" ht="24">
      <c r="A113" s="1150">
        <v>53</v>
      </c>
      <c r="B113" s="341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5" t="s">
        <v>2079</v>
      </c>
      <c r="B1" s="343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8" t="s">
        <v>2576</v>
      </c>
      <c r="C1" s="3438"/>
      <c r="D1" s="3438"/>
      <c r="E1" s="3438"/>
      <c r="F1" s="3438"/>
      <c r="G1" s="3437" t="s">
        <v>2577</v>
      </c>
      <c r="H1" s="3437"/>
      <c r="I1" s="3437"/>
      <c r="J1" s="3437"/>
      <c r="K1" s="3437"/>
      <c r="L1" s="3437"/>
      <c r="N1" s="3437" t="s">
        <v>2578</v>
      </c>
      <c r="O1" s="3437"/>
      <c r="P1" s="3437"/>
      <c r="Q1" s="3437"/>
      <c r="R1" s="2619"/>
      <c r="S1" s="3437" t="s">
        <v>2579</v>
      </c>
      <c r="T1" s="3437"/>
      <c r="U1" s="3437"/>
      <c r="V1" s="3437"/>
      <c r="X1" s="3436" t="s">
        <v>2639</v>
      </c>
      <c r="Y1" s="3437"/>
      <c r="Z1" s="3437"/>
      <c r="AA1" s="3437"/>
      <c r="AB1" s="3437"/>
      <c r="AD1" s="3436" t="s">
        <v>2643</v>
      </c>
      <c r="AE1" s="3437"/>
      <c r="AF1" s="3437"/>
      <c r="AG1" s="3437"/>
      <c r="AH1" s="3437"/>
    </row>
    <row r="2" spans="1:34" s="2720" customFormat="1" ht="14.25" thickBot="1">
      <c r="B2" s="2728" t="s">
        <v>2580</v>
      </c>
      <c r="C2" s="2728" t="s">
        <v>2641</v>
      </c>
      <c r="D2" s="2721" t="s">
        <v>1644</v>
      </c>
      <c r="E2" s="2721" t="s">
        <v>1949</v>
      </c>
      <c r="F2" s="2728" t="s">
        <v>2642</v>
      </c>
      <c r="G2" s="2724"/>
      <c r="H2" s="2723"/>
      <c r="I2" s="2728" t="s">
        <v>2958</v>
      </c>
      <c r="J2" s="2721" t="s">
        <v>2960</v>
      </c>
      <c r="K2" s="2721" t="s">
        <v>2961</v>
      </c>
      <c r="L2" s="2728" t="s">
        <v>2962</v>
      </c>
      <c r="N2" s="2728" t="s">
        <v>2580</v>
      </c>
      <c r="O2" s="2721" t="s">
        <v>2959</v>
      </c>
      <c r="P2" s="2721" t="s">
        <v>1949</v>
      </c>
      <c r="Q2" s="2728" t="s">
        <v>2642</v>
      </c>
      <c r="R2" s="2722"/>
      <c r="S2" s="2728" t="s">
        <v>2580</v>
      </c>
      <c r="T2" s="2721" t="s">
        <v>2959</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2971</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2994</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2972</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2995</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2991</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0">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2981</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0"/>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2982</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0"/>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2978</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46"/>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2969</v>
      </c>
      <c r="B11" s="3098">
        <v>439</v>
      </c>
      <c r="C11" s="3098">
        <v>327</v>
      </c>
      <c r="D11" s="3098">
        <f t="shared" si="54"/>
        <v>327</v>
      </c>
      <c r="E11" s="3098">
        <v>627</v>
      </c>
      <c r="F11" s="3099">
        <v>283</v>
      </c>
      <c r="G11" s="344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2973</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0"/>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2581</v>
      </c>
      <c r="B13" s="2633">
        <f t="shared" si="66"/>
        <v>419.31181600000002</v>
      </c>
      <c r="C13" s="2633">
        <f t="shared" si="66"/>
        <v>313.95436800000004</v>
      </c>
      <c r="D13" s="2633">
        <f t="shared" si="54"/>
        <v>313.95436800000004</v>
      </c>
      <c r="E13" s="2633">
        <f t="shared" si="67"/>
        <v>596.63028431999999</v>
      </c>
      <c r="F13" s="2633">
        <f t="shared" si="67"/>
        <v>274.74220703999998</v>
      </c>
      <c r="G13" s="3440"/>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2582</v>
      </c>
      <c r="B14" s="2633">
        <f t="shared" si="66"/>
        <v>405.524</v>
      </c>
      <c r="C14" s="2633">
        <f t="shared" si="66"/>
        <v>307.79840000000002</v>
      </c>
      <c r="D14" s="2633">
        <f t="shared" si="54"/>
        <v>307.79840000000002</v>
      </c>
      <c r="E14" s="2633">
        <f t="shared" si="67"/>
        <v>574.67759999999998</v>
      </c>
      <c r="F14" s="2633">
        <f t="shared" si="67"/>
        <v>270.20280000000002</v>
      </c>
      <c r="G14" s="3446"/>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4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0"/>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0"/>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1"/>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39">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0"/>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0"/>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1"/>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39">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0"/>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0"/>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1"/>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2640</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2583</v>
      </c>
      <c r="B27" s="2625">
        <v>299</v>
      </c>
      <c r="C27" s="2625">
        <v>252</v>
      </c>
      <c r="D27" s="2625">
        <f t="shared" si="76"/>
        <v>252</v>
      </c>
      <c r="E27" s="2625">
        <v>409</v>
      </c>
      <c r="F27" s="2626">
        <v>227</v>
      </c>
      <c r="G27" s="3442">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2584</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43"/>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2585</v>
      </c>
      <c r="B29" s="2633">
        <f t="shared" si="85"/>
        <v>288.2649053828776</v>
      </c>
      <c r="C29" s="2633">
        <f t="shared" si="85"/>
        <v>243.64564425013293</v>
      </c>
      <c r="D29" s="2633">
        <f t="shared" si="76"/>
        <v>243.64564425013293</v>
      </c>
      <c r="E29" s="2633">
        <f t="shared" si="86"/>
        <v>393.31080825986544</v>
      </c>
      <c r="F29" s="2633">
        <f t="shared" si="86"/>
        <v>223.07903790551154</v>
      </c>
      <c r="G29" s="3443"/>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2586</v>
      </c>
      <c r="B30" s="2633">
        <f t="shared" si="85"/>
        <v>282.50186729015837</v>
      </c>
      <c r="C30" s="2633">
        <f t="shared" si="85"/>
        <v>238.09796174155468</v>
      </c>
      <c r="D30" s="2633">
        <f t="shared" si="76"/>
        <v>238.09796174155468</v>
      </c>
      <c r="E30" s="2633">
        <f t="shared" si="86"/>
        <v>385.33438646014054</v>
      </c>
      <c r="F30" s="2633">
        <f t="shared" si="86"/>
        <v>221.55034055567739</v>
      </c>
      <c r="G30" s="3444"/>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2587</v>
      </c>
      <c r="B31" s="2663">
        <v>278</v>
      </c>
      <c r="C31" s="2663">
        <v>234</v>
      </c>
      <c r="D31" s="2663">
        <f t="shared" si="76"/>
        <v>234</v>
      </c>
      <c r="E31" s="2663">
        <v>379</v>
      </c>
      <c r="F31" s="2664">
        <v>220</v>
      </c>
      <c r="G31" s="3439">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2588</v>
      </c>
      <c r="B32" s="2633">
        <f>B31/(1+N31)</f>
        <v>275.49301357645425</v>
      </c>
      <c r="C32" s="2633">
        <f>C31/(1+O31)</f>
        <v>232.41954707985698</v>
      </c>
      <c r="D32" s="2633">
        <f t="shared" si="76"/>
        <v>232.41954707985698</v>
      </c>
      <c r="E32" s="2633">
        <f t="shared" ref="E32:F34" si="87">E31/(1+P31)</f>
        <v>375.32184591008121</v>
      </c>
      <c r="F32" s="2633">
        <f t="shared" si="87"/>
        <v>218.03766105054513</v>
      </c>
      <c r="G32" s="3440"/>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2589</v>
      </c>
      <c r="B33" s="2633">
        <f>B32/(1+N32)</f>
        <v>275.24529281292263</v>
      </c>
      <c r="C33" s="2633">
        <f>C32/(1+O32)</f>
        <v>231.74747938962707</v>
      </c>
      <c r="D33" s="2633">
        <f t="shared" si="76"/>
        <v>231.74747938962707</v>
      </c>
      <c r="E33" s="2633">
        <f t="shared" si="87"/>
        <v>375.35938184826603</v>
      </c>
      <c r="F33" s="2633">
        <f t="shared" si="87"/>
        <v>216.78033510692495</v>
      </c>
      <c r="G33" s="3440"/>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2590</v>
      </c>
      <c r="B34" s="2633">
        <f>B33/(1+N33)</f>
        <v>275.19025476197027</v>
      </c>
      <c r="C34" s="2665">
        <v>232</v>
      </c>
      <c r="D34" s="2665">
        <f t="shared" si="76"/>
        <v>232</v>
      </c>
      <c r="E34" s="2633">
        <f t="shared" si="87"/>
        <v>375.65990977608692</v>
      </c>
      <c r="F34" s="2633">
        <f t="shared" si="87"/>
        <v>214.12518283971252</v>
      </c>
      <c r="G34" s="3441"/>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2591</v>
      </c>
      <c r="B35" s="2625">
        <v>275</v>
      </c>
      <c r="C35" s="2625">
        <v>232</v>
      </c>
      <c r="D35" s="2625">
        <f t="shared" si="76"/>
        <v>232</v>
      </c>
      <c r="E35" s="2625">
        <v>376</v>
      </c>
      <c r="F35" s="2626">
        <v>213</v>
      </c>
      <c r="G35" s="3439">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2592</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0">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2593</v>
      </c>
      <c r="B37" s="2633">
        <f t="shared" si="88"/>
        <v>275.19335084830601</v>
      </c>
      <c r="C37" s="2633">
        <f t="shared" si="88"/>
        <v>230.18088050139744</v>
      </c>
      <c r="D37" s="2633">
        <f t="shared" si="76"/>
        <v>230.18088050139744</v>
      </c>
      <c r="E37" s="2633">
        <f t="shared" si="89"/>
        <v>377.58482925212331</v>
      </c>
      <c r="F37" s="2633">
        <f t="shared" si="89"/>
        <v>210.90687997847917</v>
      </c>
      <c r="G37" s="3440">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2594</v>
      </c>
      <c r="B38" s="2633">
        <f t="shared" si="88"/>
        <v>276.29854502841971</v>
      </c>
      <c r="C38" s="2633">
        <f t="shared" si="88"/>
        <v>229.79023709833027</v>
      </c>
      <c r="D38" s="2633">
        <f t="shared" si="76"/>
        <v>229.79023709833027</v>
      </c>
      <c r="E38" s="2633">
        <f t="shared" si="89"/>
        <v>379.78759731655936</v>
      </c>
      <c r="F38" s="2633">
        <f t="shared" si="89"/>
        <v>211.32953905659235</v>
      </c>
      <c r="G38" s="3441">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2595</v>
      </c>
      <c r="B39" s="2625">
        <v>269</v>
      </c>
      <c r="C39" s="2625">
        <v>221</v>
      </c>
      <c r="D39" s="2625">
        <f t="shared" si="76"/>
        <v>221</v>
      </c>
      <c r="E39" s="2625">
        <v>373</v>
      </c>
      <c r="F39" s="2626">
        <v>196</v>
      </c>
      <c r="G39" s="3439">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2596</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0">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2597</v>
      </c>
      <c r="B41" s="2633">
        <f t="shared" si="90"/>
        <v>242.95398227588385</v>
      </c>
      <c r="C41" s="2633">
        <f t="shared" si="90"/>
        <v>199.59137053614126</v>
      </c>
      <c r="D41" s="2633">
        <f t="shared" si="76"/>
        <v>199.59137053614126</v>
      </c>
      <c r="E41" s="2633">
        <f t="shared" si="91"/>
        <v>335.92189522342125</v>
      </c>
      <c r="F41" s="2633">
        <f t="shared" si="91"/>
        <v>183.10139991109489</v>
      </c>
      <c r="G41" s="3440">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2598</v>
      </c>
      <c r="B42" s="2633">
        <f t="shared" si="90"/>
        <v>232.06990378821649</v>
      </c>
      <c r="C42" s="2633">
        <f t="shared" si="90"/>
        <v>192.74878854286936</v>
      </c>
      <c r="D42" s="2633">
        <f t="shared" si="76"/>
        <v>192.74878854286936</v>
      </c>
      <c r="E42" s="2633">
        <f t="shared" si="91"/>
        <v>319.71247284992984</v>
      </c>
      <c r="F42" s="2633">
        <f t="shared" si="91"/>
        <v>175.67053622862409</v>
      </c>
      <c r="G42" s="3441">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2599</v>
      </c>
      <c r="B43" s="2625">
        <v>220</v>
      </c>
      <c r="C43" s="2625">
        <v>187</v>
      </c>
      <c r="D43" s="2625">
        <f t="shared" si="76"/>
        <v>187</v>
      </c>
      <c r="E43" s="2625">
        <v>301</v>
      </c>
      <c r="F43" s="2626">
        <v>168</v>
      </c>
      <c r="G43" s="3439">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2600</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0">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2601</v>
      </c>
      <c r="B45" s="2633">
        <f t="shared" si="92"/>
        <v>210.630522469011</v>
      </c>
      <c r="C45" s="2633">
        <f t="shared" si="92"/>
        <v>181.69567812247232</v>
      </c>
      <c r="D45" s="2633">
        <f t="shared" si="76"/>
        <v>181.69567812247232</v>
      </c>
      <c r="E45" s="2633">
        <f t="shared" si="93"/>
        <v>286.13517466736738</v>
      </c>
      <c r="F45" s="2633">
        <f t="shared" si="93"/>
        <v>165.47535084591149</v>
      </c>
      <c r="G45" s="3440">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2602</v>
      </c>
      <c r="B46" s="2633">
        <f t="shared" si="92"/>
        <v>208.83454537875372</v>
      </c>
      <c r="C46" s="2633">
        <f t="shared" si="92"/>
        <v>183.77230517090351</v>
      </c>
      <c r="D46" s="2633">
        <f t="shared" si="76"/>
        <v>183.77230517090351</v>
      </c>
      <c r="E46" s="2633">
        <f t="shared" si="93"/>
        <v>281.10342338870947</v>
      </c>
      <c r="F46" s="2633">
        <f t="shared" si="93"/>
        <v>168.97309388942256</v>
      </c>
      <c r="G46" s="3441">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2603</v>
      </c>
      <c r="B47" s="2663">
        <v>214</v>
      </c>
      <c r="C47" s="2663">
        <v>188</v>
      </c>
      <c r="D47" s="2663">
        <f t="shared" si="76"/>
        <v>188</v>
      </c>
      <c r="E47" s="2663">
        <v>289</v>
      </c>
      <c r="F47" s="2664">
        <v>166</v>
      </c>
      <c r="G47" s="3439">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2604</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0">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2605</v>
      </c>
      <c r="B49" s="2633">
        <f t="shared" si="94"/>
        <v>206.31694671589116</v>
      </c>
      <c r="C49" s="2633">
        <f t="shared" si="94"/>
        <v>183.61041121036101</v>
      </c>
      <c r="D49" s="2633">
        <f t="shared" si="76"/>
        <v>183.61041121036101</v>
      </c>
      <c r="E49" s="2633">
        <f t="shared" si="95"/>
        <v>276.66850301795557</v>
      </c>
      <c r="F49" s="2633">
        <f t="shared" si="95"/>
        <v>165.1360938278614</v>
      </c>
      <c r="G49" s="3440">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2606</v>
      </c>
      <c r="B50" s="2666">
        <f t="shared" si="94"/>
        <v>196.62341248059772</v>
      </c>
      <c r="C50" s="2666">
        <f t="shared" si="94"/>
        <v>170.99125648199012</v>
      </c>
      <c r="D50" s="2666">
        <f t="shared" si="76"/>
        <v>170.99125648199012</v>
      </c>
      <c r="E50" s="2666">
        <f t="shared" si="95"/>
        <v>266.07857570490052</v>
      </c>
      <c r="F50" s="2666">
        <f t="shared" si="95"/>
        <v>154.53499328828505</v>
      </c>
      <c r="G50" s="3441">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2607</v>
      </c>
      <c r="B51" s="2625">
        <v>188</v>
      </c>
      <c r="C51" s="2625">
        <v>165</v>
      </c>
      <c r="D51" s="2625">
        <f t="shared" si="76"/>
        <v>165</v>
      </c>
      <c r="E51" s="2625">
        <v>254</v>
      </c>
      <c r="F51" s="2626">
        <v>148</v>
      </c>
      <c r="G51" s="3439">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2608</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0">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2609</v>
      </c>
      <c r="B53" s="2633">
        <f t="shared" si="98"/>
        <v>168.82017748715555</v>
      </c>
      <c r="C53" s="2633">
        <f t="shared" si="98"/>
        <v>148.06267029972753</v>
      </c>
      <c r="D53" s="2633">
        <f t="shared" si="76"/>
        <v>148.06267029972753</v>
      </c>
      <c r="E53" s="2633">
        <f t="shared" si="99"/>
        <v>216.46288379323747</v>
      </c>
      <c r="F53" s="2633">
        <f t="shared" si="99"/>
        <v>134.23529411764704</v>
      </c>
      <c r="G53" s="3440">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2610</v>
      </c>
      <c r="B54" s="2633">
        <f t="shared" si="98"/>
        <v>163.84913591779542</v>
      </c>
      <c r="C54" s="2633">
        <f t="shared" si="98"/>
        <v>145.0283378746594</v>
      </c>
      <c r="D54" s="2633">
        <f t="shared" si="76"/>
        <v>145.0283378746594</v>
      </c>
      <c r="E54" s="2633">
        <f t="shared" si="99"/>
        <v>204.95180722891567</v>
      </c>
      <c r="F54" s="2633">
        <f t="shared" si="99"/>
        <v>125.95920303605313</v>
      </c>
      <c r="G54" s="3441">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2611</v>
      </c>
      <c r="B55" s="2647">
        <v>159</v>
      </c>
      <c r="C55" s="2647">
        <v>141</v>
      </c>
      <c r="D55" s="2647">
        <f t="shared" si="76"/>
        <v>141</v>
      </c>
      <c r="E55" s="2647">
        <v>195</v>
      </c>
      <c r="F55" s="2648">
        <v>122</v>
      </c>
      <c r="G55" s="3439">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2612</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0">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2613</v>
      </c>
      <c r="B57" s="2633">
        <f t="shared" si="102"/>
        <v>146.57412060301507</v>
      </c>
      <c r="C57" s="2633">
        <f t="shared" si="102"/>
        <v>136.46831955922866</v>
      </c>
      <c r="D57" s="2633">
        <f t="shared" si="76"/>
        <v>136.46831955922866</v>
      </c>
      <c r="E57" s="2633">
        <f t="shared" si="103"/>
        <v>166.73864894795128</v>
      </c>
      <c r="F57" s="2633">
        <f t="shared" si="103"/>
        <v>115.05882352941177</v>
      </c>
      <c r="G57" s="3440">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2614</v>
      </c>
      <c r="B58" s="2633">
        <f t="shared" si="102"/>
        <v>144.04145728643215</v>
      </c>
      <c r="C58" s="2633">
        <f t="shared" si="102"/>
        <v>136.12396694214877</v>
      </c>
      <c r="D58" s="2633">
        <f t="shared" si="76"/>
        <v>136.12396694214877</v>
      </c>
      <c r="E58" s="2633">
        <f t="shared" si="103"/>
        <v>158.32225913621264</v>
      </c>
      <c r="F58" s="2633">
        <f t="shared" si="103"/>
        <v>114.04278074866311</v>
      </c>
      <c r="G58" s="3441">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2615</v>
      </c>
      <c r="B59" s="2647">
        <v>138</v>
      </c>
      <c r="C59" s="2647">
        <v>131</v>
      </c>
      <c r="D59" s="2647">
        <f t="shared" si="76"/>
        <v>131</v>
      </c>
      <c r="E59" s="2647">
        <v>155</v>
      </c>
      <c r="F59" s="2648">
        <v>114</v>
      </c>
      <c r="G59" s="3439">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2616</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0">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2617</v>
      </c>
      <c r="B61" s="2633">
        <f t="shared" si="106"/>
        <v>124.29032258064517</v>
      </c>
      <c r="C61" s="2633">
        <f t="shared" si="106"/>
        <v>123.8968609865471</v>
      </c>
      <c r="D61" s="2633">
        <f t="shared" si="76"/>
        <v>123.8968609865471</v>
      </c>
      <c r="E61" s="2633">
        <f t="shared" si="107"/>
        <v>138.00507614213197</v>
      </c>
      <c r="F61" s="2633">
        <f t="shared" si="107"/>
        <v>107.96106557377048</v>
      </c>
      <c r="G61" s="3440">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2618</v>
      </c>
      <c r="B62" s="2633">
        <f t="shared" si="106"/>
        <v>122.57204301075269</v>
      </c>
      <c r="C62" s="2633">
        <f t="shared" si="106"/>
        <v>123.4932735426009</v>
      </c>
      <c r="D62" s="2633">
        <f t="shared" si="76"/>
        <v>123.4932735426009</v>
      </c>
      <c r="E62" s="2633">
        <f t="shared" si="107"/>
        <v>129.82233502538071</v>
      </c>
      <c r="F62" s="2633">
        <f t="shared" si="107"/>
        <v>107.39446721311475</v>
      </c>
      <c r="G62" s="3441">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2619</v>
      </c>
      <c r="B63" s="2663">
        <v>121</v>
      </c>
      <c r="C63" s="2663">
        <v>122</v>
      </c>
      <c r="D63" s="2663">
        <f t="shared" si="76"/>
        <v>122</v>
      </c>
      <c r="E63" s="2663">
        <v>124</v>
      </c>
      <c r="F63" s="2664">
        <v>107</v>
      </c>
      <c r="G63" s="3439">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2620</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0">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2621</v>
      </c>
      <c r="B65" s="2633">
        <f t="shared" si="110"/>
        <v>116.99099099099099</v>
      </c>
      <c r="C65" s="2633">
        <f t="shared" si="110"/>
        <v>118.84848484848486</v>
      </c>
      <c r="D65" s="2633">
        <f t="shared" si="76"/>
        <v>118.84848484848486</v>
      </c>
      <c r="E65" s="2633">
        <f t="shared" si="111"/>
        <v>117.60960960960961</v>
      </c>
      <c r="F65" s="2633">
        <f t="shared" si="111"/>
        <v>104</v>
      </c>
      <c r="G65" s="3440">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2622</v>
      </c>
      <c r="B66" s="2666">
        <f t="shared" si="110"/>
        <v>112.48648648648648</v>
      </c>
      <c r="C66" s="2666">
        <f t="shared" si="110"/>
        <v>115.21212121212122</v>
      </c>
      <c r="D66" s="2666">
        <f t="shared" si="76"/>
        <v>115.21212121212122</v>
      </c>
      <c r="E66" s="2666">
        <f t="shared" si="111"/>
        <v>110.4024024024024</v>
      </c>
      <c r="F66" s="2666">
        <f t="shared" si="111"/>
        <v>104</v>
      </c>
      <c r="G66" s="3441">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2623</v>
      </c>
      <c r="B67" s="2684">
        <v>111</v>
      </c>
      <c r="C67" s="2684">
        <v>114</v>
      </c>
      <c r="D67" s="2684">
        <f t="shared" si="76"/>
        <v>114</v>
      </c>
      <c r="E67" s="2684">
        <v>108</v>
      </c>
      <c r="F67" s="2685">
        <v>104</v>
      </c>
      <c r="G67" s="3439">
        <v>2003</v>
      </c>
      <c r="H67" s="2674">
        <v>4</v>
      </c>
      <c r="I67" s="2686"/>
      <c r="J67" s="2686"/>
      <c r="K67" s="2686"/>
      <c r="L67" s="2686"/>
      <c r="N67" s="2687"/>
      <c r="O67" s="2686"/>
      <c r="P67" s="2686"/>
      <c r="Q67" s="2686"/>
      <c r="S67" s="2687"/>
      <c r="T67" s="2686"/>
      <c r="U67" s="2686"/>
      <c r="V67" s="2686"/>
      <c r="X67" s="2678"/>
      <c r="Y67" s="2678"/>
      <c r="Z67" s="2678"/>
    </row>
    <row r="68" spans="1:26">
      <c r="A68" s="2620" t="s">
        <v>2624</v>
      </c>
      <c r="B68" s="2688">
        <f t="shared" ref="B68:C70" si="112">B69+(B$67-B$71)/4</f>
        <v>109.75</v>
      </c>
      <c r="C68" s="2688">
        <f t="shared" si="112"/>
        <v>112.25</v>
      </c>
      <c r="D68" s="2688">
        <f t="shared" si="76"/>
        <v>112.25</v>
      </c>
      <c r="E68" s="2688">
        <f t="shared" ref="E68:F70" si="113">E69+(E$67-E$71)/4</f>
        <v>107.25</v>
      </c>
      <c r="F68" s="2688">
        <f t="shared" si="113"/>
        <v>103.5</v>
      </c>
      <c r="G68" s="3440">
        <v>2003</v>
      </c>
      <c r="H68" s="2644">
        <v>3</v>
      </c>
      <c r="I68" s="2686"/>
      <c r="J68" s="2686"/>
      <c r="K68" s="2686"/>
      <c r="L68" s="2686"/>
      <c r="X68" s="2678"/>
      <c r="Y68" s="2678"/>
      <c r="Z68" s="2678"/>
    </row>
    <row r="69" spans="1:26">
      <c r="A69" s="2620" t="s">
        <v>2625</v>
      </c>
      <c r="B69" s="2688">
        <f t="shared" si="112"/>
        <v>108.5</v>
      </c>
      <c r="C69" s="2688">
        <f t="shared" si="112"/>
        <v>110.5</v>
      </c>
      <c r="D69" s="2688">
        <f t="shared" si="76"/>
        <v>110.5</v>
      </c>
      <c r="E69" s="2688">
        <f t="shared" si="113"/>
        <v>106.5</v>
      </c>
      <c r="F69" s="2688">
        <f t="shared" si="113"/>
        <v>103</v>
      </c>
      <c r="G69" s="3440">
        <v>2003</v>
      </c>
      <c r="H69" s="2624">
        <v>2</v>
      </c>
      <c r="I69" s="2686"/>
      <c r="J69" s="2686"/>
      <c r="K69" s="2686"/>
      <c r="L69" s="2686"/>
      <c r="X69" s="2678"/>
      <c r="Y69" s="2678"/>
      <c r="Z69" s="2678"/>
    </row>
    <row r="70" spans="1:26" ht="13.5" thickBot="1">
      <c r="A70" s="2620" t="s">
        <v>2626</v>
      </c>
      <c r="B70" s="2688">
        <f t="shared" si="112"/>
        <v>107.25</v>
      </c>
      <c r="C70" s="2688">
        <f t="shared" si="112"/>
        <v>108.75</v>
      </c>
      <c r="D70" s="2688">
        <f t="shared" si="76"/>
        <v>108.75</v>
      </c>
      <c r="E70" s="2688">
        <f t="shared" si="113"/>
        <v>105.75</v>
      </c>
      <c r="F70" s="2688">
        <f t="shared" si="113"/>
        <v>102.5</v>
      </c>
      <c r="G70" s="3441">
        <v>2003</v>
      </c>
      <c r="H70" s="2689">
        <v>1</v>
      </c>
      <c r="I70" s="2686"/>
      <c r="J70" s="2686"/>
      <c r="K70" s="2686"/>
      <c r="L70" s="2686"/>
      <c r="S70" s="2628"/>
      <c r="T70" s="2629"/>
      <c r="U70" s="2629"/>
      <c r="X70" s="2678"/>
      <c r="Y70" s="2678"/>
      <c r="Z70" s="2678"/>
    </row>
    <row r="71" spans="1:26" ht="13.5" thickBot="1">
      <c r="A71" s="2620" t="s">
        <v>2627</v>
      </c>
      <c r="B71" s="2690">
        <v>106</v>
      </c>
      <c r="C71" s="2690">
        <v>107</v>
      </c>
      <c r="D71" s="2690">
        <f t="shared" si="76"/>
        <v>107</v>
      </c>
      <c r="E71" s="2690">
        <v>105</v>
      </c>
      <c r="F71" s="2691">
        <v>102</v>
      </c>
      <c r="G71" s="3439">
        <v>2002</v>
      </c>
      <c r="H71" s="2639">
        <v>4</v>
      </c>
      <c r="I71" s="2686"/>
      <c r="J71" s="2686"/>
      <c r="K71" s="2686"/>
      <c r="L71" s="2686"/>
      <c r="N71" s="2687"/>
      <c r="O71" s="2686"/>
      <c r="P71" s="2686"/>
      <c r="Q71" s="2686"/>
      <c r="S71" s="2687"/>
      <c r="T71" s="2686"/>
      <c r="U71" s="2686"/>
      <c r="V71" s="2686"/>
      <c r="X71" s="2678"/>
      <c r="Y71" s="2678"/>
      <c r="Z71" s="2678"/>
    </row>
    <row r="72" spans="1:26">
      <c r="A72" s="2620" t="s">
        <v>2628</v>
      </c>
      <c r="B72" s="2688">
        <f t="shared" ref="B72:C74" si="114">B73+(B$71-B$75)/4</f>
        <v>105</v>
      </c>
      <c r="C72" s="2688">
        <f t="shared" si="114"/>
        <v>106</v>
      </c>
      <c r="D72" s="2688">
        <f t="shared" si="76"/>
        <v>106</v>
      </c>
      <c r="E72" s="2688">
        <f t="shared" ref="E72:F74" si="115">E73+(E$71-E$75)/4</f>
        <v>104.5</v>
      </c>
      <c r="F72" s="2688">
        <f t="shared" si="115"/>
        <v>101.5</v>
      </c>
      <c r="G72" s="3440">
        <v>2002</v>
      </c>
      <c r="H72" s="2644">
        <v>3</v>
      </c>
      <c r="I72" s="2686"/>
      <c r="J72" s="2686"/>
      <c r="K72" s="2686"/>
      <c r="L72" s="2686"/>
      <c r="X72" s="2678"/>
      <c r="Y72" s="2678"/>
      <c r="Z72" s="2678"/>
    </row>
    <row r="73" spans="1:26">
      <c r="A73" s="2620" t="s">
        <v>2629</v>
      </c>
      <c r="B73" s="2688">
        <f t="shared" si="114"/>
        <v>104</v>
      </c>
      <c r="C73" s="2688">
        <f t="shared" si="114"/>
        <v>105</v>
      </c>
      <c r="D73" s="2688">
        <f t="shared" si="76"/>
        <v>105</v>
      </c>
      <c r="E73" s="2688">
        <f t="shared" si="115"/>
        <v>104</v>
      </c>
      <c r="F73" s="2688">
        <f t="shared" si="115"/>
        <v>101</v>
      </c>
      <c r="G73" s="3440">
        <v>2002</v>
      </c>
      <c r="H73" s="2624">
        <v>2</v>
      </c>
      <c r="I73" s="2686"/>
      <c r="J73" s="2686"/>
      <c r="K73" s="2686"/>
      <c r="L73" s="2686"/>
      <c r="X73" s="2678"/>
      <c r="Y73" s="2678"/>
      <c r="Z73" s="2678"/>
    </row>
    <row r="74" spans="1:26" s="2655" customFormat="1" ht="13.5" thickBot="1">
      <c r="A74" s="2651" t="s">
        <v>2630</v>
      </c>
      <c r="B74" s="2692">
        <f t="shared" si="114"/>
        <v>103</v>
      </c>
      <c r="C74" s="2692">
        <f t="shared" si="114"/>
        <v>104</v>
      </c>
      <c r="D74" s="2692">
        <f t="shared" si="76"/>
        <v>104</v>
      </c>
      <c r="E74" s="2692">
        <f t="shared" si="115"/>
        <v>103.5</v>
      </c>
      <c r="F74" s="2692">
        <f t="shared" si="115"/>
        <v>100.5</v>
      </c>
      <c r="G74" s="3441">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2631</v>
      </c>
      <c r="G77" s="2702"/>
      <c r="N77" s="2702"/>
      <c r="S77" s="2702"/>
    </row>
    <row r="78" spans="1:26" s="2701" customFormat="1">
      <c r="A78" s="2701" t="s">
        <v>2632</v>
      </c>
      <c r="G78" s="2702"/>
      <c r="N78" s="2702"/>
      <c r="S78" s="2702"/>
    </row>
    <row r="79" spans="1:26" s="2701" customFormat="1">
      <c r="A79" s="2701" t="s">
        <v>2633</v>
      </c>
      <c r="G79" s="2702"/>
      <c r="I79" s="2703"/>
      <c r="J79" s="2703"/>
      <c r="K79" s="2703"/>
      <c r="L79" s="2703"/>
      <c r="N79" s="2704"/>
      <c r="O79" s="2703"/>
      <c r="P79" s="2703"/>
      <c r="Q79" s="2703"/>
      <c r="S79" s="2704"/>
      <c r="T79" s="2703"/>
      <c r="U79" s="2703"/>
      <c r="V79" s="2703"/>
    </row>
    <row r="80" spans="1:26" s="2701" customFormat="1">
      <c r="A80" s="2701" t="s">
        <v>2634</v>
      </c>
      <c r="G80" s="2702"/>
      <c r="N80" s="2702"/>
      <c r="S80" s="2702"/>
    </row>
    <row r="87" spans="7:22" ht="13.5" thickBot="1"/>
    <row r="88" spans="7:22">
      <c r="G88" s="2627"/>
      <c r="S88" s="2705" t="s">
        <v>2635</v>
      </c>
      <c r="T88" s="2706" t="s">
        <v>2636</v>
      </c>
      <c r="U88" s="2706" t="s">
        <v>2637</v>
      </c>
      <c r="V88" s="2706" t="s">
        <v>2638</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2951</v>
      </c>
      <c r="B1" s="3058"/>
      <c r="C1" s="3058"/>
      <c r="D1" s="3058"/>
      <c r="E1" s="3058"/>
      <c r="F1" s="3058"/>
    </row>
    <row r="2" spans="1:6" ht="14.25">
      <c r="A2" s="3059" t="s">
        <v>2946</v>
      </c>
      <c r="B2" s="3060" t="e">
        <f ca="1">SUMIF(B7:B14,"&lt;&gt;#ref!",B7:B14)</f>
        <v>#DIV/0!</v>
      </c>
      <c r="C2" s="3059" t="s">
        <v>2947</v>
      </c>
      <c r="D2" s="3058"/>
      <c r="E2" s="3058"/>
      <c r="F2" s="3058"/>
    </row>
    <row r="3" spans="1:6" ht="14.25">
      <c r="A3" s="3059" t="s">
        <v>2979</v>
      </c>
      <c r="B3" s="3060" t="e">
        <f ca="1">ROUND(B2*10000/E3,0)</f>
        <v>#DIV/0!</v>
      </c>
      <c r="C3" s="3059" t="s">
        <v>2078</v>
      </c>
      <c r="D3" s="3059" t="s">
        <v>2948</v>
      </c>
      <c r="E3" s="3060">
        <f ca="1">SUMIF(E7:E14,"&lt;&gt;#ref!",E7:E14)</f>
        <v>0</v>
      </c>
      <c r="F3" s="3058"/>
    </row>
    <row r="4" spans="1:6" ht="14.25">
      <c r="A4" s="3059" t="s">
        <v>2955</v>
      </c>
      <c r="B4" s="3060" t="e">
        <f ca="1">ROUND(B2*10000/E4,0)</f>
        <v>#DIV/0!</v>
      </c>
      <c r="C4" s="3059" t="s">
        <v>2078</v>
      </c>
      <c r="D4" s="3059" t="s">
        <v>2956</v>
      </c>
      <c r="E4" s="3060">
        <f ca="1">SUMIF(F7:F14,"&lt;&gt;#ref!",F7:F14)</f>
        <v>0</v>
      </c>
      <c r="F4" s="3058"/>
    </row>
    <row r="5" spans="1:6" ht="14.25">
      <c r="A5" s="3061"/>
      <c r="B5" s="1867"/>
      <c r="C5" s="1867"/>
      <c r="D5" s="1867"/>
      <c r="E5" s="1867"/>
      <c r="F5" s="3058"/>
    </row>
    <row r="6" spans="1:6" ht="28.5">
      <c r="A6" s="3062" t="s">
        <v>2952</v>
      </c>
      <c r="B6" s="3059" t="s">
        <v>2949</v>
      </c>
      <c r="C6" s="3060"/>
      <c r="D6" s="1867"/>
      <c r="E6" s="3059" t="s">
        <v>2950</v>
      </c>
      <c r="F6" s="3059" t="s">
        <v>2954</v>
      </c>
    </row>
    <row r="7" spans="1:6" ht="14.25">
      <c r="A7" s="260" t="s">
        <v>2953</v>
      </c>
      <c r="B7" s="3063" t="e">
        <f ca="1">SUMIF(INDIRECT("'"&amp;A7&amp;"'"&amp;"!A:A"),"总价",INDIRECT("'"&amp;A7&amp;"'"&amp;"!B:B"))</f>
        <v>#DIV/0!</v>
      </c>
      <c r="C7" s="3059" t="s">
        <v>2947</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2947</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2947</v>
      </c>
      <c r="D9" s="1867"/>
      <c r="E9" s="3064" t="e">
        <f t="shared" ca="1" si="1"/>
        <v>#REF!</v>
      </c>
      <c r="F9" s="3064" t="e">
        <f t="shared" ca="1" si="2"/>
        <v>#REF!</v>
      </c>
    </row>
    <row r="10" spans="1:6" ht="14.25">
      <c r="A10" s="260"/>
      <c r="B10" s="3063" t="e">
        <f t="shared" ca="1" si="0"/>
        <v>#REF!</v>
      </c>
      <c r="C10" s="3059" t="s">
        <v>2947</v>
      </c>
      <c r="D10" s="1867"/>
      <c r="E10" s="3064" t="e">
        <f t="shared" ca="1" si="1"/>
        <v>#REF!</v>
      </c>
      <c r="F10" s="3064" t="e">
        <f t="shared" ca="1" si="2"/>
        <v>#REF!</v>
      </c>
    </row>
    <row r="11" spans="1:6" ht="14.25">
      <c r="A11" s="260"/>
      <c r="B11" s="3063" t="e">
        <f t="shared" ca="1" si="0"/>
        <v>#REF!</v>
      </c>
      <c r="C11" s="3059" t="s">
        <v>2947</v>
      </c>
      <c r="D11" s="1867"/>
      <c r="E11" s="3064" t="e">
        <f t="shared" ca="1" si="1"/>
        <v>#REF!</v>
      </c>
      <c r="F11" s="3064" t="e">
        <f t="shared" ca="1" si="2"/>
        <v>#REF!</v>
      </c>
    </row>
    <row r="12" spans="1:6" ht="14.25">
      <c r="A12" s="260"/>
      <c r="B12" s="3063" t="e">
        <f t="shared" ca="1" si="0"/>
        <v>#REF!</v>
      </c>
      <c r="C12" s="3059" t="s">
        <v>2947</v>
      </c>
      <c r="D12" s="1867"/>
      <c r="E12" s="3064" t="e">
        <f t="shared" ca="1" si="1"/>
        <v>#REF!</v>
      </c>
      <c r="F12" s="3064" t="e">
        <f t="shared" ca="1" si="2"/>
        <v>#REF!</v>
      </c>
    </row>
    <row r="13" spans="1:6" ht="14.25">
      <c r="A13" s="260"/>
      <c r="B13" s="3063" t="e">
        <f t="shared" ca="1" si="0"/>
        <v>#REF!</v>
      </c>
      <c r="C13" s="3059" t="s">
        <v>2947</v>
      </c>
      <c r="D13" s="1867"/>
      <c r="E13" s="3064" t="e">
        <f t="shared" ca="1" si="1"/>
        <v>#REF!</v>
      </c>
      <c r="F13" s="3064" t="e">
        <f t="shared" ca="1" si="2"/>
        <v>#REF!</v>
      </c>
    </row>
    <row r="14" spans="1:6" ht="14.25">
      <c r="A14" s="3057"/>
      <c r="B14" s="3063" t="e">
        <f t="shared" ca="1" si="0"/>
        <v>#REF!</v>
      </c>
      <c r="C14" s="3059" t="s">
        <v>2947</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F12" sqref="F12"/>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923</v>
      </c>
      <c r="D1" s="2036"/>
      <c r="E1" s="2352" t="s">
        <v>2374</v>
      </c>
      <c r="F1" s="2353">
        <f ca="1">J54</f>
        <v>68.5</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8" t="s">
        <v>2463</v>
      </c>
      <c r="C8" s="1811">
        <f ca="1">ROUND(F8*F10*F9*(1-F11)/10000,0)</f>
        <v>0</v>
      </c>
      <c r="D8" s="1808" t="s">
        <v>2534</v>
      </c>
      <c r="E8" s="61" t="s">
        <v>637</v>
      </c>
      <c r="F8" s="785">
        <f ca="1">INDIRECT("'数据-取费表'!u"&amp;$G$1)</f>
        <v>0</v>
      </c>
      <c r="G8" s="1579"/>
      <c r="H8" s="2469" t="s">
        <v>1824</v>
      </c>
      <c r="I8" s="3448" t="s">
        <v>2463</v>
      </c>
      <c r="J8" s="783">
        <f ca="1">ROUND(M8*M10*M9*(1-M11)/10000,0)</f>
        <v>0</v>
      </c>
      <c r="K8" s="341" t="s">
        <v>2534</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32130</v>
      </c>
      <c r="G9" s="1579"/>
      <c r="H9" s="2454"/>
      <c r="I9" s="3449"/>
      <c r="J9" s="788"/>
      <c r="K9" s="789"/>
      <c r="L9" s="784" t="s">
        <v>1739</v>
      </c>
      <c r="M9" s="785">
        <f ca="1">F9</f>
        <v>32130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2976</v>
      </c>
      <c r="E12" s="2463" t="s">
        <v>2464</v>
      </c>
      <c r="F12" s="2586" t="s">
        <v>3016</v>
      </c>
      <c r="G12" s="1579"/>
      <c r="H12" s="2526" t="s">
        <v>1825</v>
      </c>
      <c r="I12" s="2531" t="s">
        <v>2459</v>
      </c>
      <c r="J12" s="783">
        <f ca="1">ROUND(IF(M12="押一",J8/12*M13,IF(M12="押二",J8/12*2*M13,IF(M12="押三",J8/12*3*M13,J13*M13))),0)</f>
        <v>0</v>
      </c>
      <c r="K12" s="2466" t="s">
        <v>2976</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9257</v>
      </c>
      <c r="D16" s="1965" t="s">
        <v>646</v>
      </c>
      <c r="E16" s="1966"/>
      <c r="F16" s="805"/>
      <c r="G16" s="1579"/>
      <c r="H16" s="803" t="s">
        <v>2069</v>
      </c>
      <c r="I16" s="2217" t="s">
        <v>2825</v>
      </c>
      <c r="J16" s="53">
        <f ca="1">C31</f>
        <v>13747</v>
      </c>
      <c r="K16" s="26"/>
      <c r="L16" s="801"/>
      <c r="M16" s="802"/>
    </row>
    <row r="17" spans="1:25" s="2050" customFormat="1" ht="18" customHeight="1">
      <c r="A17" s="803" t="s">
        <v>1849</v>
      </c>
      <c r="B17" s="784" t="s">
        <v>647</v>
      </c>
      <c r="C17" s="53">
        <f ca="1">ROUND(C16*F17,0)</f>
        <v>278</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193</v>
      </c>
      <c r="D18" s="784" t="s">
        <v>648</v>
      </c>
      <c r="E18" s="784" t="s">
        <v>649</v>
      </c>
      <c r="F18" s="809">
        <f ca="1">IF(INDIRECT("'数据-取费表'!c"&amp;$G$1)="住宅",'数据-取费表'!B34,0)</f>
        <v>0.03</v>
      </c>
      <c r="G18" s="1579"/>
      <c r="H18" s="797" t="s">
        <v>1827</v>
      </c>
      <c r="I18" s="798" t="s">
        <v>651</v>
      </c>
      <c r="J18" s="799">
        <f ca="1">ROUND(J19+J24+J25+J26,0)</f>
        <v>129</v>
      </c>
      <c r="K18" s="26" t="s">
        <v>652</v>
      </c>
      <c r="L18" s="1968"/>
      <c r="M18" s="56"/>
    </row>
    <row r="19" spans="1:25" s="2050" customFormat="1" ht="18" customHeight="1">
      <c r="A19" s="803" t="s">
        <v>1851</v>
      </c>
      <c r="B19" s="784" t="s">
        <v>653</v>
      </c>
      <c r="C19" s="53">
        <f ca="1">ROUND(F19*(INDIRECT("'数据-取费表'!k"&amp;$G$1)+INDIRECT("'数据-取费表'!S"&amp;$G$1))/10000,0)</f>
        <v>694</v>
      </c>
      <c r="D19" s="784" t="s">
        <v>654</v>
      </c>
      <c r="E19" s="784" t="s">
        <v>655</v>
      </c>
      <c r="F19" s="56">
        <f>'数据-取费表'!B35</f>
        <v>150</v>
      </c>
      <c r="G19" s="1580"/>
      <c r="H19" s="803" t="s">
        <v>2069</v>
      </c>
      <c r="I19" s="784" t="s">
        <v>656</v>
      </c>
      <c r="J19" s="53">
        <f ca="1">ROUND(IF(项目基本情况!B11="自然人",J7*M19,J20+J21+J22),0)</f>
        <v>129</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139</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10561</v>
      </c>
      <c r="D21" s="261" t="s">
        <v>663</v>
      </c>
      <c r="E21" s="1968"/>
      <c r="F21" s="56"/>
      <c r="G21" s="1579"/>
      <c r="H21" s="1816" t="s">
        <v>1849</v>
      </c>
      <c r="I21" s="784" t="s">
        <v>664</v>
      </c>
      <c r="J21" s="53">
        <f ca="1">IF(K21="按租金收入计税",ROUND(J7*M21,1),ROUND(C31*F35*0.7,1))</f>
        <v>115.5</v>
      </c>
      <c r="K21" s="811" t="s">
        <v>665</v>
      </c>
      <c r="L21" s="784" t="s">
        <v>649</v>
      </c>
      <c r="M21" s="809">
        <f>IF(K21="按租金收入计税",'数据-取费表'!B51,'数据-取费表'!B50)</f>
        <v>1.2E-2</v>
      </c>
    </row>
    <row r="22" spans="1:25" s="2050" customFormat="1" ht="18" customHeight="1">
      <c r="A22" s="803" t="s">
        <v>1877</v>
      </c>
      <c r="B22" s="784" t="s">
        <v>666</v>
      </c>
      <c r="C22" s="53">
        <f ca="1">ROUND(C21*F22,0)</f>
        <v>211</v>
      </c>
      <c r="D22" s="812" t="s">
        <v>667</v>
      </c>
      <c r="E22" s="784" t="s">
        <v>649</v>
      </c>
      <c r="F22" s="809">
        <f>'数据-取费表'!B37</f>
        <v>0.02</v>
      </c>
      <c r="G22" s="1580"/>
      <c r="H22" s="1818" t="s">
        <v>1850</v>
      </c>
      <c r="I22" s="1808" t="s">
        <v>668</v>
      </c>
      <c r="J22" s="54">
        <f ca="1">ROUND(M22*M23/10000,0)</f>
        <v>13</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1.4999999999999999E-2</v>
      </c>
      <c r="G23" s="1580"/>
      <c r="H23" s="1819"/>
      <c r="I23" s="1810"/>
      <c r="J23" s="69"/>
      <c r="K23" s="816"/>
      <c r="L23" s="784" t="s">
        <v>674</v>
      </c>
      <c r="M23" s="785">
        <f ca="1">INDIRECT("'数据-取费表'!r"&amp;$G$1)</f>
        <v>16174.01</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382</v>
      </c>
      <c r="D25" s="2536" t="str">
        <f>IF(F25&lt;=1,"(建造成本+管理费用)×利率×(建设周期÷2)","(建造成本+管理费用)×((1+利率)^(建设周期÷2)-1)")</f>
        <v>(建造成本+管理费用)×((1+利率)^(建设周期÷2)-1)</v>
      </c>
      <c r="E25" s="784" t="s">
        <v>678</v>
      </c>
      <c r="F25" s="640">
        <f>'数据-取费表'!B20</f>
        <v>1.5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-129</v>
      </c>
      <c r="K27" s="1965" t="s">
        <v>700</v>
      </c>
      <c r="L27" s="1967"/>
      <c r="M27" s="820"/>
    </row>
    <row r="28" spans="1:25" ht="18" customHeight="1">
      <c r="A28" s="803" t="s">
        <v>1875</v>
      </c>
      <c r="B28" s="784" t="s">
        <v>2438</v>
      </c>
      <c r="C28" s="53">
        <f ca="1">ROUND((C21+C22)*F28,0)</f>
        <v>1616</v>
      </c>
      <c r="D28" s="812" t="s">
        <v>701</v>
      </c>
      <c r="E28" s="795" t="s">
        <v>702</v>
      </c>
      <c r="F28" s="794">
        <f ca="1">INDIRECT("'数据-取费表'!q"&amp;$G$1)</f>
        <v>0.15</v>
      </c>
      <c r="G28" s="1579"/>
      <c r="H28" s="781" t="s">
        <v>1837</v>
      </c>
      <c r="I28" s="782" t="s">
        <v>703</v>
      </c>
      <c r="J28" s="783">
        <f ca="1">IF(J7&lt;&gt;0,ROUND(J27*(1-((1+M30)/(1+M28))^M29)/(M28-M30),0),0)</f>
        <v>0</v>
      </c>
      <c r="K28" s="814" t="s">
        <v>704</v>
      </c>
      <c r="L28" s="784" t="s">
        <v>705</v>
      </c>
      <c r="M28" s="794">
        <f ca="1">INDIRECT("'数据-取费表'!I"&amp;$G$1)</f>
        <v>4.4999999999999998E-2</v>
      </c>
    </row>
    <row r="29" spans="1:25" ht="18" customHeight="1">
      <c r="A29" s="803" t="s">
        <v>1849</v>
      </c>
      <c r="B29" s="784" t="s">
        <v>686</v>
      </c>
      <c r="C29" s="53">
        <f ca="1">ROUND(F23*F28,4)</f>
        <v>2.3E-3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13747</v>
      </c>
      <c r="D31" s="2510"/>
      <c r="E31" s="2511"/>
      <c r="F31" s="2512"/>
      <c r="G31" s="1580"/>
      <c r="H31" s="823" t="s">
        <v>1872</v>
      </c>
      <c r="I31" s="2965" t="s">
        <v>2824</v>
      </c>
      <c r="J31" s="825">
        <f ca="1">ROUND(J28/(1+F45)^F46,0)</f>
        <v>0</v>
      </c>
      <c r="K31" s="826" t="s">
        <v>688</v>
      </c>
      <c r="L31" s="827"/>
      <c r="M31" s="828">
        <f ca="1">INDIRECT("'数据-取费表'!k"&amp;$G$1)</f>
        <v>32130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128</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128.4</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115.5</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12.9</v>
      </c>
      <c r="D36" s="814" t="s">
        <v>669</v>
      </c>
      <c r="E36" s="784" t="s">
        <v>670</v>
      </c>
      <c r="F36" s="640">
        <f>'数据-取费表'!B52</f>
        <v>8</v>
      </c>
      <c r="G36" s="2048"/>
      <c r="H36" s="2051"/>
      <c r="I36" s="3447"/>
      <c r="J36" s="2065"/>
      <c r="K36" s="2066"/>
      <c r="L36" s="2065"/>
      <c r="M36" s="2065"/>
    </row>
    <row r="37" spans="1:18" ht="18" customHeight="1">
      <c r="A37" s="815"/>
      <c r="B37" s="793"/>
      <c r="C37" s="69"/>
      <c r="D37" s="816"/>
      <c r="E37" s="784" t="s">
        <v>674</v>
      </c>
      <c r="F37" s="785">
        <f ca="1">INDIRECT("'数据-取费表'!r"&amp;$G$1)</f>
        <v>16174.01</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-128</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2964</v>
      </c>
      <c r="F43" s="3076">
        <f ca="1">INDIRECT("'数据-取费表'!j"&amp;$G$1)</f>
        <v>8.5000000000000006E-2</v>
      </c>
      <c r="G43" s="2048"/>
      <c r="H43" s="2048"/>
      <c r="I43" s="2048"/>
      <c r="J43" s="2048"/>
      <c r="K43" s="2069"/>
      <c r="L43" s="2048"/>
      <c r="M43" s="2048"/>
    </row>
    <row r="44" spans="1:18" ht="18" customHeight="1">
      <c r="A44" s="803" t="s">
        <v>1878</v>
      </c>
      <c r="B44" s="835" t="s">
        <v>713</v>
      </c>
      <c r="C44" s="1353">
        <f ca="1">C42-C43</f>
        <v>-128</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0.04</v>
      </c>
      <c r="G45" s="2048"/>
      <c r="H45" s="2048"/>
      <c r="I45" s="2048"/>
      <c r="J45" s="2048"/>
      <c r="K45" s="2069"/>
      <c r="L45" s="2048"/>
      <c r="M45" s="2048"/>
    </row>
    <row r="46" spans="1:18" ht="18" customHeight="1" thickBot="1">
      <c r="A46" s="831"/>
      <c r="B46" s="1355"/>
      <c r="C46" s="1356"/>
      <c r="D46" s="1357"/>
      <c r="E46" s="3077"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f>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70</v>
      </c>
      <c r="M48" s="3074" t="str">
        <f>IF(ISNUMBER(FIND("住宅",C1)),"住宅","非住宅")</f>
        <v>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70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13747</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2980</v>
      </c>
      <c r="J54" s="3106">
        <f ca="1">IF(M48="住宅",MAX(J52,L49-'数据-取费表'!B20),MIN(J52,L49-'数据-取费表'!B20))</f>
        <v>68.5</v>
      </c>
      <c r="K54" s="3452"/>
      <c r="L54" s="3453"/>
      <c r="O54" s="2366" t="s">
        <v>2388</v>
      </c>
      <c r="P54" s="2364" t="s">
        <v>2389</v>
      </c>
      <c r="Q54" s="2365">
        <f ca="1">J54</f>
        <v>68.5</v>
      </c>
      <c r="R54" s="2364" t="s">
        <v>2390</v>
      </c>
    </row>
    <row r="55" spans="1:18" s="2045" customFormat="1" ht="18" customHeight="1" thickBot="1">
      <c r="A55" s="2082"/>
      <c r="I55" s="311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70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f ca="1">L61</f>
        <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f ca="1">IF(OR(M48="住宅",L49&lt;J52),0,ROUND(L58*(L59/L60-1),0))</f>
        <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2944</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f ca="1">Q58+Q59</f>
        <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f ca="1">L61</f>
        <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-128</v>
      </c>
      <c r="R70" s="2368"/>
    </row>
    <row r="71" spans="1:18" s="2045" customFormat="1" ht="15.75" thickBot="1">
      <c r="A71" s="2082"/>
      <c r="B71" s="2083"/>
      <c r="C71" s="2083"/>
      <c r="K71" s="2072"/>
      <c r="O71" s="2366" t="s">
        <v>2399</v>
      </c>
      <c r="P71" s="2372" t="s">
        <v>2400</v>
      </c>
      <c r="Q71" s="2365">
        <f ca="1">C42</f>
        <v>-128</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8.5000000000000006E-2</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f ca="1">Q67+Q68</f>
        <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16174.01平方米。根据《建设工程规划许可证》[]、《出让合同》[]，估价对象规划建筑面积为46502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根据《国有土地使用证》[]，本次评估估价对象证载（地类）用途为居住。</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根据《国有土地使用证》[]，估价对象（分摊）出让国有建设用地使用权面积为16174.01平方米。根据《建设工程规划许可证》[]、《出让合同》[]，估价对象规划建筑面积为46502平方米。</v>
      </c>
    </row>
    <row r="21" spans="1:1" ht="18.75">
      <c r="A21" s="1777" t="s">
        <v>2074</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本次估价对象为出让国有建设用地使用权，《国有土地使用证》[]证载土地终止日期为住宅2089年5月15日。截至估价期日，出让国有建设用地使用权剩余土地使用年限为。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2471</v>
      </c>
      <c r="B1" s="3471"/>
      <c r="C1" s="3472"/>
      <c r="D1" s="3473">
        <f>SUM(I10,I15,I20,I21,I23)</f>
        <v>0</v>
      </c>
      <c r="E1" s="3473"/>
      <c r="F1" s="3473"/>
      <c r="G1" s="3473"/>
      <c r="H1" s="3473"/>
      <c r="I1" s="3474"/>
    </row>
    <row r="2" spans="1:9">
      <c r="A2" s="3460" t="s">
        <v>2472</v>
      </c>
      <c r="B2" s="3461" t="s">
        <v>2473</v>
      </c>
      <c r="C2" s="3461"/>
      <c r="D2" s="2472" t="s">
        <v>2474</v>
      </c>
      <c r="E2" s="2472" t="s">
        <v>2475</v>
      </c>
      <c r="F2" s="2472" t="s">
        <v>2476</v>
      </c>
      <c r="G2" s="2472" t="s">
        <v>2477</v>
      </c>
      <c r="H2" s="2472" t="s">
        <v>2478</v>
      </c>
      <c r="I2" s="2473" t="s">
        <v>2479</v>
      </c>
    </row>
    <row r="3" spans="1:9">
      <c r="A3" s="3460"/>
      <c r="B3" s="3461" t="s">
        <v>2480</v>
      </c>
      <c r="C3" s="3461"/>
      <c r="D3" s="2474"/>
      <c r="E3" s="2472"/>
      <c r="F3" s="2475"/>
      <c r="G3" s="2475"/>
      <c r="H3" s="2476"/>
      <c r="I3" s="2477">
        <f>ROUND(D3*E3*F3*G3*H3/10000,0)</f>
        <v>0</v>
      </c>
    </row>
    <row r="4" spans="1:9">
      <c r="A4" s="3460"/>
      <c r="B4" s="3461" t="s">
        <v>2481</v>
      </c>
      <c r="C4" s="3461"/>
      <c r="D4" s="2474"/>
      <c r="E4" s="2472"/>
      <c r="F4" s="2475"/>
      <c r="G4" s="2475"/>
      <c r="H4" s="2476"/>
      <c r="I4" s="2477">
        <f t="shared" ref="I4:I9" si="0">ROUND(D4*E4*F4*G4*H4/10000,0)</f>
        <v>0</v>
      </c>
    </row>
    <row r="5" spans="1:9">
      <c r="A5" s="3460"/>
      <c r="B5" s="3461" t="s">
        <v>2482</v>
      </c>
      <c r="C5" s="3461"/>
      <c r="D5" s="2474"/>
      <c r="E5" s="2472"/>
      <c r="F5" s="2475"/>
      <c r="G5" s="2475"/>
      <c r="H5" s="2476"/>
      <c r="I5" s="2477">
        <f t="shared" si="0"/>
        <v>0</v>
      </c>
    </row>
    <row r="6" spans="1:9">
      <c r="A6" s="3460"/>
      <c r="B6" s="3461" t="s">
        <v>2483</v>
      </c>
      <c r="C6" s="3461"/>
      <c r="D6" s="2474"/>
      <c r="E6" s="2472"/>
      <c r="F6" s="2475"/>
      <c r="G6" s="2475"/>
      <c r="H6" s="2476"/>
      <c r="I6" s="2477">
        <f t="shared" si="0"/>
        <v>0</v>
      </c>
    </row>
    <row r="7" spans="1:9">
      <c r="A7" s="3460"/>
      <c r="B7" s="3461" t="s">
        <v>2484</v>
      </c>
      <c r="C7" s="3461"/>
      <c r="D7" s="2474"/>
      <c r="E7" s="2472"/>
      <c r="F7" s="2475"/>
      <c r="G7" s="2475"/>
      <c r="H7" s="2476"/>
      <c r="I7" s="2477">
        <f t="shared" si="0"/>
        <v>0</v>
      </c>
    </row>
    <row r="8" spans="1:9">
      <c r="A8" s="3460"/>
      <c r="B8" s="3461" t="s">
        <v>2485</v>
      </c>
      <c r="C8" s="3461"/>
      <c r="D8" s="2474"/>
      <c r="E8" s="2472"/>
      <c r="F8" s="2475"/>
      <c r="G8" s="2475"/>
      <c r="H8" s="2476"/>
      <c r="I8" s="2477">
        <f t="shared" si="0"/>
        <v>0</v>
      </c>
    </row>
    <row r="9" spans="1:9">
      <c r="A9" s="3460"/>
      <c r="B9" s="3461" t="s">
        <v>2486</v>
      </c>
      <c r="C9" s="3461"/>
      <c r="D9" s="2474"/>
      <c r="E9" s="2472"/>
      <c r="F9" s="2475"/>
      <c r="G9" s="2475"/>
      <c r="H9" s="2476"/>
      <c r="I9" s="2477">
        <f t="shared" si="0"/>
        <v>0</v>
      </c>
    </row>
    <row r="10" spans="1:9">
      <c r="A10" s="3460"/>
      <c r="B10" s="3462" t="s">
        <v>2487</v>
      </c>
      <c r="C10" s="3462"/>
      <c r="D10" s="2478">
        <v>527</v>
      </c>
      <c r="E10" s="2478" t="e">
        <f>ROUND(D1*10000/D10/H9,0)</f>
        <v>#DIV/0!</v>
      </c>
      <c r="F10" s="2479"/>
      <c r="G10" s="2479"/>
      <c r="H10" s="2480"/>
      <c r="I10" s="2481">
        <f>SUM(I3:I9)</f>
        <v>0</v>
      </c>
    </row>
    <row r="11" spans="1:9" ht="14.25">
      <c r="A11" s="3460" t="s">
        <v>2488</v>
      </c>
      <c r="B11" s="3461" t="s">
        <v>2489</v>
      </c>
      <c r="C11" s="3461"/>
      <c r="D11" s="2474" t="s">
        <v>2490</v>
      </c>
      <c r="E11" s="2474" t="s">
        <v>2491</v>
      </c>
      <c r="F11" s="2475" t="s">
        <v>2492</v>
      </c>
      <c r="G11" s="2475" t="s">
        <v>2493</v>
      </c>
      <c r="H11" s="2482" t="s">
        <v>2494</v>
      </c>
      <c r="I11" s="2473" t="s">
        <v>2495</v>
      </c>
    </row>
    <row r="12" spans="1:9">
      <c r="A12" s="3460"/>
      <c r="B12" s="3461" t="s">
        <v>2496</v>
      </c>
      <c r="C12" s="3461"/>
      <c r="D12" s="2474"/>
      <c r="E12" s="2474"/>
      <c r="F12" s="2475"/>
      <c r="G12" s="2476"/>
      <c r="H12" s="2483"/>
      <c r="I12" s="2473">
        <f>ROUND(D12*E12*F12*G12/10000,0)</f>
        <v>0</v>
      </c>
    </row>
    <row r="13" spans="1:9">
      <c r="A13" s="3460"/>
      <c r="B13" s="3461" t="s">
        <v>2497</v>
      </c>
      <c r="C13" s="3461"/>
      <c r="D13" s="2474"/>
      <c r="E13" s="2474"/>
      <c r="F13" s="2475"/>
      <c r="G13" s="2476"/>
      <c r="H13" s="2483"/>
      <c r="I13" s="2473">
        <f>ROUND(D13*E13*F13*G13/10000,0)</f>
        <v>0</v>
      </c>
    </row>
    <row r="14" spans="1:9">
      <c r="A14" s="3460"/>
      <c r="B14" s="3461" t="s">
        <v>2498</v>
      </c>
      <c r="C14" s="3461"/>
      <c r="D14" s="2474"/>
      <c r="E14" s="2474"/>
      <c r="F14" s="2475"/>
      <c r="G14" s="2476"/>
      <c r="H14" s="2483"/>
      <c r="I14" s="2473">
        <f>ROUND(D14*E14*F14*G14/10000,0)</f>
        <v>0</v>
      </c>
    </row>
    <row r="15" spans="1:9">
      <c r="A15" s="3460"/>
      <c r="B15" s="3462" t="s">
        <v>2487</v>
      </c>
      <c r="C15" s="3462"/>
      <c r="D15" s="2478"/>
      <c r="E15" s="2478">
        <f>SUM(E12:E14)</f>
        <v>0</v>
      </c>
      <c r="F15" s="2479"/>
      <c r="G15" s="2476"/>
      <c r="H15" s="2483"/>
      <c r="I15" s="2484">
        <f>SUM(I12:I14)</f>
        <v>0</v>
      </c>
    </row>
    <row r="16" spans="1:9" ht="24">
      <c r="A16" s="3460" t="s">
        <v>2499</v>
      </c>
      <c r="B16" s="3461" t="s">
        <v>2500</v>
      </c>
      <c r="C16" s="3461"/>
      <c r="D16" s="2474" t="s">
        <v>2501</v>
      </c>
      <c r="E16" s="2485" t="s">
        <v>2502</v>
      </c>
      <c r="F16" s="2475" t="s">
        <v>2503</v>
      </c>
      <c r="G16" s="2476" t="s">
        <v>2493</v>
      </c>
      <c r="H16" s="2482" t="s">
        <v>2494</v>
      </c>
      <c r="I16" s="2473" t="s">
        <v>2495</v>
      </c>
    </row>
    <row r="17" spans="1:9" ht="14.25">
      <c r="A17" s="3460"/>
      <c r="B17" s="3461" t="s">
        <v>2504</v>
      </c>
      <c r="C17" s="3461"/>
      <c r="D17" s="2474"/>
      <c r="E17" s="2474"/>
      <c r="F17" s="2475"/>
      <c r="G17" s="2476"/>
      <c r="H17" s="2486"/>
      <c r="I17" s="2487">
        <f>ROUND(D17*E17*F17*G17/10000,0)</f>
        <v>0</v>
      </c>
    </row>
    <row r="18" spans="1:9" ht="14.25">
      <c r="A18" s="3460"/>
      <c r="B18" s="3461" t="s">
        <v>2505</v>
      </c>
      <c r="C18" s="3461"/>
      <c r="D18" s="2474"/>
      <c r="E18" s="2474"/>
      <c r="F18" s="2475"/>
      <c r="G18" s="2476"/>
      <c r="H18" s="2486"/>
      <c r="I18" s="2487">
        <f>ROUND(D18*E18*F18*G18/10000,0)</f>
        <v>0</v>
      </c>
    </row>
    <row r="19" spans="1:9" ht="14.25">
      <c r="A19" s="3460"/>
      <c r="B19" s="3461" t="s">
        <v>2506</v>
      </c>
      <c r="C19" s="3461"/>
      <c r="D19" s="2474"/>
      <c r="E19" s="2474"/>
      <c r="F19" s="2475"/>
      <c r="G19" s="2476"/>
      <c r="H19" s="2486"/>
      <c r="I19" s="2487">
        <f>ROUND(D19*E19*F19*G19/10000,0)</f>
        <v>0</v>
      </c>
    </row>
    <row r="20" spans="1:9">
      <c r="A20" s="3460"/>
      <c r="B20" s="3462" t="s">
        <v>2487</v>
      </c>
      <c r="C20" s="3462"/>
      <c r="D20" s="2478">
        <f>SUM(D17:D19)</f>
        <v>0</v>
      </c>
      <c r="E20" s="2478"/>
      <c r="F20" s="2479"/>
      <c r="G20" s="2476"/>
      <c r="H20" s="2483"/>
      <c r="I20" s="2484">
        <f>SUM(I17:I19)</f>
        <v>0</v>
      </c>
    </row>
    <row r="21" spans="1:9">
      <c r="A21" s="3460" t="s">
        <v>2507</v>
      </c>
      <c r="B21" s="3463"/>
      <c r="C21" s="3463"/>
      <c r="D21" s="3463"/>
      <c r="E21" s="3463"/>
      <c r="F21" s="3463"/>
      <c r="G21" s="3463"/>
      <c r="H21" s="2488">
        <v>0.1</v>
      </c>
      <c r="I21" s="2481">
        <f>ROUND(I10*H21,0)</f>
        <v>0</v>
      </c>
    </row>
    <row r="22" spans="1:9" ht="14.25">
      <c r="A22" s="3464" t="s">
        <v>2508</v>
      </c>
      <c r="B22" s="3465"/>
      <c r="C22" s="3466"/>
      <c r="D22" s="2489" t="s">
        <v>2509</v>
      </c>
      <c r="E22" s="2489" t="s">
        <v>2510</v>
      </c>
      <c r="F22" s="2490" t="s">
        <v>2511</v>
      </c>
      <c r="G22" s="2490" t="s">
        <v>2512</v>
      </c>
      <c r="H22" s="2482" t="s">
        <v>2513</v>
      </c>
      <c r="I22" s="2473" t="s">
        <v>2514</v>
      </c>
    </row>
    <row r="23" spans="1:9" ht="14.25" thickBot="1">
      <c r="A23" s="3467"/>
      <c r="B23" s="3468"/>
      <c r="C23" s="3469"/>
      <c r="D23" s="2491"/>
      <c r="E23" s="2491"/>
      <c r="F23" s="2491"/>
      <c r="G23" s="2492"/>
      <c r="H23" s="2493"/>
      <c r="I23" s="2494">
        <f>ROUND(E23*D23*F23*(1-G23)/10000,0)</f>
        <v>0</v>
      </c>
    </row>
    <row r="26" spans="1:9">
      <c r="A26" s="2495" t="s">
        <v>2515</v>
      </c>
      <c r="B26" s="2495"/>
      <c r="C26" s="2495"/>
      <c r="D26" s="2495"/>
      <c r="E26" s="3457">
        <f>C27-C30-C31-C32</f>
        <v>0</v>
      </c>
      <c r="F26" s="3457"/>
      <c r="G26" s="3457"/>
      <c r="H26" s="2996" t="s">
        <v>2843</v>
      </c>
    </row>
    <row r="27" spans="1:9">
      <c r="A27" s="2496">
        <v>1</v>
      </c>
      <c r="B27" s="2497" t="s">
        <v>2516</v>
      </c>
      <c r="C27" s="2497"/>
      <c r="D27" s="2497"/>
      <c r="E27" s="3458"/>
      <c r="F27" s="3458"/>
      <c r="G27" s="3458"/>
    </row>
    <row r="28" spans="1:9">
      <c r="A28" s="2498" t="s">
        <v>2517</v>
      </c>
      <c r="B28" s="2497" t="s">
        <v>2518</v>
      </c>
      <c r="C28" s="2497"/>
      <c r="D28" s="2497"/>
      <c r="E28" s="3458"/>
      <c r="F28" s="3458"/>
      <c r="G28" s="3458"/>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9"/>
      <c r="F32" s="3459"/>
      <c r="G32" s="3459"/>
    </row>
    <row r="33" spans="1:7" hidden="1">
      <c r="A33" s="3454" t="s">
        <v>2526</v>
      </c>
      <c r="B33" s="3455"/>
      <c r="C33" s="3455"/>
      <c r="D33" s="3456"/>
      <c r="E33" s="3457"/>
      <c r="F33" s="3457"/>
      <c r="G33" s="3457"/>
    </row>
    <row r="34" spans="1:7" hidden="1">
      <c r="A34" s="2500">
        <v>1</v>
      </c>
      <c r="B34" s="2497" t="s">
        <v>2527</v>
      </c>
      <c r="C34" s="2497"/>
      <c r="D34" s="2497"/>
      <c r="E34" s="3458"/>
      <c r="F34" s="3458"/>
      <c r="G34" s="3458"/>
    </row>
    <row r="35" spans="1:7" hidden="1">
      <c r="A35" s="2500">
        <v>2</v>
      </c>
      <c r="B35" s="2497" t="s">
        <v>2528</v>
      </c>
      <c r="C35" s="2497"/>
      <c r="D35" s="2497"/>
      <c r="E35" s="3458"/>
      <c r="F35" s="3458"/>
      <c r="G35" s="3458"/>
    </row>
    <row r="36" spans="1:7" hidden="1">
      <c r="A36" s="2500">
        <v>3</v>
      </c>
      <c r="B36" s="2497" t="s">
        <v>2529</v>
      </c>
      <c r="C36" s="2497"/>
      <c r="D36" s="2497"/>
      <c r="E36" s="3458"/>
      <c r="F36" s="3458"/>
      <c r="G36" s="3458"/>
    </row>
    <row r="37" spans="1:7" hidden="1">
      <c r="A37" s="2500">
        <v>4</v>
      </c>
      <c r="B37" s="2497" t="s">
        <v>2530</v>
      </c>
      <c r="C37" s="2497"/>
      <c r="D37" s="2497"/>
      <c r="E37" s="3458"/>
      <c r="F37" s="3458"/>
      <c r="G37" s="3458"/>
    </row>
    <row r="38" spans="1:7" hidden="1">
      <c r="A38" s="3454" t="s">
        <v>2531</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46502</v>
      </c>
      <c r="E10" s="749">
        <f>'数据-取费表'!B31</f>
        <v>150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707</v>
      </c>
      <c r="D12" s="758">
        <f>'数据-汇总表'!E5</f>
        <v>32130</v>
      </c>
      <c r="E12" s="757">
        <f>'数据-取费表'!B27</f>
        <v>220</v>
      </c>
      <c r="F12" s="755"/>
      <c r="G12" s="759"/>
    </row>
    <row r="13" spans="1:25" s="2169" customFormat="1" ht="13.5" customHeight="1">
      <c r="A13" s="2441" t="s">
        <v>2447</v>
      </c>
      <c r="B13" s="756" t="s">
        <v>612</v>
      </c>
      <c r="C13" s="757">
        <f>ROUND(D13*E13/10000,0)</f>
        <v>316</v>
      </c>
      <c r="D13" s="758">
        <f>'数据-汇总表'!E6</f>
        <v>14372</v>
      </c>
      <c r="E13" s="757">
        <f>'数据-取费表'!B28</f>
        <v>220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0.93600000000000005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9" zoomScale="80" zoomScaleNormal="80" workbookViewId="0">
      <selection activeCell="E47" sqref="E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0.875" style="1333" customWidth="1"/>
    <col min="6" max="6" width="12.125" style="1333" customWidth="1"/>
    <col min="7" max="7" width="20.875" style="1333" customWidth="1"/>
    <col min="8" max="8" width="12.25" style="1333" customWidth="1"/>
    <col min="9" max="9" width="20.87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3292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83875</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26105</v>
      </c>
      <c r="C3" s="852" t="s">
        <v>722</v>
      </c>
      <c r="D3" s="851">
        <f>SUMIF('数据-汇总表'!$C19:$C33,D1,'数据-汇总表'!$E19:$E33)</f>
        <v>32130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0" t="s">
        <v>522</v>
      </c>
      <c r="D4" s="3381"/>
      <c r="E4" s="3404" t="s">
        <v>523</v>
      </c>
      <c r="F4" s="3405"/>
      <c r="G4" s="3380" t="s">
        <v>524</v>
      </c>
      <c r="H4" s="3381"/>
      <c r="I4" s="3380" t="s">
        <v>525</v>
      </c>
      <c r="J4" s="3381"/>
      <c r="K4" s="853"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2931</v>
      </c>
      <c r="D5" s="3392"/>
      <c r="E5" s="3475" t="s">
        <v>3293</v>
      </c>
      <c r="F5" s="3407"/>
      <c r="G5" s="3476" t="s">
        <v>3313</v>
      </c>
      <c r="H5" s="3392"/>
      <c r="I5" s="3476" t="s">
        <v>3329</v>
      </c>
      <c r="J5" s="3392"/>
      <c r="K5" s="85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77" t="s">
        <v>3294</v>
      </c>
      <c r="F6" s="3409"/>
      <c r="G6" s="3478" t="s">
        <v>3314</v>
      </c>
      <c r="H6" s="3390"/>
      <c r="I6" s="3478"/>
      <c r="J6" s="3390"/>
      <c r="K6" s="85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43612</v>
      </c>
      <c r="D7" s="520">
        <v>100</v>
      </c>
      <c r="E7" s="521">
        <v>43607</v>
      </c>
      <c r="F7" s="522">
        <f>SUMIF(58:58,YEAR(E7)&amp;"-"&amp;MONTH(E7),59:59)</f>
        <v>100</v>
      </c>
      <c r="G7" s="523">
        <v>43608</v>
      </c>
      <c r="H7" s="520">
        <f>SUMIF(58:58,YEAR(G7)&amp;"-"&amp;MONTH(G7),59:59)</f>
        <v>100</v>
      </c>
      <c r="I7" s="523">
        <v>43598</v>
      </c>
      <c r="J7" s="520">
        <f>SUMIF(58:58,YEAR(I7)&amp;"-"&amp;MONTH(I7),59:59)</f>
        <v>100</v>
      </c>
      <c r="K7" s="855"/>
      <c r="L7" s="2121"/>
      <c r="M7" s="2122"/>
      <c r="N7" s="2122"/>
      <c r="O7" s="2122"/>
      <c r="P7" s="3366" t="s">
        <v>530</v>
      </c>
      <c r="Q7" s="3375"/>
      <c r="R7" s="1555" t="s">
        <v>13</v>
      </c>
      <c r="S7" s="1556">
        <f t="shared" ref="S7:S15" si="0">F7</f>
        <v>100</v>
      </c>
      <c r="T7" s="1555" t="s">
        <v>13</v>
      </c>
      <c r="U7" s="1556">
        <f t="shared" ref="U7:U15" si="1">H7</f>
        <v>100</v>
      </c>
      <c r="V7" s="1555" t="s">
        <v>13</v>
      </c>
      <c r="W7" s="1556">
        <f t="shared" ref="W7:W15" si="2">J7</f>
        <v>100</v>
      </c>
      <c r="X7" s="1557"/>
      <c r="Y7" s="3366" t="s">
        <v>530</v>
      </c>
      <c r="Z7" s="3367"/>
      <c r="AA7" s="1558">
        <f>D7/F7</f>
        <v>1</v>
      </c>
      <c r="AB7" s="1558">
        <f>D7/H7</f>
        <v>1</v>
      </c>
      <c r="AC7" s="1558">
        <f>D7/J7</f>
        <v>1</v>
      </c>
    </row>
    <row r="8" spans="1:29" s="1216" customFormat="1" ht="15.7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66" t="s">
        <v>533</v>
      </c>
      <c r="Q8" s="3367"/>
      <c r="R8" s="1555" t="s">
        <v>13</v>
      </c>
      <c r="S8" s="1556">
        <f t="shared" si="0"/>
        <v>100</v>
      </c>
      <c r="T8" s="1555" t="s">
        <v>13</v>
      </c>
      <c r="U8" s="1556">
        <f t="shared" si="1"/>
        <v>100</v>
      </c>
      <c r="V8" s="1555" t="s">
        <v>13</v>
      </c>
      <c r="W8" s="1556">
        <f t="shared" si="2"/>
        <v>100</v>
      </c>
      <c r="X8" s="1557"/>
      <c r="Y8" s="3366" t="s">
        <v>533</v>
      </c>
      <c r="Z8" s="3367"/>
      <c r="AA8" s="1558">
        <f t="shared" ref="AA8:AA46" si="3">D8/F8</f>
        <v>1</v>
      </c>
      <c r="AB8" s="1558">
        <f t="shared" ref="AB8:AB46" si="4">D8/H8</f>
        <v>1</v>
      </c>
      <c r="AC8" s="1558">
        <f t="shared" ref="AC8:AC46" si="5">D8/J8</f>
        <v>1</v>
      </c>
    </row>
    <row r="9" spans="1:29" s="1216" customFormat="1" ht="15">
      <c r="A9" s="2870"/>
      <c r="B9" s="2877" t="s">
        <v>2756</v>
      </c>
      <c r="C9" s="3190" t="s">
        <v>3287</v>
      </c>
      <c r="D9" s="254">
        <v>100</v>
      </c>
      <c r="E9" s="3190" t="s">
        <v>3287</v>
      </c>
      <c r="F9" s="859">
        <f>SUMIF(63:63,E9,64:64)-SUMIF(63:63,C9,64:64)+100</f>
        <v>100</v>
      </c>
      <c r="G9" s="3190" t="s">
        <v>3287</v>
      </c>
      <c r="H9" s="254">
        <f>SUMIF(63:63,G9,64:64)-SUMIF(63:63,C9,64:64)+100</f>
        <v>100</v>
      </c>
      <c r="I9" s="3190" t="s">
        <v>3287</v>
      </c>
      <c r="J9" s="254">
        <f>SUMIF(63:63,I9,64:64)-SUMIF(63:63,C9,64:64)+100</f>
        <v>100</v>
      </c>
      <c r="K9" s="855"/>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t="s">
        <v>3288</v>
      </c>
      <c r="D10" s="255">
        <v>100</v>
      </c>
      <c r="E10" s="861" t="s">
        <v>3288</v>
      </c>
      <c r="F10" s="863">
        <f>SUMIF(65:65,E10,66:66)-SUMIF(65:65,C10,66:66)+100</f>
        <v>100</v>
      </c>
      <c r="G10" s="861" t="s">
        <v>3288</v>
      </c>
      <c r="H10" s="255">
        <f>SUMIF(65:65,G10,66:66)-SUMIF(65:65,C10,66:66)+100</f>
        <v>100</v>
      </c>
      <c r="I10" s="861" t="s">
        <v>3288</v>
      </c>
      <c r="J10" s="255">
        <f>SUMIF(65:65,I10,66:66)-SUMIF(65:65,C10,66:66)+100</f>
        <v>100</v>
      </c>
      <c r="K10" s="86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v>2</v>
      </c>
      <c r="D11" s="255">
        <v>100</v>
      </c>
      <c r="E11" s="533">
        <v>2</v>
      </c>
      <c r="F11" s="863">
        <f>LOOKUP(E11,68:68,69:69)-LOOKUP(C11,68:68,69:69)+100</f>
        <v>100</v>
      </c>
      <c r="G11" s="533">
        <v>3.9</v>
      </c>
      <c r="H11" s="255">
        <f>LOOKUP(G11,68:68,69:69)-LOOKUP(C11,68:68,69:69)+100</f>
        <v>99</v>
      </c>
      <c r="I11" s="533">
        <v>4.7300000000000004</v>
      </c>
      <c r="J11" s="255">
        <f>LOOKUP(I11,68:68,69:69)-LOOKUP(C11,68:68,69:69)+100</f>
        <v>98</v>
      </c>
      <c r="K11" s="864">
        <v>1</v>
      </c>
      <c r="L11" s="2126"/>
      <c r="M11" s="2120"/>
      <c r="N11" s="2120"/>
      <c r="O11" s="2127"/>
      <c r="P11" s="3374"/>
      <c r="Q11" s="1147" t="str">
        <f t="shared" si="6"/>
        <v>容积率</v>
      </c>
      <c r="R11" s="1555" t="s">
        <v>11</v>
      </c>
      <c r="S11" s="1556">
        <f t="shared" si="0"/>
        <v>100</v>
      </c>
      <c r="T11" s="1555" t="s">
        <v>11</v>
      </c>
      <c r="U11" s="1556">
        <f t="shared" si="1"/>
        <v>99</v>
      </c>
      <c r="V11" s="1555" t="s">
        <v>11</v>
      </c>
      <c r="W11" s="1556">
        <f t="shared" si="2"/>
        <v>98</v>
      </c>
      <c r="X11" s="1557"/>
      <c r="Y11" s="3331"/>
      <c r="Z11" s="1146" t="str">
        <f t="shared" si="7"/>
        <v>容积率</v>
      </c>
      <c r="AA11" s="1558">
        <f t="shared" si="3"/>
        <v>1</v>
      </c>
      <c r="AB11" s="1558">
        <f t="shared" si="4"/>
        <v>1.0101010101010102</v>
      </c>
      <c r="AC11" s="1558">
        <f t="shared" si="5"/>
        <v>1.0204081632653061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76" t="s">
        <v>540</v>
      </c>
      <c r="Q15" s="1559" t="str">
        <f t="shared" si="6"/>
        <v>居住社区成熟度</v>
      </c>
      <c r="R15" s="1560" t="s">
        <v>11</v>
      </c>
      <c r="S15" s="1561">
        <f t="shared" si="0"/>
        <v>100</v>
      </c>
      <c r="T15" s="1560" t="s">
        <v>11</v>
      </c>
      <c r="U15" s="1561">
        <f t="shared" si="1"/>
        <v>100</v>
      </c>
      <c r="V15" s="1560" t="s">
        <v>11</v>
      </c>
      <c r="W15" s="1561">
        <f t="shared" si="2"/>
        <v>100</v>
      </c>
      <c r="X15" s="1554"/>
      <c r="Y15" s="3376" t="s">
        <v>540</v>
      </c>
      <c r="Z15" s="1562" t="str">
        <f t="shared" si="7"/>
        <v>居住社区成熟度</v>
      </c>
      <c r="AA15" s="1563">
        <f t="shared" si="3"/>
        <v>1</v>
      </c>
      <c r="AB15" s="1563">
        <f t="shared" si="4"/>
        <v>1</v>
      </c>
      <c r="AC15" s="1563">
        <f t="shared" si="5"/>
        <v>1</v>
      </c>
    </row>
    <row r="16" spans="1:29" ht="15">
      <c r="A16" s="532"/>
      <c r="B16" s="869"/>
      <c r="C16" s="576" t="s">
        <v>3279</v>
      </c>
      <c r="D16" s="555"/>
      <c r="E16" s="576" t="s">
        <v>3279</v>
      </c>
      <c r="F16" s="557"/>
      <c r="G16" s="576" t="s">
        <v>3279</v>
      </c>
      <c r="H16" s="559"/>
      <c r="I16" s="576" t="s">
        <v>3279</v>
      </c>
      <c r="J16" s="555"/>
      <c r="K16" s="870"/>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t="s">
        <v>3279</v>
      </c>
      <c r="D18" s="559"/>
      <c r="E18" s="576" t="s">
        <v>3279</v>
      </c>
      <c r="F18" s="563"/>
      <c r="G18" s="576" t="s">
        <v>3279</v>
      </c>
      <c r="H18" s="555"/>
      <c r="I18" s="576" t="s">
        <v>3279</v>
      </c>
      <c r="J18" s="555"/>
      <c r="K18" s="870"/>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t="s">
        <v>3279</v>
      </c>
      <c r="D20" s="555"/>
      <c r="E20" s="576" t="s">
        <v>3279</v>
      </c>
      <c r="F20" s="557"/>
      <c r="G20" s="576" t="s">
        <v>3279</v>
      </c>
      <c r="H20" s="555"/>
      <c r="I20" s="576" t="s">
        <v>3279</v>
      </c>
      <c r="J20" s="555"/>
      <c r="K20" s="870"/>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377"/>
      <c r="Q21" s="2544" t="str">
        <f>B21</f>
        <v>基础设施水平</v>
      </c>
      <c r="R21" s="1560" t="s">
        <v>11</v>
      </c>
      <c r="S21" s="1561">
        <f>F21</f>
        <v>100</v>
      </c>
      <c r="T21" s="1560" t="s">
        <v>11</v>
      </c>
      <c r="U21" s="1561">
        <f>H21</f>
        <v>100</v>
      </c>
      <c r="V21" s="1560" t="s">
        <v>11</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t="s">
        <v>3281</v>
      </c>
      <c r="D22" s="555"/>
      <c r="E22" s="576" t="s">
        <v>3281</v>
      </c>
      <c r="F22" s="557"/>
      <c r="G22" s="576" t="s">
        <v>3281</v>
      </c>
      <c r="H22" s="555"/>
      <c r="I22" s="576" t="s">
        <v>3281</v>
      </c>
      <c r="J22" s="555"/>
      <c r="K22" s="2564"/>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t="s">
        <v>3280</v>
      </c>
      <c r="D24" s="555"/>
      <c r="E24" s="576" t="s">
        <v>3280</v>
      </c>
      <c r="F24" s="557"/>
      <c r="G24" s="576" t="s">
        <v>3280</v>
      </c>
      <c r="H24" s="555"/>
      <c r="I24" s="576" t="s">
        <v>3280</v>
      </c>
      <c r="J24" s="555"/>
      <c r="K24" s="870"/>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724</v>
      </c>
      <c r="C27" s="3191"/>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3" t="s">
        <v>2755</v>
      </c>
      <c r="B32" s="172" t="s">
        <v>725</v>
      </c>
      <c r="C32" s="878" t="s">
        <v>3311</v>
      </c>
      <c r="D32" s="597">
        <v>100</v>
      </c>
      <c r="E32" s="879" t="s">
        <v>3311</v>
      </c>
      <c r="F32" s="575">
        <f>SUMIF(100:100,E32,101:101)-SUMIF(100:100,C32,101:101)+100</f>
        <v>100</v>
      </c>
      <c r="G32" s="879" t="s">
        <v>3310</v>
      </c>
      <c r="H32" s="597">
        <f>SUMIF(100:100,G32,101:101)-SUMIF(100:100,C32,101:101)+100</f>
        <v>90</v>
      </c>
      <c r="I32" s="879" t="s">
        <v>3310</v>
      </c>
      <c r="J32" s="540">
        <f>SUMIF(100:100,I32,101:101)-SUMIF(100:100,C32,101:101)+100</f>
        <v>90</v>
      </c>
      <c r="K32" s="864">
        <v>5</v>
      </c>
      <c r="L32" s="2128"/>
      <c r="M32" s="2120"/>
      <c r="N32" s="2120"/>
      <c r="O32" s="2127"/>
      <c r="P32" s="3378" t="s">
        <v>550</v>
      </c>
      <c r="Q32" s="1559" t="str">
        <f t="shared" si="11"/>
        <v>建筑类型</v>
      </c>
      <c r="R32" s="1560" t="s">
        <v>11</v>
      </c>
      <c r="S32" s="1561">
        <f t="shared" si="12"/>
        <v>100</v>
      </c>
      <c r="T32" s="1560" t="s">
        <v>11</v>
      </c>
      <c r="U32" s="1561">
        <f t="shared" si="13"/>
        <v>90</v>
      </c>
      <c r="V32" s="1560" t="s">
        <v>11</v>
      </c>
      <c r="W32" s="1561">
        <f t="shared" si="14"/>
        <v>90</v>
      </c>
      <c r="X32" s="1554"/>
      <c r="Y32" s="3379" t="s">
        <v>550</v>
      </c>
      <c r="Z32" s="1562" t="str">
        <f t="shared" si="15"/>
        <v>建筑类型</v>
      </c>
      <c r="AA32" s="1563">
        <f t="shared" si="3"/>
        <v>1</v>
      </c>
      <c r="AB32" s="1563">
        <f t="shared" si="4"/>
        <v>1.1111111111111112</v>
      </c>
      <c r="AC32" s="1563">
        <f t="shared" si="5"/>
        <v>1.1111111111111112</v>
      </c>
    </row>
    <row r="33" spans="1:29" s="1335" customFormat="1" ht="15">
      <c r="A33" s="603"/>
      <c r="B33" s="527" t="s">
        <v>726</v>
      </c>
      <c r="C33" s="880">
        <f>'数据-汇总表'!E19</f>
        <v>32130</v>
      </c>
      <c r="D33" s="255">
        <v>100</v>
      </c>
      <c r="E33" s="534">
        <v>127314.13</v>
      </c>
      <c r="F33" s="863">
        <f>LOOKUP(E33,103:103,104:104)-LOOKUP(C33,103:103,104:104)+100</f>
        <v>101</v>
      </c>
      <c r="G33" s="533">
        <v>310000</v>
      </c>
      <c r="H33" s="255">
        <f>LOOKUP(G33,103:103,104:104)-LOOKUP(C33,103:103,104:104)+100</f>
        <v>102</v>
      </c>
      <c r="I33" s="534">
        <v>1250000</v>
      </c>
      <c r="J33" s="255">
        <f>LOOKUP(I33,103:103,104:104)-LOOKUP(C33,103:103,104:104)+100</f>
        <v>104</v>
      </c>
      <c r="K33" s="865"/>
      <c r="L33" s="2126"/>
      <c r="M33" s="2157"/>
      <c r="N33" s="2157"/>
      <c r="O33" s="2129"/>
      <c r="P33" s="3379"/>
      <c r="Q33" s="1591" t="str">
        <f t="shared" si="11"/>
        <v>项目建筑规模</v>
      </c>
      <c r="R33" s="1564" t="s">
        <v>11</v>
      </c>
      <c r="S33" s="1565">
        <f t="shared" si="12"/>
        <v>101</v>
      </c>
      <c r="T33" s="1564" t="s">
        <v>11</v>
      </c>
      <c r="U33" s="1565">
        <f t="shared" si="13"/>
        <v>102</v>
      </c>
      <c r="V33" s="1564" t="s">
        <v>11</v>
      </c>
      <c r="W33" s="1565">
        <f t="shared" si="14"/>
        <v>104</v>
      </c>
      <c r="X33" s="1566"/>
      <c r="Y33" s="3379"/>
      <c r="Z33" s="1567" t="str">
        <f t="shared" si="15"/>
        <v>项目建筑规模</v>
      </c>
      <c r="AA33" s="1563">
        <f t="shared" si="3"/>
        <v>0.99009900990099009</v>
      </c>
      <c r="AB33" s="1563">
        <f t="shared" si="4"/>
        <v>0.98039215686274506</v>
      </c>
      <c r="AC33" s="1563">
        <f t="shared" si="5"/>
        <v>0.96153846153846156</v>
      </c>
    </row>
    <row r="34" spans="1:29" ht="15">
      <c r="A34" s="594"/>
      <c r="B34" s="527" t="s">
        <v>727</v>
      </c>
      <c r="C34" s="881" t="s">
        <v>3295</v>
      </c>
      <c r="D34" s="540">
        <v>100</v>
      </c>
      <c r="E34" s="882" t="s">
        <v>3295</v>
      </c>
      <c r="F34" s="575">
        <f>SUMIF(105:105,E34,106:106)-SUMIF(105:105,C34,106:106)+100</f>
        <v>100</v>
      </c>
      <c r="G34" s="881" t="s">
        <v>3295</v>
      </c>
      <c r="H34" s="540">
        <f>SUMIF(105:105,G34,106:106)-SUMIF(105:105,C34,106:106)+100</f>
        <v>100</v>
      </c>
      <c r="I34" s="882" t="s">
        <v>3295</v>
      </c>
      <c r="J34" s="540">
        <f>SUMIF(105:105,I34,106:106)-SUMIF(105:105,C34,106:106)+100</f>
        <v>100</v>
      </c>
      <c r="K34" s="864">
        <v>2</v>
      </c>
      <c r="L34" s="2128"/>
      <c r="M34" s="2120"/>
      <c r="N34" s="2120"/>
      <c r="O34" s="2127"/>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729</v>
      </c>
      <c r="C36" s="599" t="s">
        <v>3298</v>
      </c>
      <c r="D36" s="540">
        <v>100</v>
      </c>
      <c r="E36" s="874" t="s">
        <v>3298</v>
      </c>
      <c r="F36" s="575">
        <f>SUMIF(109:109,E36,110:110)-SUMIF(109:109,C36,110:110)+100</f>
        <v>100</v>
      </c>
      <c r="G36" s="599" t="s">
        <v>3298</v>
      </c>
      <c r="H36" s="540">
        <f>SUMIF(109:109,G36,110:110)-SUMIF(109:109,C36,110:110)+100</f>
        <v>100</v>
      </c>
      <c r="I36" s="874" t="s">
        <v>3298</v>
      </c>
      <c r="J36" s="540">
        <f>SUMIF(109:109,I36,110:110)-SUMIF(109:109,C36,110:110)+100</f>
        <v>100</v>
      </c>
      <c r="K36" s="864">
        <v>2</v>
      </c>
      <c r="L36" s="2128"/>
      <c r="M36" s="2120"/>
      <c r="N36" s="2120"/>
      <c r="O36" s="2127"/>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79"/>
      <c r="Q37" s="1147" t="str">
        <f t="shared" si="11"/>
        <v>成新度</v>
      </c>
      <c r="R37" s="1555" t="s">
        <v>11</v>
      </c>
      <c r="S37" s="1556">
        <f t="shared" si="12"/>
        <v>100</v>
      </c>
      <c r="T37" s="1555" t="s">
        <v>11</v>
      </c>
      <c r="U37" s="1556">
        <f t="shared" si="13"/>
        <v>100</v>
      </c>
      <c r="V37" s="1555" t="s">
        <v>11</v>
      </c>
      <c r="W37" s="1556">
        <f t="shared" si="14"/>
        <v>100</v>
      </c>
      <c r="X37" s="1557"/>
      <c r="Y37" s="3379"/>
      <c r="Z37" s="1146" t="str">
        <f t="shared" si="15"/>
        <v>成新度</v>
      </c>
      <c r="AA37" s="1558">
        <f t="shared" si="3"/>
        <v>1</v>
      </c>
      <c r="AB37" s="1558">
        <f t="shared" si="4"/>
        <v>1</v>
      </c>
      <c r="AC37" s="1558">
        <f t="shared" si="5"/>
        <v>1</v>
      </c>
    </row>
    <row r="38" spans="1:29" ht="15">
      <c r="A38" s="594"/>
      <c r="B38" s="527" t="s">
        <v>731</v>
      </c>
      <c r="C38" s="599" t="s">
        <v>3303</v>
      </c>
      <c r="D38" s="540">
        <v>100</v>
      </c>
      <c r="E38" s="874" t="s">
        <v>3303</v>
      </c>
      <c r="F38" s="575">
        <f>SUMIF(114:114,E38,115:115)-SUMIF(114:114,C38,115:115)+100</f>
        <v>100</v>
      </c>
      <c r="G38" s="599" t="s">
        <v>3303</v>
      </c>
      <c r="H38" s="540">
        <f>SUMIF(114:114,G38,115:115)-SUMIF(114:114,C38,115:115)+100</f>
        <v>100</v>
      </c>
      <c r="I38" s="874" t="s">
        <v>3303</v>
      </c>
      <c r="J38" s="540">
        <f>SUMIF(114:114,I38,115:115)-SUMIF(114:114,C38,115:115)+100</f>
        <v>100</v>
      </c>
      <c r="K38" s="864">
        <v>2</v>
      </c>
      <c r="L38" s="2128"/>
      <c r="M38" s="2120"/>
      <c r="N38" s="2120"/>
      <c r="O38" s="2127"/>
      <c r="P38" s="3379" t="s">
        <v>550</v>
      </c>
      <c r="Q38" s="1559" t="str">
        <f t="shared" si="11"/>
        <v>物业管理</v>
      </c>
      <c r="R38" s="1560" t="s">
        <v>11</v>
      </c>
      <c r="S38" s="1561">
        <f t="shared" si="12"/>
        <v>100</v>
      </c>
      <c r="T38" s="1560" t="s">
        <v>11</v>
      </c>
      <c r="U38" s="1561">
        <f t="shared" si="13"/>
        <v>100</v>
      </c>
      <c r="V38" s="1560" t="s">
        <v>11</v>
      </c>
      <c r="W38" s="1561">
        <f t="shared" si="14"/>
        <v>100</v>
      </c>
      <c r="X38" s="1554"/>
      <c r="Y38" s="3379" t="s">
        <v>550</v>
      </c>
      <c r="Z38" s="1562" t="str">
        <f t="shared" si="15"/>
        <v>物业管理</v>
      </c>
      <c r="AA38" s="1563">
        <f t="shared" si="3"/>
        <v>1</v>
      </c>
      <c r="AB38" s="1563">
        <f t="shared" si="4"/>
        <v>1</v>
      </c>
      <c r="AC38" s="1563">
        <f t="shared" si="5"/>
        <v>1</v>
      </c>
    </row>
    <row r="39" spans="1:29" ht="15">
      <c r="A39" s="594"/>
      <c r="B39" s="1881" t="s">
        <v>2564</v>
      </c>
      <c r="C39" s="599" t="s">
        <v>3281</v>
      </c>
      <c r="D39" s="540">
        <v>100</v>
      </c>
      <c r="E39" s="874" t="s">
        <v>3281</v>
      </c>
      <c r="F39" s="575">
        <f>SUMIF(116:116,E39,117:117)-SUMIF(116:116,C39,117:117)+100</f>
        <v>100</v>
      </c>
      <c r="G39" s="599" t="s">
        <v>3281</v>
      </c>
      <c r="H39" s="540">
        <f>SUMIF(116:116,G39,117:117)-SUMIF(116:116,C39,117:117)+100</f>
        <v>100</v>
      </c>
      <c r="I39" s="874" t="s">
        <v>3281</v>
      </c>
      <c r="J39" s="540">
        <f>SUMIF(116:116,I39,117:117)-SUMIF(116:116,C39,117:117)+100</f>
        <v>100</v>
      </c>
      <c r="K39" s="864">
        <v>2</v>
      </c>
      <c r="L39" s="2128"/>
      <c r="M39" s="2120"/>
      <c r="N39" s="2120"/>
      <c r="O39" s="2127"/>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734</v>
      </c>
      <c r="C42" s="599" t="s">
        <v>3301</v>
      </c>
      <c r="D42" s="540">
        <v>100</v>
      </c>
      <c r="E42" s="874" t="s">
        <v>3298</v>
      </c>
      <c r="F42" s="575">
        <f>SUMIF(122:122,E42,123:123)-SUMIF(122:122,C42,123:123)+100</f>
        <v>104</v>
      </c>
      <c r="G42" s="599" t="s">
        <v>3298</v>
      </c>
      <c r="H42" s="540">
        <f>SUMIF(122:122,G42,123:123)-SUMIF(122:122,C42,123:123)+100</f>
        <v>104</v>
      </c>
      <c r="I42" s="874" t="s">
        <v>3298</v>
      </c>
      <c r="J42" s="540">
        <f>SUMIF(122:122,I42,123:123)-SUMIF(122:122,C42,123:123)+100</f>
        <v>104</v>
      </c>
      <c r="K42" s="864">
        <v>2</v>
      </c>
      <c r="L42" s="2128"/>
      <c r="M42" s="2120"/>
      <c r="N42" s="2120"/>
      <c r="O42" s="2127"/>
      <c r="P42" s="3379"/>
      <c r="Q42" s="1559" t="str">
        <f t="shared" si="11"/>
        <v>内部装修</v>
      </c>
      <c r="R42" s="1560" t="s">
        <v>11</v>
      </c>
      <c r="S42" s="1561">
        <f t="shared" si="12"/>
        <v>104</v>
      </c>
      <c r="T42" s="1560" t="s">
        <v>11</v>
      </c>
      <c r="U42" s="1561">
        <f t="shared" si="13"/>
        <v>104</v>
      </c>
      <c r="V42" s="1560" t="s">
        <v>11</v>
      </c>
      <c r="W42" s="1561">
        <f t="shared" si="14"/>
        <v>104</v>
      </c>
      <c r="X42" s="1554"/>
      <c r="Y42" s="3379"/>
      <c r="Z42" s="1562" t="str">
        <f t="shared" si="15"/>
        <v>内部装修</v>
      </c>
      <c r="AA42" s="1563">
        <f t="shared" si="3"/>
        <v>0.96153846153846156</v>
      </c>
      <c r="AB42" s="1563">
        <f t="shared" si="4"/>
        <v>0.96153846153846156</v>
      </c>
      <c r="AC42" s="1563">
        <f t="shared" si="5"/>
        <v>0.96153846153846156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11"/>
        <v>111</v>
      </c>
      <c r="R46" s="1560" t="s">
        <v>10</v>
      </c>
      <c r="S46" s="1561">
        <f t="shared" si="12"/>
        <v>100</v>
      </c>
      <c r="T46" s="1560" t="s">
        <v>10</v>
      </c>
      <c r="U46" s="1561">
        <f t="shared" si="13"/>
        <v>100</v>
      </c>
      <c r="V46" s="1560" t="s">
        <v>10</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9</v>
      </c>
      <c r="D47" s="2593"/>
      <c r="E47" s="2594">
        <f>ROUND(30000*0.9,2)</f>
        <v>27000</v>
      </c>
      <c r="F47" s="2595"/>
      <c r="G47" s="2596">
        <f>ROUND(28500*0.9,2)</f>
        <v>25650</v>
      </c>
      <c r="H47" s="2597"/>
      <c r="I47" s="2594">
        <f>ROUND(27000*0.9,0)</f>
        <v>24300</v>
      </c>
      <c r="J47" s="2597"/>
      <c r="K47" s="1592"/>
      <c r="L47" s="2130"/>
      <c r="M47" s="2131"/>
      <c r="N47" s="2120"/>
      <c r="O47" s="2131"/>
      <c r="P47" s="3374" t="str">
        <f>A47</f>
        <v>成交单价（元/平方米）</v>
      </c>
      <c r="Q47" s="3374"/>
      <c r="R47" s="3480">
        <f>E47</f>
        <v>27000</v>
      </c>
      <c r="S47" s="3480"/>
      <c r="T47" s="3480">
        <f>G47</f>
        <v>25650</v>
      </c>
      <c r="U47" s="3480"/>
      <c r="V47" s="3480">
        <f>I47</f>
        <v>24300</v>
      </c>
      <c r="W47" s="3480"/>
      <c r="X47" s="1546"/>
      <c r="Y47" s="1568"/>
      <c r="Z47" s="1546"/>
      <c r="AA47" s="1546"/>
      <c r="AB47" s="1546"/>
      <c r="AC47" s="1546"/>
    </row>
    <row r="48" spans="1:29" ht="15.75" thickBot="1">
      <c r="A48" s="615" t="s">
        <v>2760</v>
      </c>
      <c r="B48" s="888"/>
      <c r="C48" s="2598">
        <f>R49</f>
        <v>26105</v>
      </c>
      <c r="D48" s="2599"/>
      <c r="E48" s="2600">
        <f>R48</f>
        <v>25704</v>
      </c>
      <c r="F48" s="2600"/>
      <c r="G48" s="2598">
        <f>T48</f>
        <v>27138</v>
      </c>
      <c r="H48" s="2599"/>
      <c r="I48" s="2600">
        <f>V48</f>
        <v>25472</v>
      </c>
      <c r="J48" s="2599"/>
      <c r="K48" s="1593"/>
      <c r="L48" s="2130"/>
      <c r="M48" s="2131"/>
      <c r="N48" s="2131"/>
      <c r="O48" s="2131"/>
      <c r="P48" s="3374" t="str">
        <f>A48</f>
        <v>比较价格（元/平方米）</v>
      </c>
      <c r="Q48" s="3374"/>
      <c r="R48" s="3480">
        <f>IF(F1="售价",ROUND(PRODUCT(R47,AA7:AA46),0),ROUND(PRODUCT(R47,AA7:AA46),1))</f>
        <v>25704</v>
      </c>
      <c r="S48" s="3480"/>
      <c r="T48" s="3480">
        <f>IF(F1="售价",ROUND(PRODUCT(T47,AB7:AB46),0),ROUND(PRODUCT(T47,AB7:AB46),1))</f>
        <v>27138</v>
      </c>
      <c r="U48" s="3480"/>
      <c r="V48" s="3480">
        <f>IF(F1="售价",ROUND(PRODUCT(V47,AC7:AC46),0),ROUND(PRODUCT(V47,AC7:AC46),1))</f>
        <v>25472</v>
      </c>
      <c r="W48" s="3480"/>
      <c r="X48" s="1546"/>
      <c r="Y48" s="1546"/>
      <c r="Z48" s="1546"/>
      <c r="AA48" s="1546"/>
      <c r="AB48" s="1546"/>
      <c r="AC48" s="1546"/>
    </row>
    <row r="49" spans="1:29" ht="15.75" thickBot="1">
      <c r="A49" s="621" t="s">
        <v>2937</v>
      </c>
      <c r="B49" s="622"/>
      <c r="C49" s="2601">
        <f>R49</f>
        <v>26105</v>
      </c>
      <c r="D49" s="2601"/>
      <c r="E49" s="2601"/>
      <c r="F49" s="2601"/>
      <c r="G49" s="2601"/>
      <c r="H49" s="2601"/>
      <c r="I49" s="2601"/>
      <c r="J49" s="2601"/>
      <c r="K49" s="1594"/>
      <c r="L49" s="2130"/>
      <c r="M49" s="2131"/>
      <c r="N49" s="2131"/>
      <c r="O49" s="2131"/>
      <c r="P49" s="3395" t="str">
        <f>A49</f>
        <v>估价对象XX用房的比较价格（楼面单价，元/平方米）</v>
      </c>
      <c r="Q49" s="3396"/>
      <c r="R49" s="3479">
        <f>IF(F1="售价",ROUND(AVERAGE(R48:V48),0),ROUND(AVERAGE(R48:V48),1))</f>
        <v>26105</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5.0420168067226934E-2</v>
      </c>
      <c r="F52" s="627" t="str">
        <f>IF(OR(E52&gt;=0.3,E52&lt;=-0.3),"超过30%","")</f>
        <v/>
      </c>
      <c r="G52" s="626">
        <f>IF(G47&lt;G48,G48/G47-1,G47/G48-1)</f>
        <v>5.8011695906432736E-2</v>
      </c>
      <c r="H52" s="627" t="str">
        <f>IF(OR(G52&gt;=0.3,G52&lt;=-0.3),"超过30%","")</f>
        <v/>
      </c>
      <c r="I52" s="626">
        <f>IF(I47&lt;I48,I48/I47-1,I47/I48-1)</f>
        <v>4.8230452674897117E-2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5.5788982259570519E-2</v>
      </c>
      <c r="F53" s="627" t="str">
        <f>IF(OR(E53&gt;=0.2,E53&lt;=-0.2),"超过20%","")</f>
        <v/>
      </c>
      <c r="G53" s="626">
        <f>IF(G48&lt;I48,I48/G48-1,G48/I48-1)</f>
        <v>6.5405150753768737E-2</v>
      </c>
      <c r="H53" s="627" t="str">
        <f>IF(OR(G53&gt;=0.2,G53&lt;=-0.2),"超过20%","")</f>
        <v/>
      </c>
      <c r="I53" s="626">
        <f>IF(I48&lt;E48,E48/I48-1,I48/E48-1)</f>
        <v>9.1080402010050854E-3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5.2631578947368363E-2</v>
      </c>
      <c r="F54" s="627" t="str">
        <f>IF(OR(E54&gt;=0.3,E54&lt;=-0.3),"超过30%","")</f>
        <v/>
      </c>
      <c r="G54" s="626">
        <f>IF(G47&lt;I47,I47/G47-1,G47/I47-1)</f>
        <v>5.555555555555558E-2</v>
      </c>
      <c r="H54" s="627" t="str">
        <f>IF(OR(G54&gt;=0.3,G54&lt;=-0.3),"超过30%","")</f>
        <v/>
      </c>
      <c r="I54" s="626">
        <f>IF(I47&lt;E47,E47/I47-1,I47/E47-1)</f>
        <v>0.11111111111111116</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v>100</v>
      </c>
      <c r="E59" s="650">
        <v>100</v>
      </c>
      <c r="F59" s="650">
        <v>100</v>
      </c>
      <c r="G59" s="650">
        <v>100</v>
      </c>
      <c r="H59" s="650">
        <f>G59-0.5</f>
        <v>99.5</v>
      </c>
      <c r="I59" s="650">
        <f t="shared" ref="I59:K59" si="17">H59-0.5</f>
        <v>99</v>
      </c>
      <c r="J59" s="650">
        <f t="shared" si="17"/>
        <v>98.5</v>
      </c>
      <c r="K59" s="650">
        <f t="shared" si="17"/>
        <v>98</v>
      </c>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9">D68&amp;"（含）"&amp;"-"&amp;E68</f>
        <v>1（含）-2</v>
      </c>
      <c r="E67" s="682" t="str">
        <f t="shared" si="19"/>
        <v>2（含）-3</v>
      </c>
      <c r="F67" s="682" t="str">
        <f t="shared" si="19"/>
        <v>3（含）-4</v>
      </c>
      <c r="G67" s="682" t="str">
        <f t="shared" si="19"/>
        <v>4（含）-5</v>
      </c>
      <c r="H67" s="682" t="str">
        <f t="shared" si="19"/>
        <v>5（含）-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v>5</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3312</v>
      </c>
      <c r="D100" s="3187" t="s">
        <v>3327</v>
      </c>
      <c r="E100" s="3187" t="s">
        <v>3328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v>
      </c>
      <c r="D102" s="708" t="str">
        <f t="shared" ref="D102:L102" si="24">D103&amp;"(含)"&amp;"-"&amp;E103</f>
        <v>100000(含)-300000</v>
      </c>
      <c r="E102" s="708" t="str">
        <f t="shared" si="24"/>
        <v>300000(含)-500000</v>
      </c>
      <c r="F102" s="708" t="str">
        <f t="shared" si="24"/>
        <v>500000(含)-800000</v>
      </c>
      <c r="G102" s="708" t="str">
        <f t="shared" si="24"/>
        <v>800000(含)-1300000</v>
      </c>
      <c r="H102" s="708" t="str">
        <f t="shared" si="24"/>
        <v>1300000(含)-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v>
      </c>
      <c r="E103" s="730">
        <v>300000</v>
      </c>
      <c r="F103" s="730">
        <v>500000</v>
      </c>
      <c r="G103" s="730">
        <v>800000</v>
      </c>
      <c r="H103" s="730">
        <v>1300000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f>C104+1</f>
        <v>101</v>
      </c>
      <c r="E104" s="671">
        <f t="shared" ref="E104:I104" si="25">D104+1</f>
        <v>102</v>
      </c>
      <c r="F104" s="671">
        <f t="shared" si="25"/>
        <v>103</v>
      </c>
      <c r="G104" s="671">
        <f t="shared" si="25"/>
        <v>104</v>
      </c>
      <c r="H104" s="671">
        <f t="shared" si="25"/>
        <v>105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8" t="s">
        <v>3296</v>
      </c>
      <c r="D105" s="3188" t="s">
        <v>3297</v>
      </c>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6">C106-$K34</f>
        <v>98</v>
      </c>
      <c r="E106" s="679">
        <f t="shared" si="26"/>
        <v>96</v>
      </c>
      <c r="F106" s="679">
        <f t="shared" si="26"/>
        <v>94</v>
      </c>
      <c r="G106" s="679">
        <f t="shared" si="26"/>
        <v>92</v>
      </c>
      <c r="H106" s="679">
        <f t="shared" si="26"/>
        <v>90</v>
      </c>
      <c r="I106" s="679">
        <f t="shared" si="26"/>
        <v>88</v>
      </c>
      <c r="J106" s="679">
        <f t="shared" si="26"/>
        <v>86</v>
      </c>
      <c r="K106" s="679">
        <f t="shared" si="26"/>
        <v>84</v>
      </c>
      <c r="L106" s="679">
        <f t="shared" si="26"/>
        <v>82</v>
      </c>
      <c r="M106" s="679">
        <f t="shared" si="26"/>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7">C108-$K35</f>
        <v>100</v>
      </c>
      <c r="E108" s="679">
        <f t="shared" si="27"/>
        <v>100</v>
      </c>
      <c r="F108" s="679">
        <f t="shared" si="27"/>
        <v>100</v>
      </c>
      <c r="G108" s="679">
        <f t="shared" si="27"/>
        <v>100</v>
      </c>
      <c r="H108" s="679">
        <f t="shared" si="27"/>
        <v>100</v>
      </c>
      <c r="I108" s="679">
        <f t="shared" si="27"/>
        <v>100</v>
      </c>
      <c r="J108" s="679">
        <f t="shared" si="27"/>
        <v>100</v>
      </c>
      <c r="K108" s="679">
        <f t="shared" si="27"/>
        <v>100</v>
      </c>
      <c r="L108" s="679">
        <f t="shared" si="27"/>
        <v>100</v>
      </c>
      <c r="M108" s="679">
        <f t="shared" si="27"/>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8" t="s">
        <v>3299</v>
      </c>
      <c r="D109" s="3188" t="s">
        <v>3300</v>
      </c>
      <c r="E109" s="3188" t="s">
        <v>3302</v>
      </c>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8" t="s">
        <v>3304</v>
      </c>
      <c r="D114" s="3188" t="s">
        <v>3305</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9">C115-$K38</f>
        <v>98</v>
      </c>
      <c r="E115" s="679">
        <f t="shared" si="29"/>
        <v>96</v>
      </c>
      <c r="F115" s="679">
        <f t="shared" si="29"/>
        <v>94</v>
      </c>
      <c r="G115" s="679">
        <f t="shared" si="29"/>
        <v>92</v>
      </c>
      <c r="H115" s="679">
        <f t="shared" si="29"/>
        <v>90</v>
      </c>
      <c r="I115" s="679">
        <f t="shared" si="29"/>
        <v>88</v>
      </c>
      <c r="J115" s="679">
        <f t="shared" si="29"/>
        <v>86</v>
      </c>
      <c r="K115" s="679">
        <f t="shared" si="29"/>
        <v>84</v>
      </c>
      <c r="L115" s="679">
        <f t="shared" si="29"/>
        <v>82</v>
      </c>
      <c r="M115" s="679">
        <f t="shared" si="29"/>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t="s">
        <v>3281</v>
      </c>
      <c r="D116" s="688" t="s">
        <v>3306</v>
      </c>
      <c r="E116" s="688" t="s">
        <v>3307</v>
      </c>
      <c r="F116" s="688" t="s">
        <v>3308</v>
      </c>
      <c r="G116" s="688" t="s">
        <v>3309</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8" t="s">
        <v>3299</v>
      </c>
      <c r="D122" s="3188" t="s">
        <v>3300</v>
      </c>
      <c r="E122" s="3188" t="s">
        <v>3302</v>
      </c>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J49" activeCellId="1" sqref="G32 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88"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88"/>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88"/>
      <c r="AC6" s="3365"/>
    </row>
    <row r="7" spans="1:29" s="1216" customFormat="1" ht="15.75" thickBot="1">
      <c r="A7" s="2868"/>
      <c r="B7" s="2875" t="s">
        <v>529</v>
      </c>
      <c r="C7" s="519">
        <f>'数据-取费表'!B2</f>
        <v>43612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6" t="s">
        <v>540</v>
      </c>
      <c r="Q15" s="1559" t="str">
        <f t="shared" si="6"/>
        <v>商业繁华度</v>
      </c>
      <c r="R15" s="1560" t="s">
        <v>8</v>
      </c>
      <c r="S15" s="1561">
        <f t="shared" si="0"/>
        <v>100</v>
      </c>
      <c r="T15" s="1560" t="s">
        <v>8</v>
      </c>
      <c r="U15" s="1561">
        <f t="shared" si="1"/>
        <v>100</v>
      </c>
      <c r="V15" s="1560" t="s">
        <v>8</v>
      </c>
      <c r="W15" s="1561">
        <f t="shared" si="2"/>
        <v>100</v>
      </c>
      <c r="X15" s="1554"/>
      <c r="Y15" s="337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8" t="s">
        <v>550</v>
      </c>
      <c r="Q32" s="1559" t="str">
        <f t="shared" si="11"/>
        <v>商业类型</v>
      </c>
      <c r="R32" s="1560" t="s">
        <v>8</v>
      </c>
      <c r="S32" s="1561">
        <f t="shared" si="12"/>
        <v>100</v>
      </c>
      <c r="T32" s="1560" t="s">
        <v>8</v>
      </c>
      <c r="U32" s="1561">
        <f t="shared" si="13"/>
        <v>100</v>
      </c>
      <c r="V32" s="1560" t="s">
        <v>8</v>
      </c>
      <c r="W32" s="1561">
        <f t="shared" si="14"/>
        <v>100</v>
      </c>
      <c r="X32" s="1554"/>
      <c r="Y32" s="337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9" t="s">
        <v>766</v>
      </c>
      <c r="Q38" s="1559" t="str">
        <f t="shared" si="11"/>
        <v>业态</v>
      </c>
      <c r="R38" s="1560" t="s">
        <v>8</v>
      </c>
      <c r="S38" s="1561">
        <f t="shared" si="12"/>
        <v>100</v>
      </c>
      <c r="T38" s="1560" t="s">
        <v>8</v>
      </c>
      <c r="U38" s="1561">
        <f t="shared" si="13"/>
        <v>100</v>
      </c>
      <c r="V38" s="1560" t="s">
        <v>8</v>
      </c>
      <c r="W38" s="1561">
        <f t="shared" si="14"/>
        <v>100</v>
      </c>
      <c r="X38" s="1554"/>
      <c r="Y38" s="337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11"/>
        <v>111</v>
      </c>
      <c r="R46" s="1560" t="s">
        <v>8</v>
      </c>
      <c r="S46" s="1561">
        <f t="shared" si="12"/>
        <v>100</v>
      </c>
      <c r="T46" s="1560" t="s">
        <v>8</v>
      </c>
      <c r="U46" s="1561">
        <f t="shared" si="13"/>
        <v>100</v>
      </c>
      <c r="V46" s="1560" t="s">
        <v>8</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4" t="str">
        <f>A47</f>
        <v>成交单价（元/平方米）</v>
      </c>
      <c r="Q47" s="3374"/>
      <c r="R47" s="3480">
        <f>E47</f>
        <v>0</v>
      </c>
      <c r="S47" s="3480"/>
      <c r="T47" s="3480">
        <f>G47</f>
        <v>0</v>
      </c>
      <c r="U47" s="3480"/>
      <c r="V47" s="3480">
        <f>I47</f>
        <v>0</v>
      </c>
      <c r="W47" s="348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4" t="str">
        <f>A48</f>
        <v>比较价格（元/平方米）</v>
      </c>
      <c r="Q48" s="3374"/>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5" t="str">
        <f>A49</f>
        <v>估价对象XX用房的比较价格（楼面单价，元/平方米）</v>
      </c>
      <c r="Q49" s="3396"/>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0" t="s">
        <v>522</v>
      </c>
      <c r="D4" s="3381"/>
      <c r="E4" s="3404" t="s">
        <v>523</v>
      </c>
      <c r="F4" s="3405"/>
      <c r="G4" s="3380" t="s">
        <v>524</v>
      </c>
      <c r="H4" s="3381"/>
      <c r="I4" s="3380" t="s">
        <v>525</v>
      </c>
      <c r="J4" s="3381"/>
      <c r="K4" s="514" t="s">
        <v>526</v>
      </c>
      <c r="L4" s="2119"/>
      <c r="M4" s="2120"/>
      <c r="N4" s="2120"/>
      <c r="O4" s="2120"/>
      <c r="P4" s="3482"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483"/>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484"/>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5"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5" t="s">
        <v>533</v>
      </c>
      <c r="Q8" s="3367"/>
      <c r="R8" s="1555" t="s">
        <v>8</v>
      </c>
      <c r="S8" s="1556">
        <f t="shared" si="0"/>
        <v>0</v>
      </c>
      <c r="T8" s="1555" t="s">
        <v>8</v>
      </c>
      <c r="U8" s="1556">
        <f t="shared" si="1"/>
        <v>0</v>
      </c>
      <c r="V8" s="1555" t="s">
        <v>8</v>
      </c>
      <c r="W8" s="1556">
        <f t="shared" si="2"/>
        <v>0</v>
      </c>
      <c r="X8" s="1557"/>
      <c r="Y8" s="3366" t="s">
        <v>533</v>
      </c>
      <c r="Z8" s="336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6" t="s">
        <v>540</v>
      </c>
      <c r="Q15" s="1559" t="str">
        <f t="shared" si="6"/>
        <v>办公集聚程度</v>
      </c>
      <c r="R15" s="1560" t="s">
        <v>8</v>
      </c>
      <c r="S15" s="1561">
        <f t="shared" si="0"/>
        <v>100</v>
      </c>
      <c r="T15" s="1560" t="s">
        <v>8</v>
      </c>
      <c r="U15" s="1561">
        <f t="shared" si="1"/>
        <v>100</v>
      </c>
      <c r="V15" s="1560" t="s">
        <v>8</v>
      </c>
      <c r="W15" s="1561">
        <f t="shared" si="2"/>
        <v>100</v>
      </c>
      <c r="X15" s="1554"/>
      <c r="Y15" s="337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7"/>
      <c r="Q16" s="1559"/>
      <c r="R16" s="1560"/>
      <c r="S16" s="1561"/>
      <c r="T16" s="1560"/>
      <c r="U16" s="1561"/>
      <c r="V16" s="1560"/>
      <c r="W16" s="1561"/>
      <c r="X16" s="1554"/>
      <c r="Y16" s="337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7"/>
      <c r="Q18" s="1559"/>
      <c r="R18" s="1560"/>
      <c r="S18" s="1561"/>
      <c r="T18" s="1560"/>
      <c r="U18" s="1561"/>
      <c r="V18" s="1560"/>
      <c r="W18" s="1561"/>
      <c r="X18" s="1554"/>
      <c r="Y18" s="337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7"/>
      <c r="Q20" s="1559"/>
      <c r="R20" s="1560"/>
      <c r="S20" s="1561"/>
      <c r="T20" s="1560"/>
      <c r="U20" s="1561"/>
      <c r="V20" s="1560"/>
      <c r="W20" s="1561"/>
      <c r="X20" s="1554"/>
      <c r="Y20" s="337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7"/>
      <c r="Q22" s="2544"/>
      <c r="R22" s="1560"/>
      <c r="S22" s="1561"/>
      <c r="T22" s="1560"/>
      <c r="U22" s="1561"/>
      <c r="V22" s="1560"/>
      <c r="W22" s="1561"/>
      <c r="X22" s="2546"/>
      <c r="Y22" s="337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7"/>
      <c r="Q24" s="1559"/>
      <c r="R24" s="1560"/>
      <c r="S24" s="1561"/>
      <c r="T24" s="1560"/>
      <c r="U24" s="1561"/>
      <c r="V24" s="1560"/>
      <c r="W24" s="1561"/>
      <c r="X24" s="1554"/>
      <c r="Y24" s="337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7"/>
      <c r="Q26" s="1559"/>
      <c r="R26" s="1560"/>
      <c r="S26" s="1561"/>
      <c r="T26" s="1560"/>
      <c r="U26" s="1561"/>
      <c r="V26" s="1560"/>
      <c r="W26" s="1561"/>
      <c r="X26" s="1554"/>
      <c r="Y26" s="337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8" t="s">
        <v>550</v>
      </c>
      <c r="Q33" s="1559" t="str">
        <f t="shared" si="11"/>
        <v>建筑类型</v>
      </c>
      <c r="R33" s="1560" t="s">
        <v>8</v>
      </c>
      <c r="S33" s="1561">
        <f t="shared" si="12"/>
        <v>100</v>
      </c>
      <c r="T33" s="1560" t="s">
        <v>8</v>
      </c>
      <c r="U33" s="1561">
        <f t="shared" si="13"/>
        <v>100</v>
      </c>
      <c r="V33" s="1560" t="s">
        <v>8</v>
      </c>
      <c r="W33" s="1561">
        <f t="shared" si="14"/>
        <v>100</v>
      </c>
      <c r="X33" s="1554"/>
      <c r="Y33" s="337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9" t="s">
        <v>550</v>
      </c>
      <c r="Q39" s="1559" t="str">
        <f t="shared" si="11"/>
        <v>物业管理</v>
      </c>
      <c r="R39" s="1560" t="s">
        <v>8</v>
      </c>
      <c r="S39" s="1561">
        <f t="shared" si="12"/>
        <v>100</v>
      </c>
      <c r="T39" s="1560" t="s">
        <v>8</v>
      </c>
      <c r="U39" s="1561">
        <f t="shared" si="13"/>
        <v>100</v>
      </c>
      <c r="V39" s="1560" t="s">
        <v>8</v>
      </c>
      <c r="W39" s="1561">
        <f t="shared" si="14"/>
        <v>100</v>
      </c>
      <c r="X39" s="1554"/>
      <c r="Y39" s="337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11"/>
        <v>111</v>
      </c>
      <c r="R47" s="1560" t="s">
        <v>8</v>
      </c>
      <c r="S47" s="1561">
        <f t="shared" si="12"/>
        <v>100</v>
      </c>
      <c r="T47" s="1560" t="s">
        <v>8</v>
      </c>
      <c r="U47" s="1561">
        <f t="shared" si="13"/>
        <v>100</v>
      </c>
      <c r="V47" s="1560" t="s">
        <v>8</v>
      </c>
      <c r="W47" s="1561">
        <f t="shared" si="14"/>
        <v>100</v>
      </c>
      <c r="X47" s="1554"/>
      <c r="Y47" s="348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6" t="str">
        <f>A48</f>
        <v>成交单价（元/平方米）</v>
      </c>
      <c r="Q48" s="3374"/>
      <c r="R48" s="3480">
        <f>E48</f>
        <v>0</v>
      </c>
      <c r="S48" s="3480"/>
      <c r="T48" s="3480">
        <f>G48</f>
        <v>0</v>
      </c>
      <c r="U48" s="3480"/>
      <c r="V48" s="3480">
        <f>I48</f>
        <v>0</v>
      </c>
      <c r="W48" s="348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6" t="str">
        <f>A49</f>
        <v>比较价格（元/平方米）</v>
      </c>
      <c r="Q49" s="3374"/>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5" t="str">
        <f>A50</f>
        <v>估价对象XX用房的比较价格（楼面单价，元/平方米）</v>
      </c>
      <c r="Q50" s="3396"/>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4"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6" t="s">
        <v>540</v>
      </c>
      <c r="Q15" s="1559" t="str">
        <f t="shared" si="6"/>
        <v>产业集聚程度</v>
      </c>
      <c r="R15" s="1560" t="s">
        <v>8</v>
      </c>
      <c r="S15" s="1561">
        <f t="shared" si="0"/>
        <v>100</v>
      </c>
      <c r="T15" s="1560" t="s">
        <v>8</v>
      </c>
      <c r="U15" s="1561">
        <f t="shared" si="1"/>
        <v>100</v>
      </c>
      <c r="V15" s="1560" t="s">
        <v>8</v>
      </c>
      <c r="W15" s="1561">
        <f t="shared" si="2"/>
        <v>100</v>
      </c>
      <c r="X15" s="1554"/>
      <c r="Y15" s="337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8" t="s">
        <v>550</v>
      </c>
      <c r="Q29" s="1559" t="str">
        <f t="shared" si="11"/>
        <v>建筑类型</v>
      </c>
      <c r="R29" s="1560" t="s">
        <v>8</v>
      </c>
      <c r="S29" s="1561">
        <f t="shared" si="12"/>
        <v>100</v>
      </c>
      <c r="T29" s="1560" t="s">
        <v>8</v>
      </c>
      <c r="U29" s="1561">
        <f t="shared" si="13"/>
        <v>100</v>
      </c>
      <c r="V29" s="1560" t="s">
        <v>8</v>
      </c>
      <c r="W29" s="1561">
        <f t="shared" si="14"/>
        <v>100</v>
      </c>
      <c r="X29" s="1554"/>
      <c r="Y29" s="337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9" t="s">
        <v>550</v>
      </c>
      <c r="Q35" s="1559" t="str">
        <f t="shared" si="11"/>
        <v>市政基础设施</v>
      </c>
      <c r="R35" s="1560" t="s">
        <v>8</v>
      </c>
      <c r="S35" s="1561">
        <f t="shared" si="12"/>
        <v>100</v>
      </c>
      <c r="T35" s="1560" t="s">
        <v>8</v>
      </c>
      <c r="U35" s="1561">
        <f t="shared" si="13"/>
        <v>100</v>
      </c>
      <c r="V35" s="1560" t="s">
        <v>8</v>
      </c>
      <c r="W35" s="1561">
        <f t="shared" si="14"/>
        <v>100</v>
      </c>
      <c r="X35" s="1554"/>
      <c r="Y35" s="337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11"/>
        <v>111</v>
      </c>
      <c r="R40" s="1560" t="s">
        <v>8</v>
      </c>
      <c r="S40" s="1561">
        <f t="shared" si="12"/>
        <v>100</v>
      </c>
      <c r="T40" s="1560" t="s">
        <v>8</v>
      </c>
      <c r="U40" s="1561">
        <f t="shared" si="13"/>
        <v>100</v>
      </c>
      <c r="V40" s="1560" t="s">
        <v>8</v>
      </c>
      <c r="W40" s="1561">
        <f t="shared" si="14"/>
        <v>100</v>
      </c>
      <c r="X40" s="1554"/>
      <c r="Y40" s="348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4" t="str">
        <f>A41</f>
        <v>成交单价（元/平方米）</v>
      </c>
      <c r="Q41" s="3374"/>
      <c r="R41" s="3480">
        <f>E41</f>
        <v>0</v>
      </c>
      <c r="S41" s="3480"/>
      <c r="T41" s="3480">
        <f>G41</f>
        <v>0</v>
      </c>
      <c r="U41" s="3480"/>
      <c r="V41" s="3480">
        <f>I41</f>
        <v>0</v>
      </c>
      <c r="W41" s="348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4" t="str">
        <f>A42</f>
        <v>比较价格（元/平方米）</v>
      </c>
      <c r="Q42" s="3374"/>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5" t="str">
        <f>A43</f>
        <v>估价对象XX用房的比较价格（楼面单价，元/平方米）</v>
      </c>
      <c r="Q43" s="3396"/>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380" t="s">
        <v>799</v>
      </c>
      <c r="F4" s="3381"/>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2931</v>
      </c>
      <c r="D5" s="3392"/>
      <c r="E5" s="3391" t="s">
        <v>2932</v>
      </c>
      <c r="F5" s="3392"/>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393" t="s">
        <v>2935</v>
      </c>
      <c r="F6" s="3394"/>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9" t="s">
        <v>550</v>
      </c>
      <c r="Q32" s="1559" t="str">
        <f t="shared" si="11"/>
        <v>车位类型</v>
      </c>
      <c r="R32" s="1560" t="s">
        <v>8</v>
      </c>
      <c r="S32" s="1561">
        <f t="shared" si="12"/>
        <v>100</v>
      </c>
      <c r="T32" s="1560" t="s">
        <v>8</v>
      </c>
      <c r="U32" s="1561">
        <f t="shared" si="13"/>
        <v>100</v>
      </c>
      <c r="V32" s="1560" t="s">
        <v>8</v>
      </c>
      <c r="W32" s="1561">
        <f t="shared" si="14"/>
        <v>100</v>
      </c>
      <c r="X32" s="1554"/>
      <c r="Y32" s="337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4" t="str">
        <f>A37</f>
        <v>成交单价</v>
      </c>
      <c r="Q37" s="3374"/>
      <c r="R37" s="3480">
        <f>E37</f>
        <v>0</v>
      </c>
      <c r="S37" s="3480"/>
      <c r="T37" s="3480">
        <f>G37</f>
        <v>0</v>
      </c>
      <c r="U37" s="3480"/>
      <c r="V37" s="3480">
        <f>I37</f>
        <v>0</v>
      </c>
      <c r="W37" s="348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4" t="str">
        <f>A38</f>
        <v>比较价格（元/平方米）</v>
      </c>
      <c r="Q38" s="3374"/>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5" t="str">
        <f>A39</f>
        <v>估价对象XX用房的比较价格（楼面单价，元/平方米）</v>
      </c>
      <c r="Q39" s="3396"/>
      <c r="R39" s="3479" t="e">
        <f>IF(F1="售价",ROUND(AVERAGE(R38:V38),0),ROUND(AVERAGE(R38:V38),1))</f>
        <v>#DIV/0!</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404" t="s">
        <v>799</v>
      </c>
      <c r="F4" s="3405"/>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43612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9" t="s">
        <v>550</v>
      </c>
      <c r="Q32" s="1559">
        <f t="shared" si="11"/>
        <v>111</v>
      </c>
      <c r="R32" s="1560" t="s">
        <v>8</v>
      </c>
      <c r="S32" s="1561">
        <f t="shared" si="12"/>
        <v>100</v>
      </c>
      <c r="T32" s="1560" t="s">
        <v>8</v>
      </c>
      <c r="U32" s="1561">
        <f t="shared" si="13"/>
        <v>100</v>
      </c>
      <c r="V32" s="1560" t="s">
        <v>8</v>
      </c>
      <c r="W32" s="1561">
        <f t="shared" si="14"/>
        <v>100</v>
      </c>
      <c r="X32" s="1554"/>
      <c r="Y32" s="337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4" t="str">
        <f>A35</f>
        <v>成交单价（元/平方米）</v>
      </c>
      <c r="Q35" s="3374"/>
      <c r="R35" s="3480">
        <f>E35</f>
        <v>0</v>
      </c>
      <c r="S35" s="3480"/>
      <c r="T35" s="3480">
        <f>G35</f>
        <v>0</v>
      </c>
      <c r="U35" s="3480"/>
      <c r="V35" s="3480">
        <f>I35</f>
        <v>0</v>
      </c>
      <c r="W35" s="348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4" t="str">
        <f>A36</f>
        <v>比较价格（元/平方米）</v>
      </c>
      <c r="Q36" s="3374"/>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5" t="str">
        <f>A37</f>
        <v>估价对象XX用房的比较价格（楼面单价，元/平方米）</v>
      </c>
      <c r="Q37" s="3396"/>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J49" activeCellId="1" sqref="G32 J49"/>
      <selection pane="bottomLeft" activeCell="J49" activeCellId="1" sqref="G32 J4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9" t="s">
        <v>2304</v>
      </c>
      <c r="D1" s="3490"/>
      <c r="E1" s="3490"/>
      <c r="F1" s="3490"/>
      <c r="G1" s="3490"/>
      <c r="H1" s="3490"/>
      <c r="I1" s="3490"/>
      <c r="J1" s="3490"/>
      <c r="K1" s="3490"/>
      <c r="L1" s="3490"/>
      <c r="M1" s="3490"/>
      <c r="N1" s="3490"/>
      <c r="O1" s="3490"/>
      <c r="P1" s="3490"/>
      <c r="Q1" s="3490"/>
      <c r="R1" s="3490"/>
      <c r="S1" s="349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43612</v>
      </c>
      <c r="H1" s="2894">
        <f>IF(C1&gt;C13,0,MATCH(C1,C$13:C$100,-1))+IF(SUMIF(C13:C100,C1,D13:D100)=0,13,12)</f>
        <v>13</v>
      </c>
      <c r="I1" s="2894">
        <f ca="1">MATCH(C2,H3:H7,1)+IF(SUMIF(H3:H7,C2,I3:I7)=0,2,1)</f>
        <v>5</v>
      </c>
      <c r="J1" s="2953">
        <f>MATCH(C3,H3:H7,1)+IF(SUMIF(H3:H7,C3,J3:J7)=0,2,1)</f>
        <v>5</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1.5</v>
      </c>
      <c r="D3" s="2956" t="s">
        <v>2789</v>
      </c>
      <c r="E3" s="2959">
        <f ca="1">INDIRECT("J"&amp;$J$1)/100</f>
        <v>4.7500000000000001E-2</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16174.01平方米。根据《建设工程规划许可证》[]、《出让合同》[]，估价对象规划建筑面积为46502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2019年5月27日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根据《国有土地使用证》[]，本次评估估价对象证载（地类）用途为居住。</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本次评估设定用途即为证载用途居住。</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根据《国有土地使用证》[]，估价对象（分摊）出让国有建设用地使用权面积为16174.01平方米。根据《建设工程规划许可证》[]、《出让合同》[]，估价对象规划建筑面积为46502平方米。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93.75">
      <c r="A25" s="1777" t="str">
        <f>定义!C53</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48" t="s">
        <v>2463</v>
      </c>
      <c r="C6" s="783">
        <f ca="1">ROUND(F6*F8*F7*(1-F9)/10000,0)</f>
        <v>0</v>
      </c>
      <c r="D6" s="2462" t="s">
        <v>2462</v>
      </c>
      <c r="E6" s="784" t="s">
        <v>1738</v>
      </c>
      <c r="F6" s="785">
        <f ca="1">INDIRECT("'数据-取费表'!u"&amp;$G$1)</f>
        <v>0</v>
      </c>
      <c r="G6" s="1579"/>
      <c r="H6" s="2469" t="s">
        <v>2468</v>
      </c>
      <c r="I6" s="3448" t="s">
        <v>2463</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0</v>
      </c>
      <c r="G7" s="1579"/>
      <c r="H7" s="2454"/>
      <c r="I7" s="3449"/>
      <c r="J7" s="788"/>
      <c r="K7" s="789"/>
      <c r="L7" s="784" t="s">
        <v>1739</v>
      </c>
      <c r="M7" s="785">
        <f ca="1">F7</f>
        <v>0</v>
      </c>
    </row>
    <row r="8" spans="1:33" ht="18" customHeight="1">
      <c r="A8" s="2458"/>
      <c r="B8" s="3450"/>
      <c r="C8" s="788"/>
      <c r="D8" s="789"/>
      <c r="E8" s="784" t="s">
        <v>1740</v>
      </c>
      <c r="F8" s="785">
        <f ca="1">INDIRECT("'数据-取费表'!ai"&amp;$G$1)</f>
        <v>0</v>
      </c>
      <c r="G8" s="1579"/>
      <c r="H8" s="2454"/>
      <c r="I8" s="3450"/>
      <c r="J8" s="788"/>
      <c r="K8" s="789"/>
      <c r="L8" s="784" t="s">
        <v>1740</v>
      </c>
      <c r="M8" s="785">
        <f ca="1">INDIRECT("'数据-取费表'!ai"&amp;$G$1)</f>
        <v>0</v>
      </c>
    </row>
    <row r="9" spans="1:33" ht="18" customHeight="1">
      <c r="A9" s="786"/>
      <c r="B9" s="3451"/>
      <c r="C9" s="788"/>
      <c r="D9" s="789"/>
      <c r="E9" s="784" t="s">
        <v>1741</v>
      </c>
      <c r="F9" s="794">
        <f ca="1">INDIRECT("'数据-取费表'!w"&amp;$G$1)</f>
        <v>0</v>
      </c>
      <c r="G9" s="1579"/>
      <c r="H9" s="2470"/>
      <c r="I9" s="345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2976</v>
      </c>
      <c r="E10" s="2463" t="s">
        <v>2464</v>
      </c>
      <c r="F10" s="2586"/>
      <c r="G10" s="1579"/>
      <c r="H10" s="2526" t="s">
        <v>2469</v>
      </c>
      <c r="I10" s="2531" t="s">
        <v>2459</v>
      </c>
      <c r="J10" s="783">
        <f ca="1">ROUND(IF(M10="押一",J6/12*M11,IF(M10="押二",J6/12*2*M11,IF(M10="押三",J6/12*3*M11,J11*M11))),0)</f>
        <v>0</v>
      </c>
      <c r="K10" s="2466" t="s">
        <v>2976</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150</v>
      </c>
      <c r="G17" s="1580"/>
      <c r="H17" s="1635" t="s">
        <v>1830</v>
      </c>
      <c r="I17" s="784" t="s">
        <v>656</v>
      </c>
      <c r="J17" s="53">
        <f ca="1">ROUND(IF(项目基本情况!B11="自然人",J5*M17,J18+J19+J20),0)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1.4999999999999999E-2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1.5</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8</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2977</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2980</v>
      </c>
      <c r="J53" s="3106">
        <f ca="1">IF(M47="住宅",IF(D1="——",MAX(J51,L48),MAX(J51,L48-'数据-取费表'!B20)),IF(D1="——",MIN(J51,L48),MIN(J51,L48-'数据-取费表'!B20)))</f>
        <v>0</v>
      </c>
      <c r="K53" s="3492" t="s">
        <v>2968</v>
      </c>
      <c r="L53" s="3493"/>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8</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K1" workbookViewId="0">
      <selection activeCell="R3" sqref="R3:R5"/>
    </sheetView>
  </sheetViews>
  <sheetFormatPr defaultRowHeight="13.5"/>
  <cols>
    <col min="1" max="1" width="88.875" style="3185" customWidth="1"/>
    <col min="2" max="2" width="6.25" style="3185" customWidth="1"/>
    <col min="3" max="3" width="13.875" style="3185" customWidth="1"/>
    <col min="4" max="4" width="6.25" style="3185" customWidth="1"/>
    <col min="5" max="5" width="88.875" style="3185" customWidth="1"/>
    <col min="6" max="6" width="7.875" style="3185" customWidth="1"/>
    <col min="7" max="7" width="17.75" style="3185" customWidth="1"/>
    <col min="8" max="9" width="13.875" style="3185" customWidth="1"/>
    <col min="10" max="10" width="24" style="3185" customWidth="1"/>
    <col min="11" max="12" width="9" style="3185" customWidth="1"/>
    <col min="13" max="13" width="7.875" style="3185" customWidth="1"/>
    <col min="14" max="14" width="43.875" style="3185" customWidth="1"/>
    <col min="15" max="16" width="10.625" style="3185" customWidth="1"/>
    <col min="17" max="17" width="16" style="3185" customWidth="1"/>
    <col min="18" max="18" width="14.375" style="3185" customWidth="1"/>
    <col min="19" max="19" width="6.25" style="3185" customWidth="1"/>
    <col min="20" max="20" width="22.875" style="3185" customWidth="1"/>
    <col min="21" max="21" width="7.875" style="3185" customWidth="1"/>
    <col min="22" max="256" width="9" style="3185"/>
    <col min="257" max="257" width="88.875" style="3185" customWidth="1"/>
    <col min="258" max="258" width="6.25" style="3185" customWidth="1"/>
    <col min="259" max="259" width="13.875" style="3185" customWidth="1"/>
    <col min="260" max="260" width="6.25" style="3185" customWidth="1"/>
    <col min="261" max="261" width="88.875" style="3185" customWidth="1"/>
    <col min="262" max="262" width="7.875" style="3185" customWidth="1"/>
    <col min="263" max="263" width="17.75" style="3185" customWidth="1"/>
    <col min="264" max="265" width="13.875" style="3185" customWidth="1"/>
    <col min="266" max="266" width="24" style="3185" customWidth="1"/>
    <col min="267" max="268" width="9" style="3185" customWidth="1"/>
    <col min="269" max="269" width="7.875" style="3185" customWidth="1"/>
    <col min="270" max="270" width="43.875" style="3185" customWidth="1"/>
    <col min="271" max="272" width="10.625" style="3185" customWidth="1"/>
    <col min="273" max="273" width="16" style="3185" customWidth="1"/>
    <col min="274" max="274" width="14.375" style="3185" customWidth="1"/>
    <col min="275" max="275" width="6.25" style="3185" customWidth="1"/>
    <col min="276" max="276" width="22.875" style="3185" customWidth="1"/>
    <col min="277" max="277" width="7.875" style="3185" customWidth="1"/>
    <col min="278" max="512" width="9" style="3185"/>
    <col min="513" max="513" width="88.875" style="3185" customWidth="1"/>
    <col min="514" max="514" width="6.25" style="3185" customWidth="1"/>
    <col min="515" max="515" width="13.875" style="3185" customWidth="1"/>
    <col min="516" max="516" width="6.25" style="3185" customWidth="1"/>
    <col min="517" max="517" width="88.875" style="3185" customWidth="1"/>
    <col min="518" max="518" width="7.875" style="3185" customWidth="1"/>
    <col min="519" max="519" width="17.75" style="3185" customWidth="1"/>
    <col min="520" max="521" width="13.875" style="3185" customWidth="1"/>
    <col min="522" max="522" width="24" style="3185" customWidth="1"/>
    <col min="523" max="524" width="9" style="3185" customWidth="1"/>
    <col min="525" max="525" width="7.875" style="3185" customWidth="1"/>
    <col min="526" max="526" width="43.875" style="3185" customWidth="1"/>
    <col min="527" max="528" width="10.625" style="3185" customWidth="1"/>
    <col min="529" max="529" width="16" style="3185" customWidth="1"/>
    <col min="530" max="530" width="14.375" style="3185" customWidth="1"/>
    <col min="531" max="531" width="6.25" style="3185" customWidth="1"/>
    <col min="532" max="532" width="22.875" style="3185" customWidth="1"/>
    <col min="533" max="533" width="7.875" style="3185" customWidth="1"/>
    <col min="534" max="768" width="9" style="3185"/>
    <col min="769" max="769" width="88.875" style="3185" customWidth="1"/>
    <col min="770" max="770" width="6.25" style="3185" customWidth="1"/>
    <col min="771" max="771" width="13.875" style="3185" customWidth="1"/>
    <col min="772" max="772" width="6.25" style="3185" customWidth="1"/>
    <col min="773" max="773" width="88.875" style="3185" customWidth="1"/>
    <col min="774" max="774" width="7.875" style="3185" customWidth="1"/>
    <col min="775" max="775" width="17.75" style="3185" customWidth="1"/>
    <col min="776" max="777" width="13.875" style="3185" customWidth="1"/>
    <col min="778" max="778" width="24" style="3185" customWidth="1"/>
    <col min="779" max="780" width="9" style="3185" customWidth="1"/>
    <col min="781" max="781" width="7.875" style="3185" customWidth="1"/>
    <col min="782" max="782" width="43.875" style="3185" customWidth="1"/>
    <col min="783" max="784" width="10.625" style="3185" customWidth="1"/>
    <col min="785" max="785" width="16" style="3185" customWidth="1"/>
    <col min="786" max="786" width="14.375" style="3185" customWidth="1"/>
    <col min="787" max="787" width="6.25" style="3185" customWidth="1"/>
    <col min="788" max="788" width="22.875" style="3185" customWidth="1"/>
    <col min="789" max="789" width="7.875" style="3185" customWidth="1"/>
    <col min="790" max="1024" width="9" style="3185"/>
    <col min="1025" max="1025" width="88.875" style="3185" customWidth="1"/>
    <col min="1026" max="1026" width="6.25" style="3185" customWidth="1"/>
    <col min="1027" max="1027" width="13.875" style="3185" customWidth="1"/>
    <col min="1028" max="1028" width="6.25" style="3185" customWidth="1"/>
    <col min="1029" max="1029" width="88.875" style="3185" customWidth="1"/>
    <col min="1030" max="1030" width="7.875" style="3185" customWidth="1"/>
    <col min="1031" max="1031" width="17.75" style="3185" customWidth="1"/>
    <col min="1032" max="1033" width="13.875" style="3185" customWidth="1"/>
    <col min="1034" max="1034" width="24" style="3185" customWidth="1"/>
    <col min="1035" max="1036" width="9" style="3185" customWidth="1"/>
    <col min="1037" max="1037" width="7.875" style="3185" customWidth="1"/>
    <col min="1038" max="1038" width="43.875" style="3185" customWidth="1"/>
    <col min="1039" max="1040" width="10.625" style="3185" customWidth="1"/>
    <col min="1041" max="1041" width="16" style="3185" customWidth="1"/>
    <col min="1042" max="1042" width="14.375" style="3185" customWidth="1"/>
    <col min="1043" max="1043" width="6.25" style="3185" customWidth="1"/>
    <col min="1044" max="1044" width="22.875" style="3185" customWidth="1"/>
    <col min="1045" max="1045" width="7.875" style="3185" customWidth="1"/>
    <col min="1046" max="1280" width="9" style="3185"/>
    <col min="1281" max="1281" width="88.875" style="3185" customWidth="1"/>
    <col min="1282" max="1282" width="6.25" style="3185" customWidth="1"/>
    <col min="1283" max="1283" width="13.875" style="3185" customWidth="1"/>
    <col min="1284" max="1284" width="6.25" style="3185" customWidth="1"/>
    <col min="1285" max="1285" width="88.875" style="3185" customWidth="1"/>
    <col min="1286" max="1286" width="7.875" style="3185" customWidth="1"/>
    <col min="1287" max="1287" width="17.75" style="3185" customWidth="1"/>
    <col min="1288" max="1289" width="13.875" style="3185" customWidth="1"/>
    <col min="1290" max="1290" width="24" style="3185" customWidth="1"/>
    <col min="1291" max="1292" width="9" style="3185" customWidth="1"/>
    <col min="1293" max="1293" width="7.875" style="3185" customWidth="1"/>
    <col min="1294" max="1294" width="43.875" style="3185" customWidth="1"/>
    <col min="1295" max="1296" width="10.625" style="3185" customWidth="1"/>
    <col min="1297" max="1297" width="16" style="3185" customWidth="1"/>
    <col min="1298" max="1298" width="14.375" style="3185" customWidth="1"/>
    <col min="1299" max="1299" width="6.25" style="3185" customWidth="1"/>
    <col min="1300" max="1300" width="22.875" style="3185" customWidth="1"/>
    <col min="1301" max="1301" width="7.875" style="3185" customWidth="1"/>
    <col min="1302" max="1536" width="9" style="3185"/>
    <col min="1537" max="1537" width="88.875" style="3185" customWidth="1"/>
    <col min="1538" max="1538" width="6.25" style="3185" customWidth="1"/>
    <col min="1539" max="1539" width="13.875" style="3185" customWidth="1"/>
    <col min="1540" max="1540" width="6.25" style="3185" customWidth="1"/>
    <col min="1541" max="1541" width="88.875" style="3185" customWidth="1"/>
    <col min="1542" max="1542" width="7.875" style="3185" customWidth="1"/>
    <col min="1543" max="1543" width="17.75" style="3185" customWidth="1"/>
    <col min="1544" max="1545" width="13.875" style="3185" customWidth="1"/>
    <col min="1546" max="1546" width="24" style="3185" customWidth="1"/>
    <col min="1547" max="1548" width="9" style="3185" customWidth="1"/>
    <col min="1549" max="1549" width="7.875" style="3185" customWidth="1"/>
    <col min="1550" max="1550" width="43.875" style="3185" customWidth="1"/>
    <col min="1551" max="1552" width="10.625" style="3185" customWidth="1"/>
    <col min="1553" max="1553" width="16" style="3185" customWidth="1"/>
    <col min="1554" max="1554" width="14.375" style="3185" customWidth="1"/>
    <col min="1555" max="1555" width="6.25" style="3185" customWidth="1"/>
    <col min="1556" max="1556" width="22.875" style="3185" customWidth="1"/>
    <col min="1557" max="1557" width="7.875" style="3185" customWidth="1"/>
    <col min="1558" max="1792" width="9" style="3185"/>
    <col min="1793" max="1793" width="88.875" style="3185" customWidth="1"/>
    <col min="1794" max="1794" width="6.25" style="3185" customWidth="1"/>
    <col min="1795" max="1795" width="13.875" style="3185" customWidth="1"/>
    <col min="1796" max="1796" width="6.25" style="3185" customWidth="1"/>
    <col min="1797" max="1797" width="88.875" style="3185" customWidth="1"/>
    <col min="1798" max="1798" width="7.875" style="3185" customWidth="1"/>
    <col min="1799" max="1799" width="17.75" style="3185" customWidth="1"/>
    <col min="1800" max="1801" width="13.875" style="3185" customWidth="1"/>
    <col min="1802" max="1802" width="24" style="3185" customWidth="1"/>
    <col min="1803" max="1804" width="9" style="3185" customWidth="1"/>
    <col min="1805" max="1805" width="7.875" style="3185" customWidth="1"/>
    <col min="1806" max="1806" width="43.875" style="3185" customWidth="1"/>
    <col min="1807" max="1808" width="10.625" style="3185" customWidth="1"/>
    <col min="1809" max="1809" width="16" style="3185" customWidth="1"/>
    <col min="1810" max="1810" width="14.375" style="3185" customWidth="1"/>
    <col min="1811" max="1811" width="6.25" style="3185" customWidth="1"/>
    <col min="1812" max="1812" width="22.875" style="3185" customWidth="1"/>
    <col min="1813" max="1813" width="7.875" style="3185" customWidth="1"/>
    <col min="1814" max="2048" width="9" style="3185"/>
    <col min="2049" max="2049" width="88.875" style="3185" customWidth="1"/>
    <col min="2050" max="2050" width="6.25" style="3185" customWidth="1"/>
    <col min="2051" max="2051" width="13.875" style="3185" customWidth="1"/>
    <col min="2052" max="2052" width="6.25" style="3185" customWidth="1"/>
    <col min="2053" max="2053" width="88.875" style="3185" customWidth="1"/>
    <col min="2054" max="2054" width="7.875" style="3185" customWidth="1"/>
    <col min="2055" max="2055" width="17.75" style="3185" customWidth="1"/>
    <col min="2056" max="2057" width="13.875" style="3185" customWidth="1"/>
    <col min="2058" max="2058" width="24" style="3185" customWidth="1"/>
    <col min="2059" max="2060" width="9" style="3185" customWidth="1"/>
    <col min="2061" max="2061" width="7.875" style="3185" customWidth="1"/>
    <col min="2062" max="2062" width="43.875" style="3185" customWidth="1"/>
    <col min="2063" max="2064" width="10.625" style="3185" customWidth="1"/>
    <col min="2065" max="2065" width="16" style="3185" customWidth="1"/>
    <col min="2066" max="2066" width="14.375" style="3185" customWidth="1"/>
    <col min="2067" max="2067" width="6.25" style="3185" customWidth="1"/>
    <col min="2068" max="2068" width="22.875" style="3185" customWidth="1"/>
    <col min="2069" max="2069" width="7.875" style="3185" customWidth="1"/>
    <col min="2070" max="2304" width="9" style="3185"/>
    <col min="2305" max="2305" width="88.875" style="3185" customWidth="1"/>
    <col min="2306" max="2306" width="6.25" style="3185" customWidth="1"/>
    <col min="2307" max="2307" width="13.875" style="3185" customWidth="1"/>
    <col min="2308" max="2308" width="6.25" style="3185" customWidth="1"/>
    <col min="2309" max="2309" width="88.875" style="3185" customWidth="1"/>
    <col min="2310" max="2310" width="7.875" style="3185" customWidth="1"/>
    <col min="2311" max="2311" width="17.75" style="3185" customWidth="1"/>
    <col min="2312" max="2313" width="13.875" style="3185" customWidth="1"/>
    <col min="2314" max="2314" width="24" style="3185" customWidth="1"/>
    <col min="2315" max="2316" width="9" style="3185" customWidth="1"/>
    <col min="2317" max="2317" width="7.875" style="3185" customWidth="1"/>
    <col min="2318" max="2318" width="43.875" style="3185" customWidth="1"/>
    <col min="2319" max="2320" width="10.625" style="3185" customWidth="1"/>
    <col min="2321" max="2321" width="16" style="3185" customWidth="1"/>
    <col min="2322" max="2322" width="14.375" style="3185" customWidth="1"/>
    <col min="2323" max="2323" width="6.25" style="3185" customWidth="1"/>
    <col min="2324" max="2324" width="22.875" style="3185" customWidth="1"/>
    <col min="2325" max="2325" width="7.875" style="3185" customWidth="1"/>
    <col min="2326" max="2560" width="9" style="3185"/>
    <col min="2561" max="2561" width="88.875" style="3185" customWidth="1"/>
    <col min="2562" max="2562" width="6.25" style="3185" customWidth="1"/>
    <col min="2563" max="2563" width="13.875" style="3185" customWidth="1"/>
    <col min="2564" max="2564" width="6.25" style="3185" customWidth="1"/>
    <col min="2565" max="2565" width="88.875" style="3185" customWidth="1"/>
    <col min="2566" max="2566" width="7.875" style="3185" customWidth="1"/>
    <col min="2567" max="2567" width="17.75" style="3185" customWidth="1"/>
    <col min="2568" max="2569" width="13.875" style="3185" customWidth="1"/>
    <col min="2570" max="2570" width="24" style="3185" customWidth="1"/>
    <col min="2571" max="2572" width="9" style="3185" customWidth="1"/>
    <col min="2573" max="2573" width="7.875" style="3185" customWidth="1"/>
    <col min="2574" max="2574" width="43.875" style="3185" customWidth="1"/>
    <col min="2575" max="2576" width="10.625" style="3185" customWidth="1"/>
    <col min="2577" max="2577" width="16" style="3185" customWidth="1"/>
    <col min="2578" max="2578" width="14.375" style="3185" customWidth="1"/>
    <col min="2579" max="2579" width="6.25" style="3185" customWidth="1"/>
    <col min="2580" max="2580" width="22.875" style="3185" customWidth="1"/>
    <col min="2581" max="2581" width="7.875" style="3185" customWidth="1"/>
    <col min="2582" max="2816" width="9" style="3185"/>
    <col min="2817" max="2817" width="88.875" style="3185" customWidth="1"/>
    <col min="2818" max="2818" width="6.25" style="3185" customWidth="1"/>
    <col min="2819" max="2819" width="13.875" style="3185" customWidth="1"/>
    <col min="2820" max="2820" width="6.25" style="3185" customWidth="1"/>
    <col min="2821" max="2821" width="88.875" style="3185" customWidth="1"/>
    <col min="2822" max="2822" width="7.875" style="3185" customWidth="1"/>
    <col min="2823" max="2823" width="17.75" style="3185" customWidth="1"/>
    <col min="2824" max="2825" width="13.875" style="3185" customWidth="1"/>
    <col min="2826" max="2826" width="24" style="3185" customWidth="1"/>
    <col min="2827" max="2828" width="9" style="3185" customWidth="1"/>
    <col min="2829" max="2829" width="7.875" style="3185" customWidth="1"/>
    <col min="2830" max="2830" width="43.875" style="3185" customWidth="1"/>
    <col min="2831" max="2832" width="10.625" style="3185" customWidth="1"/>
    <col min="2833" max="2833" width="16" style="3185" customWidth="1"/>
    <col min="2834" max="2834" width="14.375" style="3185" customWidth="1"/>
    <col min="2835" max="2835" width="6.25" style="3185" customWidth="1"/>
    <col min="2836" max="2836" width="22.875" style="3185" customWidth="1"/>
    <col min="2837" max="2837" width="7.875" style="3185" customWidth="1"/>
    <col min="2838" max="3072" width="9" style="3185"/>
    <col min="3073" max="3073" width="88.875" style="3185" customWidth="1"/>
    <col min="3074" max="3074" width="6.25" style="3185" customWidth="1"/>
    <col min="3075" max="3075" width="13.875" style="3185" customWidth="1"/>
    <col min="3076" max="3076" width="6.25" style="3185" customWidth="1"/>
    <col min="3077" max="3077" width="88.875" style="3185" customWidth="1"/>
    <col min="3078" max="3078" width="7.875" style="3185" customWidth="1"/>
    <col min="3079" max="3079" width="17.75" style="3185" customWidth="1"/>
    <col min="3080" max="3081" width="13.875" style="3185" customWidth="1"/>
    <col min="3082" max="3082" width="24" style="3185" customWidth="1"/>
    <col min="3083" max="3084" width="9" style="3185" customWidth="1"/>
    <col min="3085" max="3085" width="7.875" style="3185" customWidth="1"/>
    <col min="3086" max="3086" width="43.875" style="3185" customWidth="1"/>
    <col min="3087" max="3088" width="10.625" style="3185" customWidth="1"/>
    <col min="3089" max="3089" width="16" style="3185" customWidth="1"/>
    <col min="3090" max="3090" width="14.375" style="3185" customWidth="1"/>
    <col min="3091" max="3091" width="6.25" style="3185" customWidth="1"/>
    <col min="3092" max="3092" width="22.875" style="3185" customWidth="1"/>
    <col min="3093" max="3093" width="7.875" style="3185" customWidth="1"/>
    <col min="3094" max="3328" width="9" style="3185"/>
    <col min="3329" max="3329" width="88.875" style="3185" customWidth="1"/>
    <col min="3330" max="3330" width="6.25" style="3185" customWidth="1"/>
    <col min="3331" max="3331" width="13.875" style="3185" customWidth="1"/>
    <col min="3332" max="3332" width="6.25" style="3185" customWidth="1"/>
    <col min="3333" max="3333" width="88.875" style="3185" customWidth="1"/>
    <col min="3334" max="3334" width="7.875" style="3185" customWidth="1"/>
    <col min="3335" max="3335" width="17.75" style="3185" customWidth="1"/>
    <col min="3336" max="3337" width="13.875" style="3185" customWidth="1"/>
    <col min="3338" max="3338" width="24" style="3185" customWidth="1"/>
    <col min="3339" max="3340" width="9" style="3185" customWidth="1"/>
    <col min="3341" max="3341" width="7.875" style="3185" customWidth="1"/>
    <col min="3342" max="3342" width="43.875" style="3185" customWidth="1"/>
    <col min="3343" max="3344" width="10.625" style="3185" customWidth="1"/>
    <col min="3345" max="3345" width="16" style="3185" customWidth="1"/>
    <col min="3346" max="3346" width="14.375" style="3185" customWidth="1"/>
    <col min="3347" max="3347" width="6.25" style="3185" customWidth="1"/>
    <col min="3348" max="3348" width="22.875" style="3185" customWidth="1"/>
    <col min="3349" max="3349" width="7.875" style="3185" customWidth="1"/>
    <col min="3350" max="3584" width="9" style="3185"/>
    <col min="3585" max="3585" width="88.875" style="3185" customWidth="1"/>
    <col min="3586" max="3586" width="6.25" style="3185" customWidth="1"/>
    <col min="3587" max="3587" width="13.875" style="3185" customWidth="1"/>
    <col min="3588" max="3588" width="6.25" style="3185" customWidth="1"/>
    <col min="3589" max="3589" width="88.875" style="3185" customWidth="1"/>
    <col min="3590" max="3590" width="7.875" style="3185" customWidth="1"/>
    <col min="3591" max="3591" width="17.75" style="3185" customWidth="1"/>
    <col min="3592" max="3593" width="13.875" style="3185" customWidth="1"/>
    <col min="3594" max="3594" width="24" style="3185" customWidth="1"/>
    <col min="3595" max="3596" width="9" style="3185" customWidth="1"/>
    <col min="3597" max="3597" width="7.875" style="3185" customWidth="1"/>
    <col min="3598" max="3598" width="43.875" style="3185" customWidth="1"/>
    <col min="3599" max="3600" width="10.625" style="3185" customWidth="1"/>
    <col min="3601" max="3601" width="16" style="3185" customWidth="1"/>
    <col min="3602" max="3602" width="14.375" style="3185" customWidth="1"/>
    <col min="3603" max="3603" width="6.25" style="3185" customWidth="1"/>
    <col min="3604" max="3604" width="22.875" style="3185" customWidth="1"/>
    <col min="3605" max="3605" width="7.875" style="3185" customWidth="1"/>
    <col min="3606" max="3840" width="9" style="3185"/>
    <col min="3841" max="3841" width="88.875" style="3185" customWidth="1"/>
    <col min="3842" max="3842" width="6.25" style="3185" customWidth="1"/>
    <col min="3843" max="3843" width="13.875" style="3185" customWidth="1"/>
    <col min="3844" max="3844" width="6.25" style="3185" customWidth="1"/>
    <col min="3845" max="3845" width="88.875" style="3185" customWidth="1"/>
    <col min="3846" max="3846" width="7.875" style="3185" customWidth="1"/>
    <col min="3847" max="3847" width="17.75" style="3185" customWidth="1"/>
    <col min="3848" max="3849" width="13.875" style="3185" customWidth="1"/>
    <col min="3850" max="3850" width="24" style="3185" customWidth="1"/>
    <col min="3851" max="3852" width="9" style="3185" customWidth="1"/>
    <col min="3853" max="3853" width="7.875" style="3185" customWidth="1"/>
    <col min="3854" max="3854" width="43.875" style="3185" customWidth="1"/>
    <col min="3855" max="3856" width="10.625" style="3185" customWidth="1"/>
    <col min="3857" max="3857" width="16" style="3185" customWidth="1"/>
    <col min="3858" max="3858" width="14.375" style="3185" customWidth="1"/>
    <col min="3859" max="3859" width="6.25" style="3185" customWidth="1"/>
    <col min="3860" max="3860" width="22.875" style="3185" customWidth="1"/>
    <col min="3861" max="3861" width="7.875" style="3185" customWidth="1"/>
    <col min="3862" max="4096" width="9" style="3185"/>
    <col min="4097" max="4097" width="88.875" style="3185" customWidth="1"/>
    <col min="4098" max="4098" width="6.25" style="3185" customWidth="1"/>
    <col min="4099" max="4099" width="13.875" style="3185" customWidth="1"/>
    <col min="4100" max="4100" width="6.25" style="3185" customWidth="1"/>
    <col min="4101" max="4101" width="88.875" style="3185" customWidth="1"/>
    <col min="4102" max="4102" width="7.875" style="3185" customWidth="1"/>
    <col min="4103" max="4103" width="17.75" style="3185" customWidth="1"/>
    <col min="4104" max="4105" width="13.875" style="3185" customWidth="1"/>
    <col min="4106" max="4106" width="24" style="3185" customWidth="1"/>
    <col min="4107" max="4108" width="9" style="3185" customWidth="1"/>
    <col min="4109" max="4109" width="7.875" style="3185" customWidth="1"/>
    <col min="4110" max="4110" width="43.875" style="3185" customWidth="1"/>
    <col min="4111" max="4112" width="10.625" style="3185" customWidth="1"/>
    <col min="4113" max="4113" width="16" style="3185" customWidth="1"/>
    <col min="4114" max="4114" width="14.375" style="3185" customWidth="1"/>
    <col min="4115" max="4115" width="6.25" style="3185" customWidth="1"/>
    <col min="4116" max="4116" width="22.875" style="3185" customWidth="1"/>
    <col min="4117" max="4117" width="7.875" style="3185" customWidth="1"/>
    <col min="4118" max="4352" width="9" style="3185"/>
    <col min="4353" max="4353" width="88.875" style="3185" customWidth="1"/>
    <col min="4354" max="4354" width="6.25" style="3185" customWidth="1"/>
    <col min="4355" max="4355" width="13.875" style="3185" customWidth="1"/>
    <col min="4356" max="4356" width="6.25" style="3185" customWidth="1"/>
    <col min="4357" max="4357" width="88.875" style="3185" customWidth="1"/>
    <col min="4358" max="4358" width="7.875" style="3185" customWidth="1"/>
    <col min="4359" max="4359" width="17.75" style="3185" customWidth="1"/>
    <col min="4360" max="4361" width="13.875" style="3185" customWidth="1"/>
    <col min="4362" max="4362" width="24" style="3185" customWidth="1"/>
    <col min="4363" max="4364" width="9" style="3185" customWidth="1"/>
    <col min="4365" max="4365" width="7.875" style="3185" customWidth="1"/>
    <col min="4366" max="4366" width="43.875" style="3185" customWidth="1"/>
    <col min="4367" max="4368" width="10.625" style="3185" customWidth="1"/>
    <col min="4369" max="4369" width="16" style="3185" customWidth="1"/>
    <col min="4370" max="4370" width="14.375" style="3185" customWidth="1"/>
    <col min="4371" max="4371" width="6.25" style="3185" customWidth="1"/>
    <col min="4372" max="4372" width="22.875" style="3185" customWidth="1"/>
    <col min="4373" max="4373" width="7.875" style="3185" customWidth="1"/>
    <col min="4374" max="4608" width="9" style="3185"/>
    <col min="4609" max="4609" width="88.875" style="3185" customWidth="1"/>
    <col min="4610" max="4610" width="6.25" style="3185" customWidth="1"/>
    <col min="4611" max="4611" width="13.875" style="3185" customWidth="1"/>
    <col min="4612" max="4612" width="6.25" style="3185" customWidth="1"/>
    <col min="4613" max="4613" width="88.875" style="3185" customWidth="1"/>
    <col min="4614" max="4614" width="7.875" style="3185" customWidth="1"/>
    <col min="4615" max="4615" width="17.75" style="3185" customWidth="1"/>
    <col min="4616" max="4617" width="13.875" style="3185" customWidth="1"/>
    <col min="4618" max="4618" width="24" style="3185" customWidth="1"/>
    <col min="4619" max="4620" width="9" style="3185" customWidth="1"/>
    <col min="4621" max="4621" width="7.875" style="3185" customWidth="1"/>
    <col min="4622" max="4622" width="43.875" style="3185" customWidth="1"/>
    <col min="4623" max="4624" width="10.625" style="3185" customWidth="1"/>
    <col min="4625" max="4625" width="16" style="3185" customWidth="1"/>
    <col min="4626" max="4626" width="14.375" style="3185" customWidth="1"/>
    <col min="4627" max="4627" width="6.25" style="3185" customWidth="1"/>
    <col min="4628" max="4628" width="22.875" style="3185" customWidth="1"/>
    <col min="4629" max="4629" width="7.875" style="3185" customWidth="1"/>
    <col min="4630" max="4864" width="9" style="3185"/>
    <col min="4865" max="4865" width="88.875" style="3185" customWidth="1"/>
    <col min="4866" max="4866" width="6.25" style="3185" customWidth="1"/>
    <col min="4867" max="4867" width="13.875" style="3185" customWidth="1"/>
    <col min="4868" max="4868" width="6.25" style="3185" customWidth="1"/>
    <col min="4869" max="4869" width="88.875" style="3185" customWidth="1"/>
    <col min="4870" max="4870" width="7.875" style="3185" customWidth="1"/>
    <col min="4871" max="4871" width="17.75" style="3185" customWidth="1"/>
    <col min="4872" max="4873" width="13.875" style="3185" customWidth="1"/>
    <col min="4874" max="4874" width="24" style="3185" customWidth="1"/>
    <col min="4875" max="4876" width="9" style="3185" customWidth="1"/>
    <col min="4877" max="4877" width="7.875" style="3185" customWidth="1"/>
    <col min="4878" max="4878" width="43.875" style="3185" customWidth="1"/>
    <col min="4879" max="4880" width="10.625" style="3185" customWidth="1"/>
    <col min="4881" max="4881" width="16" style="3185" customWidth="1"/>
    <col min="4882" max="4882" width="14.375" style="3185" customWidth="1"/>
    <col min="4883" max="4883" width="6.25" style="3185" customWidth="1"/>
    <col min="4884" max="4884" width="22.875" style="3185" customWidth="1"/>
    <col min="4885" max="4885" width="7.875" style="3185" customWidth="1"/>
    <col min="4886" max="5120" width="9" style="3185"/>
    <col min="5121" max="5121" width="88.875" style="3185" customWidth="1"/>
    <col min="5122" max="5122" width="6.25" style="3185" customWidth="1"/>
    <col min="5123" max="5123" width="13.875" style="3185" customWidth="1"/>
    <col min="5124" max="5124" width="6.25" style="3185" customWidth="1"/>
    <col min="5125" max="5125" width="88.875" style="3185" customWidth="1"/>
    <col min="5126" max="5126" width="7.875" style="3185" customWidth="1"/>
    <col min="5127" max="5127" width="17.75" style="3185" customWidth="1"/>
    <col min="5128" max="5129" width="13.875" style="3185" customWidth="1"/>
    <col min="5130" max="5130" width="24" style="3185" customWidth="1"/>
    <col min="5131" max="5132" width="9" style="3185" customWidth="1"/>
    <col min="5133" max="5133" width="7.875" style="3185" customWidth="1"/>
    <col min="5134" max="5134" width="43.875" style="3185" customWidth="1"/>
    <col min="5135" max="5136" width="10.625" style="3185" customWidth="1"/>
    <col min="5137" max="5137" width="16" style="3185" customWidth="1"/>
    <col min="5138" max="5138" width="14.375" style="3185" customWidth="1"/>
    <col min="5139" max="5139" width="6.25" style="3185" customWidth="1"/>
    <col min="5140" max="5140" width="22.875" style="3185" customWidth="1"/>
    <col min="5141" max="5141" width="7.875" style="3185" customWidth="1"/>
    <col min="5142" max="5376" width="9" style="3185"/>
    <col min="5377" max="5377" width="88.875" style="3185" customWidth="1"/>
    <col min="5378" max="5378" width="6.25" style="3185" customWidth="1"/>
    <col min="5379" max="5379" width="13.875" style="3185" customWidth="1"/>
    <col min="5380" max="5380" width="6.25" style="3185" customWidth="1"/>
    <col min="5381" max="5381" width="88.875" style="3185" customWidth="1"/>
    <col min="5382" max="5382" width="7.875" style="3185" customWidth="1"/>
    <col min="5383" max="5383" width="17.75" style="3185" customWidth="1"/>
    <col min="5384" max="5385" width="13.875" style="3185" customWidth="1"/>
    <col min="5386" max="5386" width="24" style="3185" customWidth="1"/>
    <col min="5387" max="5388" width="9" style="3185" customWidth="1"/>
    <col min="5389" max="5389" width="7.875" style="3185" customWidth="1"/>
    <col min="5390" max="5390" width="43.875" style="3185" customWidth="1"/>
    <col min="5391" max="5392" width="10.625" style="3185" customWidth="1"/>
    <col min="5393" max="5393" width="16" style="3185" customWidth="1"/>
    <col min="5394" max="5394" width="14.375" style="3185" customWidth="1"/>
    <col min="5395" max="5395" width="6.25" style="3185" customWidth="1"/>
    <col min="5396" max="5396" width="22.875" style="3185" customWidth="1"/>
    <col min="5397" max="5397" width="7.875" style="3185" customWidth="1"/>
    <col min="5398" max="5632" width="9" style="3185"/>
    <col min="5633" max="5633" width="88.875" style="3185" customWidth="1"/>
    <col min="5634" max="5634" width="6.25" style="3185" customWidth="1"/>
    <col min="5635" max="5635" width="13.875" style="3185" customWidth="1"/>
    <col min="5636" max="5636" width="6.25" style="3185" customWidth="1"/>
    <col min="5637" max="5637" width="88.875" style="3185" customWidth="1"/>
    <col min="5638" max="5638" width="7.875" style="3185" customWidth="1"/>
    <col min="5639" max="5639" width="17.75" style="3185" customWidth="1"/>
    <col min="5640" max="5641" width="13.875" style="3185" customWidth="1"/>
    <col min="5642" max="5642" width="24" style="3185" customWidth="1"/>
    <col min="5643" max="5644" width="9" style="3185" customWidth="1"/>
    <col min="5645" max="5645" width="7.875" style="3185" customWidth="1"/>
    <col min="5646" max="5646" width="43.875" style="3185" customWidth="1"/>
    <col min="5647" max="5648" width="10.625" style="3185" customWidth="1"/>
    <col min="5649" max="5649" width="16" style="3185" customWidth="1"/>
    <col min="5650" max="5650" width="14.375" style="3185" customWidth="1"/>
    <col min="5651" max="5651" width="6.25" style="3185" customWidth="1"/>
    <col min="5652" max="5652" width="22.875" style="3185" customWidth="1"/>
    <col min="5653" max="5653" width="7.875" style="3185" customWidth="1"/>
    <col min="5654" max="5888" width="9" style="3185"/>
    <col min="5889" max="5889" width="88.875" style="3185" customWidth="1"/>
    <col min="5890" max="5890" width="6.25" style="3185" customWidth="1"/>
    <col min="5891" max="5891" width="13.875" style="3185" customWidth="1"/>
    <col min="5892" max="5892" width="6.25" style="3185" customWidth="1"/>
    <col min="5893" max="5893" width="88.875" style="3185" customWidth="1"/>
    <col min="5894" max="5894" width="7.875" style="3185" customWidth="1"/>
    <col min="5895" max="5895" width="17.75" style="3185" customWidth="1"/>
    <col min="5896" max="5897" width="13.875" style="3185" customWidth="1"/>
    <col min="5898" max="5898" width="24" style="3185" customWidth="1"/>
    <col min="5899" max="5900" width="9" style="3185" customWidth="1"/>
    <col min="5901" max="5901" width="7.875" style="3185" customWidth="1"/>
    <col min="5902" max="5902" width="43.875" style="3185" customWidth="1"/>
    <col min="5903" max="5904" width="10.625" style="3185" customWidth="1"/>
    <col min="5905" max="5905" width="16" style="3185" customWidth="1"/>
    <col min="5906" max="5906" width="14.375" style="3185" customWidth="1"/>
    <col min="5907" max="5907" width="6.25" style="3185" customWidth="1"/>
    <col min="5908" max="5908" width="22.875" style="3185" customWidth="1"/>
    <col min="5909" max="5909" width="7.875" style="3185" customWidth="1"/>
    <col min="5910" max="6144" width="9" style="3185"/>
    <col min="6145" max="6145" width="88.875" style="3185" customWidth="1"/>
    <col min="6146" max="6146" width="6.25" style="3185" customWidth="1"/>
    <col min="6147" max="6147" width="13.875" style="3185" customWidth="1"/>
    <col min="6148" max="6148" width="6.25" style="3185" customWidth="1"/>
    <col min="6149" max="6149" width="88.875" style="3185" customWidth="1"/>
    <col min="6150" max="6150" width="7.875" style="3185" customWidth="1"/>
    <col min="6151" max="6151" width="17.75" style="3185" customWidth="1"/>
    <col min="6152" max="6153" width="13.875" style="3185" customWidth="1"/>
    <col min="6154" max="6154" width="24" style="3185" customWidth="1"/>
    <col min="6155" max="6156" width="9" style="3185" customWidth="1"/>
    <col min="6157" max="6157" width="7.875" style="3185" customWidth="1"/>
    <col min="6158" max="6158" width="43.875" style="3185" customWidth="1"/>
    <col min="6159" max="6160" width="10.625" style="3185" customWidth="1"/>
    <col min="6161" max="6161" width="16" style="3185" customWidth="1"/>
    <col min="6162" max="6162" width="14.375" style="3185" customWidth="1"/>
    <col min="6163" max="6163" width="6.25" style="3185" customWidth="1"/>
    <col min="6164" max="6164" width="22.875" style="3185" customWidth="1"/>
    <col min="6165" max="6165" width="7.875" style="3185" customWidth="1"/>
    <col min="6166" max="6400" width="9" style="3185"/>
    <col min="6401" max="6401" width="88.875" style="3185" customWidth="1"/>
    <col min="6402" max="6402" width="6.25" style="3185" customWidth="1"/>
    <col min="6403" max="6403" width="13.875" style="3185" customWidth="1"/>
    <col min="6404" max="6404" width="6.25" style="3185" customWidth="1"/>
    <col min="6405" max="6405" width="88.875" style="3185" customWidth="1"/>
    <col min="6406" max="6406" width="7.875" style="3185" customWidth="1"/>
    <col min="6407" max="6407" width="17.75" style="3185" customWidth="1"/>
    <col min="6408" max="6409" width="13.875" style="3185" customWidth="1"/>
    <col min="6410" max="6410" width="24" style="3185" customWidth="1"/>
    <col min="6411" max="6412" width="9" style="3185" customWidth="1"/>
    <col min="6413" max="6413" width="7.875" style="3185" customWidth="1"/>
    <col min="6414" max="6414" width="43.875" style="3185" customWidth="1"/>
    <col min="6415" max="6416" width="10.625" style="3185" customWidth="1"/>
    <col min="6417" max="6417" width="16" style="3185" customWidth="1"/>
    <col min="6418" max="6418" width="14.375" style="3185" customWidth="1"/>
    <col min="6419" max="6419" width="6.25" style="3185" customWidth="1"/>
    <col min="6420" max="6420" width="22.875" style="3185" customWidth="1"/>
    <col min="6421" max="6421" width="7.875" style="3185" customWidth="1"/>
    <col min="6422" max="6656" width="9" style="3185"/>
    <col min="6657" max="6657" width="88.875" style="3185" customWidth="1"/>
    <col min="6658" max="6658" width="6.25" style="3185" customWidth="1"/>
    <col min="6659" max="6659" width="13.875" style="3185" customWidth="1"/>
    <col min="6660" max="6660" width="6.25" style="3185" customWidth="1"/>
    <col min="6661" max="6661" width="88.875" style="3185" customWidth="1"/>
    <col min="6662" max="6662" width="7.875" style="3185" customWidth="1"/>
    <col min="6663" max="6663" width="17.75" style="3185" customWidth="1"/>
    <col min="6664" max="6665" width="13.875" style="3185" customWidth="1"/>
    <col min="6666" max="6666" width="24" style="3185" customWidth="1"/>
    <col min="6667" max="6668" width="9" style="3185" customWidth="1"/>
    <col min="6669" max="6669" width="7.875" style="3185" customWidth="1"/>
    <col min="6670" max="6670" width="43.875" style="3185" customWidth="1"/>
    <col min="6671" max="6672" width="10.625" style="3185" customWidth="1"/>
    <col min="6673" max="6673" width="16" style="3185" customWidth="1"/>
    <col min="6674" max="6674" width="14.375" style="3185" customWidth="1"/>
    <col min="6675" max="6675" width="6.25" style="3185" customWidth="1"/>
    <col min="6676" max="6676" width="22.875" style="3185" customWidth="1"/>
    <col min="6677" max="6677" width="7.875" style="3185" customWidth="1"/>
    <col min="6678" max="6912" width="9" style="3185"/>
    <col min="6913" max="6913" width="88.875" style="3185" customWidth="1"/>
    <col min="6914" max="6914" width="6.25" style="3185" customWidth="1"/>
    <col min="6915" max="6915" width="13.875" style="3185" customWidth="1"/>
    <col min="6916" max="6916" width="6.25" style="3185" customWidth="1"/>
    <col min="6917" max="6917" width="88.875" style="3185" customWidth="1"/>
    <col min="6918" max="6918" width="7.875" style="3185" customWidth="1"/>
    <col min="6919" max="6919" width="17.75" style="3185" customWidth="1"/>
    <col min="6920" max="6921" width="13.875" style="3185" customWidth="1"/>
    <col min="6922" max="6922" width="24" style="3185" customWidth="1"/>
    <col min="6923" max="6924" width="9" style="3185" customWidth="1"/>
    <col min="6925" max="6925" width="7.875" style="3185" customWidth="1"/>
    <col min="6926" max="6926" width="43.875" style="3185" customWidth="1"/>
    <col min="6927" max="6928" width="10.625" style="3185" customWidth="1"/>
    <col min="6929" max="6929" width="16" style="3185" customWidth="1"/>
    <col min="6930" max="6930" width="14.375" style="3185" customWidth="1"/>
    <col min="6931" max="6931" width="6.25" style="3185" customWidth="1"/>
    <col min="6932" max="6932" width="22.875" style="3185" customWidth="1"/>
    <col min="6933" max="6933" width="7.875" style="3185" customWidth="1"/>
    <col min="6934" max="7168" width="9" style="3185"/>
    <col min="7169" max="7169" width="88.875" style="3185" customWidth="1"/>
    <col min="7170" max="7170" width="6.25" style="3185" customWidth="1"/>
    <col min="7171" max="7171" width="13.875" style="3185" customWidth="1"/>
    <col min="7172" max="7172" width="6.25" style="3185" customWidth="1"/>
    <col min="7173" max="7173" width="88.875" style="3185" customWidth="1"/>
    <col min="7174" max="7174" width="7.875" style="3185" customWidth="1"/>
    <col min="7175" max="7175" width="17.75" style="3185" customWidth="1"/>
    <col min="7176" max="7177" width="13.875" style="3185" customWidth="1"/>
    <col min="7178" max="7178" width="24" style="3185" customWidth="1"/>
    <col min="7179" max="7180" width="9" style="3185" customWidth="1"/>
    <col min="7181" max="7181" width="7.875" style="3185" customWidth="1"/>
    <col min="7182" max="7182" width="43.875" style="3185" customWidth="1"/>
    <col min="7183" max="7184" width="10.625" style="3185" customWidth="1"/>
    <col min="7185" max="7185" width="16" style="3185" customWidth="1"/>
    <col min="7186" max="7186" width="14.375" style="3185" customWidth="1"/>
    <col min="7187" max="7187" width="6.25" style="3185" customWidth="1"/>
    <col min="7188" max="7188" width="22.875" style="3185" customWidth="1"/>
    <col min="7189" max="7189" width="7.875" style="3185" customWidth="1"/>
    <col min="7190" max="7424" width="9" style="3185"/>
    <col min="7425" max="7425" width="88.875" style="3185" customWidth="1"/>
    <col min="7426" max="7426" width="6.25" style="3185" customWidth="1"/>
    <col min="7427" max="7427" width="13.875" style="3185" customWidth="1"/>
    <col min="7428" max="7428" width="6.25" style="3185" customWidth="1"/>
    <col min="7429" max="7429" width="88.875" style="3185" customWidth="1"/>
    <col min="7430" max="7430" width="7.875" style="3185" customWidth="1"/>
    <col min="7431" max="7431" width="17.75" style="3185" customWidth="1"/>
    <col min="7432" max="7433" width="13.875" style="3185" customWidth="1"/>
    <col min="7434" max="7434" width="24" style="3185" customWidth="1"/>
    <col min="7435" max="7436" width="9" style="3185" customWidth="1"/>
    <col min="7437" max="7437" width="7.875" style="3185" customWidth="1"/>
    <col min="7438" max="7438" width="43.875" style="3185" customWidth="1"/>
    <col min="7439" max="7440" width="10.625" style="3185" customWidth="1"/>
    <col min="7441" max="7441" width="16" style="3185" customWidth="1"/>
    <col min="7442" max="7442" width="14.375" style="3185" customWidth="1"/>
    <col min="7443" max="7443" width="6.25" style="3185" customWidth="1"/>
    <col min="7444" max="7444" width="22.875" style="3185" customWidth="1"/>
    <col min="7445" max="7445" width="7.875" style="3185" customWidth="1"/>
    <col min="7446" max="7680" width="9" style="3185"/>
    <col min="7681" max="7681" width="88.875" style="3185" customWidth="1"/>
    <col min="7682" max="7682" width="6.25" style="3185" customWidth="1"/>
    <col min="7683" max="7683" width="13.875" style="3185" customWidth="1"/>
    <col min="7684" max="7684" width="6.25" style="3185" customWidth="1"/>
    <col min="7685" max="7685" width="88.875" style="3185" customWidth="1"/>
    <col min="7686" max="7686" width="7.875" style="3185" customWidth="1"/>
    <col min="7687" max="7687" width="17.75" style="3185" customWidth="1"/>
    <col min="7688" max="7689" width="13.875" style="3185" customWidth="1"/>
    <col min="7690" max="7690" width="24" style="3185" customWidth="1"/>
    <col min="7691" max="7692" width="9" style="3185" customWidth="1"/>
    <col min="7693" max="7693" width="7.875" style="3185" customWidth="1"/>
    <col min="7694" max="7694" width="43.875" style="3185" customWidth="1"/>
    <col min="7695" max="7696" width="10.625" style="3185" customWidth="1"/>
    <col min="7697" max="7697" width="16" style="3185" customWidth="1"/>
    <col min="7698" max="7698" width="14.375" style="3185" customWidth="1"/>
    <col min="7699" max="7699" width="6.25" style="3185" customWidth="1"/>
    <col min="7700" max="7700" width="22.875" style="3185" customWidth="1"/>
    <col min="7701" max="7701" width="7.875" style="3185" customWidth="1"/>
    <col min="7702" max="7936" width="9" style="3185"/>
    <col min="7937" max="7937" width="88.875" style="3185" customWidth="1"/>
    <col min="7938" max="7938" width="6.25" style="3185" customWidth="1"/>
    <col min="7939" max="7939" width="13.875" style="3185" customWidth="1"/>
    <col min="7940" max="7940" width="6.25" style="3185" customWidth="1"/>
    <col min="7941" max="7941" width="88.875" style="3185" customWidth="1"/>
    <col min="7942" max="7942" width="7.875" style="3185" customWidth="1"/>
    <col min="7943" max="7943" width="17.75" style="3185" customWidth="1"/>
    <col min="7944" max="7945" width="13.875" style="3185" customWidth="1"/>
    <col min="7946" max="7946" width="24" style="3185" customWidth="1"/>
    <col min="7947" max="7948" width="9" style="3185" customWidth="1"/>
    <col min="7949" max="7949" width="7.875" style="3185" customWidth="1"/>
    <col min="7950" max="7950" width="43.875" style="3185" customWidth="1"/>
    <col min="7951" max="7952" width="10.625" style="3185" customWidth="1"/>
    <col min="7953" max="7953" width="16" style="3185" customWidth="1"/>
    <col min="7954" max="7954" width="14.375" style="3185" customWidth="1"/>
    <col min="7955" max="7955" width="6.25" style="3185" customWidth="1"/>
    <col min="7956" max="7956" width="22.875" style="3185" customWidth="1"/>
    <col min="7957" max="7957" width="7.875" style="3185" customWidth="1"/>
    <col min="7958" max="8192" width="9" style="3185"/>
    <col min="8193" max="8193" width="88.875" style="3185" customWidth="1"/>
    <col min="8194" max="8194" width="6.25" style="3185" customWidth="1"/>
    <col min="8195" max="8195" width="13.875" style="3185" customWidth="1"/>
    <col min="8196" max="8196" width="6.25" style="3185" customWidth="1"/>
    <col min="8197" max="8197" width="88.875" style="3185" customWidth="1"/>
    <col min="8198" max="8198" width="7.875" style="3185" customWidth="1"/>
    <col min="8199" max="8199" width="17.75" style="3185" customWidth="1"/>
    <col min="8200" max="8201" width="13.875" style="3185" customWidth="1"/>
    <col min="8202" max="8202" width="24" style="3185" customWidth="1"/>
    <col min="8203" max="8204" width="9" style="3185" customWidth="1"/>
    <col min="8205" max="8205" width="7.875" style="3185" customWidth="1"/>
    <col min="8206" max="8206" width="43.875" style="3185" customWidth="1"/>
    <col min="8207" max="8208" width="10.625" style="3185" customWidth="1"/>
    <col min="8209" max="8209" width="16" style="3185" customWidth="1"/>
    <col min="8210" max="8210" width="14.375" style="3185" customWidth="1"/>
    <col min="8211" max="8211" width="6.25" style="3185" customWidth="1"/>
    <col min="8212" max="8212" width="22.875" style="3185" customWidth="1"/>
    <col min="8213" max="8213" width="7.875" style="3185" customWidth="1"/>
    <col min="8214" max="8448" width="9" style="3185"/>
    <col min="8449" max="8449" width="88.875" style="3185" customWidth="1"/>
    <col min="8450" max="8450" width="6.25" style="3185" customWidth="1"/>
    <col min="8451" max="8451" width="13.875" style="3185" customWidth="1"/>
    <col min="8452" max="8452" width="6.25" style="3185" customWidth="1"/>
    <col min="8453" max="8453" width="88.875" style="3185" customWidth="1"/>
    <col min="8454" max="8454" width="7.875" style="3185" customWidth="1"/>
    <col min="8455" max="8455" width="17.75" style="3185" customWidth="1"/>
    <col min="8456" max="8457" width="13.875" style="3185" customWidth="1"/>
    <col min="8458" max="8458" width="24" style="3185" customWidth="1"/>
    <col min="8459" max="8460" width="9" style="3185" customWidth="1"/>
    <col min="8461" max="8461" width="7.875" style="3185" customWidth="1"/>
    <col min="8462" max="8462" width="43.875" style="3185" customWidth="1"/>
    <col min="8463" max="8464" width="10.625" style="3185" customWidth="1"/>
    <col min="8465" max="8465" width="16" style="3185" customWidth="1"/>
    <col min="8466" max="8466" width="14.375" style="3185" customWidth="1"/>
    <col min="8467" max="8467" width="6.25" style="3185" customWidth="1"/>
    <col min="8468" max="8468" width="22.875" style="3185" customWidth="1"/>
    <col min="8469" max="8469" width="7.875" style="3185" customWidth="1"/>
    <col min="8470" max="8704" width="9" style="3185"/>
    <col min="8705" max="8705" width="88.875" style="3185" customWidth="1"/>
    <col min="8706" max="8706" width="6.25" style="3185" customWidth="1"/>
    <col min="8707" max="8707" width="13.875" style="3185" customWidth="1"/>
    <col min="8708" max="8708" width="6.25" style="3185" customWidth="1"/>
    <col min="8709" max="8709" width="88.875" style="3185" customWidth="1"/>
    <col min="8710" max="8710" width="7.875" style="3185" customWidth="1"/>
    <col min="8711" max="8711" width="17.75" style="3185" customWidth="1"/>
    <col min="8712" max="8713" width="13.875" style="3185" customWidth="1"/>
    <col min="8714" max="8714" width="24" style="3185" customWidth="1"/>
    <col min="8715" max="8716" width="9" style="3185" customWidth="1"/>
    <col min="8717" max="8717" width="7.875" style="3185" customWidth="1"/>
    <col min="8718" max="8718" width="43.875" style="3185" customWidth="1"/>
    <col min="8719" max="8720" width="10.625" style="3185" customWidth="1"/>
    <col min="8721" max="8721" width="16" style="3185" customWidth="1"/>
    <col min="8722" max="8722" width="14.375" style="3185" customWidth="1"/>
    <col min="8723" max="8723" width="6.25" style="3185" customWidth="1"/>
    <col min="8724" max="8724" width="22.875" style="3185" customWidth="1"/>
    <col min="8725" max="8725" width="7.875" style="3185" customWidth="1"/>
    <col min="8726" max="8960" width="9" style="3185"/>
    <col min="8961" max="8961" width="88.875" style="3185" customWidth="1"/>
    <col min="8962" max="8962" width="6.25" style="3185" customWidth="1"/>
    <col min="8963" max="8963" width="13.875" style="3185" customWidth="1"/>
    <col min="8964" max="8964" width="6.25" style="3185" customWidth="1"/>
    <col min="8965" max="8965" width="88.875" style="3185" customWidth="1"/>
    <col min="8966" max="8966" width="7.875" style="3185" customWidth="1"/>
    <col min="8967" max="8967" width="17.75" style="3185" customWidth="1"/>
    <col min="8968" max="8969" width="13.875" style="3185" customWidth="1"/>
    <col min="8970" max="8970" width="24" style="3185" customWidth="1"/>
    <col min="8971" max="8972" width="9" style="3185" customWidth="1"/>
    <col min="8973" max="8973" width="7.875" style="3185" customWidth="1"/>
    <col min="8974" max="8974" width="43.875" style="3185" customWidth="1"/>
    <col min="8975" max="8976" width="10.625" style="3185" customWidth="1"/>
    <col min="8977" max="8977" width="16" style="3185" customWidth="1"/>
    <col min="8978" max="8978" width="14.375" style="3185" customWidth="1"/>
    <col min="8979" max="8979" width="6.25" style="3185" customWidth="1"/>
    <col min="8980" max="8980" width="22.875" style="3185" customWidth="1"/>
    <col min="8981" max="8981" width="7.875" style="3185" customWidth="1"/>
    <col min="8982" max="9216" width="9" style="3185"/>
    <col min="9217" max="9217" width="88.875" style="3185" customWidth="1"/>
    <col min="9218" max="9218" width="6.25" style="3185" customWidth="1"/>
    <col min="9219" max="9219" width="13.875" style="3185" customWidth="1"/>
    <col min="9220" max="9220" width="6.25" style="3185" customWidth="1"/>
    <col min="9221" max="9221" width="88.875" style="3185" customWidth="1"/>
    <col min="9222" max="9222" width="7.875" style="3185" customWidth="1"/>
    <col min="9223" max="9223" width="17.75" style="3185" customWidth="1"/>
    <col min="9224" max="9225" width="13.875" style="3185" customWidth="1"/>
    <col min="9226" max="9226" width="24" style="3185" customWidth="1"/>
    <col min="9227" max="9228" width="9" style="3185" customWidth="1"/>
    <col min="9229" max="9229" width="7.875" style="3185" customWidth="1"/>
    <col min="9230" max="9230" width="43.875" style="3185" customWidth="1"/>
    <col min="9231" max="9232" width="10.625" style="3185" customWidth="1"/>
    <col min="9233" max="9233" width="16" style="3185" customWidth="1"/>
    <col min="9234" max="9234" width="14.375" style="3185" customWidth="1"/>
    <col min="9235" max="9235" width="6.25" style="3185" customWidth="1"/>
    <col min="9236" max="9236" width="22.875" style="3185" customWidth="1"/>
    <col min="9237" max="9237" width="7.875" style="3185" customWidth="1"/>
    <col min="9238" max="9472" width="9" style="3185"/>
    <col min="9473" max="9473" width="88.875" style="3185" customWidth="1"/>
    <col min="9474" max="9474" width="6.25" style="3185" customWidth="1"/>
    <col min="9475" max="9475" width="13.875" style="3185" customWidth="1"/>
    <col min="9476" max="9476" width="6.25" style="3185" customWidth="1"/>
    <col min="9477" max="9477" width="88.875" style="3185" customWidth="1"/>
    <col min="9478" max="9478" width="7.875" style="3185" customWidth="1"/>
    <col min="9479" max="9479" width="17.75" style="3185" customWidth="1"/>
    <col min="9480" max="9481" width="13.875" style="3185" customWidth="1"/>
    <col min="9482" max="9482" width="24" style="3185" customWidth="1"/>
    <col min="9483" max="9484" width="9" style="3185" customWidth="1"/>
    <col min="9485" max="9485" width="7.875" style="3185" customWidth="1"/>
    <col min="9486" max="9486" width="43.875" style="3185" customWidth="1"/>
    <col min="9487" max="9488" width="10.625" style="3185" customWidth="1"/>
    <col min="9489" max="9489" width="16" style="3185" customWidth="1"/>
    <col min="9490" max="9490" width="14.375" style="3185" customWidth="1"/>
    <col min="9491" max="9491" width="6.25" style="3185" customWidth="1"/>
    <col min="9492" max="9492" width="22.875" style="3185" customWidth="1"/>
    <col min="9493" max="9493" width="7.875" style="3185" customWidth="1"/>
    <col min="9494" max="9728" width="9" style="3185"/>
    <col min="9729" max="9729" width="88.875" style="3185" customWidth="1"/>
    <col min="9730" max="9730" width="6.25" style="3185" customWidth="1"/>
    <col min="9731" max="9731" width="13.875" style="3185" customWidth="1"/>
    <col min="9732" max="9732" width="6.25" style="3185" customWidth="1"/>
    <col min="9733" max="9733" width="88.875" style="3185" customWidth="1"/>
    <col min="9734" max="9734" width="7.875" style="3185" customWidth="1"/>
    <col min="9735" max="9735" width="17.75" style="3185" customWidth="1"/>
    <col min="9736" max="9737" width="13.875" style="3185" customWidth="1"/>
    <col min="9738" max="9738" width="24" style="3185" customWidth="1"/>
    <col min="9739" max="9740" width="9" style="3185" customWidth="1"/>
    <col min="9741" max="9741" width="7.875" style="3185" customWidth="1"/>
    <col min="9742" max="9742" width="43.875" style="3185" customWidth="1"/>
    <col min="9743" max="9744" width="10.625" style="3185" customWidth="1"/>
    <col min="9745" max="9745" width="16" style="3185" customWidth="1"/>
    <col min="9746" max="9746" width="14.375" style="3185" customWidth="1"/>
    <col min="9747" max="9747" width="6.25" style="3185" customWidth="1"/>
    <col min="9748" max="9748" width="22.875" style="3185" customWidth="1"/>
    <col min="9749" max="9749" width="7.875" style="3185" customWidth="1"/>
    <col min="9750" max="9984" width="9" style="3185"/>
    <col min="9985" max="9985" width="88.875" style="3185" customWidth="1"/>
    <col min="9986" max="9986" width="6.25" style="3185" customWidth="1"/>
    <col min="9987" max="9987" width="13.875" style="3185" customWidth="1"/>
    <col min="9988" max="9988" width="6.25" style="3185" customWidth="1"/>
    <col min="9989" max="9989" width="88.875" style="3185" customWidth="1"/>
    <col min="9990" max="9990" width="7.875" style="3185" customWidth="1"/>
    <col min="9991" max="9991" width="17.75" style="3185" customWidth="1"/>
    <col min="9992" max="9993" width="13.875" style="3185" customWidth="1"/>
    <col min="9994" max="9994" width="24" style="3185" customWidth="1"/>
    <col min="9995" max="9996" width="9" style="3185" customWidth="1"/>
    <col min="9997" max="9997" width="7.875" style="3185" customWidth="1"/>
    <col min="9998" max="9998" width="43.875" style="3185" customWidth="1"/>
    <col min="9999" max="10000" width="10.625" style="3185" customWidth="1"/>
    <col min="10001" max="10001" width="16" style="3185" customWidth="1"/>
    <col min="10002" max="10002" width="14.375" style="3185" customWidth="1"/>
    <col min="10003" max="10003" width="6.25" style="3185" customWidth="1"/>
    <col min="10004" max="10004" width="22.875" style="3185" customWidth="1"/>
    <col min="10005" max="10005" width="7.875" style="3185" customWidth="1"/>
    <col min="10006" max="10240" width="9" style="3185"/>
    <col min="10241" max="10241" width="88.875" style="3185" customWidth="1"/>
    <col min="10242" max="10242" width="6.25" style="3185" customWidth="1"/>
    <col min="10243" max="10243" width="13.875" style="3185" customWidth="1"/>
    <col min="10244" max="10244" width="6.25" style="3185" customWidth="1"/>
    <col min="10245" max="10245" width="88.875" style="3185" customWidth="1"/>
    <col min="10246" max="10246" width="7.875" style="3185" customWidth="1"/>
    <col min="10247" max="10247" width="17.75" style="3185" customWidth="1"/>
    <col min="10248" max="10249" width="13.875" style="3185" customWidth="1"/>
    <col min="10250" max="10250" width="24" style="3185" customWidth="1"/>
    <col min="10251" max="10252" width="9" style="3185" customWidth="1"/>
    <col min="10253" max="10253" width="7.875" style="3185" customWidth="1"/>
    <col min="10254" max="10254" width="43.875" style="3185" customWidth="1"/>
    <col min="10255" max="10256" width="10.625" style="3185" customWidth="1"/>
    <col min="10257" max="10257" width="16" style="3185" customWidth="1"/>
    <col min="10258" max="10258" width="14.375" style="3185" customWidth="1"/>
    <col min="10259" max="10259" width="6.25" style="3185" customWidth="1"/>
    <col min="10260" max="10260" width="22.875" style="3185" customWidth="1"/>
    <col min="10261" max="10261" width="7.875" style="3185" customWidth="1"/>
    <col min="10262" max="10496" width="9" style="3185"/>
    <col min="10497" max="10497" width="88.875" style="3185" customWidth="1"/>
    <col min="10498" max="10498" width="6.25" style="3185" customWidth="1"/>
    <col min="10499" max="10499" width="13.875" style="3185" customWidth="1"/>
    <col min="10500" max="10500" width="6.25" style="3185" customWidth="1"/>
    <col min="10501" max="10501" width="88.875" style="3185" customWidth="1"/>
    <col min="10502" max="10502" width="7.875" style="3185" customWidth="1"/>
    <col min="10503" max="10503" width="17.75" style="3185" customWidth="1"/>
    <col min="10504" max="10505" width="13.875" style="3185" customWidth="1"/>
    <col min="10506" max="10506" width="24" style="3185" customWidth="1"/>
    <col min="10507" max="10508" width="9" style="3185" customWidth="1"/>
    <col min="10509" max="10509" width="7.875" style="3185" customWidth="1"/>
    <col min="10510" max="10510" width="43.875" style="3185" customWidth="1"/>
    <col min="10511" max="10512" width="10.625" style="3185" customWidth="1"/>
    <col min="10513" max="10513" width="16" style="3185" customWidth="1"/>
    <col min="10514" max="10514" width="14.375" style="3185" customWidth="1"/>
    <col min="10515" max="10515" width="6.25" style="3185" customWidth="1"/>
    <col min="10516" max="10516" width="22.875" style="3185" customWidth="1"/>
    <col min="10517" max="10517" width="7.875" style="3185" customWidth="1"/>
    <col min="10518" max="10752" width="9" style="3185"/>
    <col min="10753" max="10753" width="88.875" style="3185" customWidth="1"/>
    <col min="10754" max="10754" width="6.25" style="3185" customWidth="1"/>
    <col min="10755" max="10755" width="13.875" style="3185" customWidth="1"/>
    <col min="10756" max="10756" width="6.25" style="3185" customWidth="1"/>
    <col min="10757" max="10757" width="88.875" style="3185" customWidth="1"/>
    <col min="10758" max="10758" width="7.875" style="3185" customWidth="1"/>
    <col min="10759" max="10759" width="17.75" style="3185" customWidth="1"/>
    <col min="10760" max="10761" width="13.875" style="3185" customWidth="1"/>
    <col min="10762" max="10762" width="24" style="3185" customWidth="1"/>
    <col min="10763" max="10764" width="9" style="3185" customWidth="1"/>
    <col min="10765" max="10765" width="7.875" style="3185" customWidth="1"/>
    <col min="10766" max="10766" width="43.875" style="3185" customWidth="1"/>
    <col min="10767" max="10768" width="10.625" style="3185" customWidth="1"/>
    <col min="10769" max="10769" width="16" style="3185" customWidth="1"/>
    <col min="10770" max="10770" width="14.375" style="3185" customWidth="1"/>
    <col min="10771" max="10771" width="6.25" style="3185" customWidth="1"/>
    <col min="10772" max="10772" width="22.875" style="3185" customWidth="1"/>
    <col min="10773" max="10773" width="7.875" style="3185" customWidth="1"/>
    <col min="10774" max="11008" width="9" style="3185"/>
    <col min="11009" max="11009" width="88.875" style="3185" customWidth="1"/>
    <col min="11010" max="11010" width="6.25" style="3185" customWidth="1"/>
    <col min="11011" max="11011" width="13.875" style="3185" customWidth="1"/>
    <col min="11012" max="11012" width="6.25" style="3185" customWidth="1"/>
    <col min="11013" max="11013" width="88.875" style="3185" customWidth="1"/>
    <col min="11014" max="11014" width="7.875" style="3185" customWidth="1"/>
    <col min="11015" max="11015" width="17.75" style="3185" customWidth="1"/>
    <col min="11016" max="11017" width="13.875" style="3185" customWidth="1"/>
    <col min="11018" max="11018" width="24" style="3185" customWidth="1"/>
    <col min="11019" max="11020" width="9" style="3185" customWidth="1"/>
    <col min="11021" max="11021" width="7.875" style="3185" customWidth="1"/>
    <col min="11022" max="11022" width="43.875" style="3185" customWidth="1"/>
    <col min="11023" max="11024" width="10.625" style="3185" customWidth="1"/>
    <col min="11025" max="11025" width="16" style="3185" customWidth="1"/>
    <col min="11026" max="11026" width="14.375" style="3185" customWidth="1"/>
    <col min="11027" max="11027" width="6.25" style="3185" customWidth="1"/>
    <col min="11028" max="11028" width="22.875" style="3185" customWidth="1"/>
    <col min="11029" max="11029" width="7.875" style="3185" customWidth="1"/>
    <col min="11030" max="11264" width="9" style="3185"/>
    <col min="11265" max="11265" width="88.875" style="3185" customWidth="1"/>
    <col min="11266" max="11266" width="6.25" style="3185" customWidth="1"/>
    <col min="11267" max="11267" width="13.875" style="3185" customWidth="1"/>
    <col min="11268" max="11268" width="6.25" style="3185" customWidth="1"/>
    <col min="11269" max="11269" width="88.875" style="3185" customWidth="1"/>
    <col min="11270" max="11270" width="7.875" style="3185" customWidth="1"/>
    <col min="11271" max="11271" width="17.75" style="3185" customWidth="1"/>
    <col min="11272" max="11273" width="13.875" style="3185" customWidth="1"/>
    <col min="11274" max="11274" width="24" style="3185" customWidth="1"/>
    <col min="11275" max="11276" width="9" style="3185" customWidth="1"/>
    <col min="11277" max="11277" width="7.875" style="3185" customWidth="1"/>
    <col min="11278" max="11278" width="43.875" style="3185" customWidth="1"/>
    <col min="11279" max="11280" width="10.625" style="3185" customWidth="1"/>
    <col min="11281" max="11281" width="16" style="3185" customWidth="1"/>
    <col min="11282" max="11282" width="14.375" style="3185" customWidth="1"/>
    <col min="11283" max="11283" width="6.25" style="3185" customWidth="1"/>
    <col min="11284" max="11284" width="22.875" style="3185" customWidth="1"/>
    <col min="11285" max="11285" width="7.875" style="3185" customWidth="1"/>
    <col min="11286" max="11520" width="9" style="3185"/>
    <col min="11521" max="11521" width="88.875" style="3185" customWidth="1"/>
    <col min="11522" max="11522" width="6.25" style="3185" customWidth="1"/>
    <col min="11523" max="11523" width="13.875" style="3185" customWidth="1"/>
    <col min="11524" max="11524" width="6.25" style="3185" customWidth="1"/>
    <col min="11525" max="11525" width="88.875" style="3185" customWidth="1"/>
    <col min="11526" max="11526" width="7.875" style="3185" customWidth="1"/>
    <col min="11527" max="11527" width="17.75" style="3185" customWidth="1"/>
    <col min="11528" max="11529" width="13.875" style="3185" customWidth="1"/>
    <col min="11530" max="11530" width="24" style="3185" customWidth="1"/>
    <col min="11531" max="11532" width="9" style="3185" customWidth="1"/>
    <col min="11533" max="11533" width="7.875" style="3185" customWidth="1"/>
    <col min="11534" max="11534" width="43.875" style="3185" customWidth="1"/>
    <col min="11535" max="11536" width="10.625" style="3185" customWidth="1"/>
    <col min="11537" max="11537" width="16" style="3185" customWidth="1"/>
    <col min="11538" max="11538" width="14.375" style="3185" customWidth="1"/>
    <col min="11539" max="11539" width="6.25" style="3185" customWidth="1"/>
    <col min="11540" max="11540" width="22.875" style="3185" customWidth="1"/>
    <col min="11541" max="11541" width="7.875" style="3185" customWidth="1"/>
    <col min="11542" max="11776" width="9" style="3185"/>
    <col min="11777" max="11777" width="88.875" style="3185" customWidth="1"/>
    <col min="11778" max="11778" width="6.25" style="3185" customWidth="1"/>
    <col min="11779" max="11779" width="13.875" style="3185" customWidth="1"/>
    <col min="11780" max="11780" width="6.25" style="3185" customWidth="1"/>
    <col min="11781" max="11781" width="88.875" style="3185" customWidth="1"/>
    <col min="11782" max="11782" width="7.875" style="3185" customWidth="1"/>
    <col min="11783" max="11783" width="17.75" style="3185" customWidth="1"/>
    <col min="11784" max="11785" width="13.875" style="3185" customWidth="1"/>
    <col min="11786" max="11786" width="24" style="3185" customWidth="1"/>
    <col min="11787" max="11788" width="9" style="3185" customWidth="1"/>
    <col min="11789" max="11789" width="7.875" style="3185" customWidth="1"/>
    <col min="11790" max="11790" width="43.875" style="3185" customWidth="1"/>
    <col min="11791" max="11792" width="10.625" style="3185" customWidth="1"/>
    <col min="11793" max="11793" width="16" style="3185" customWidth="1"/>
    <col min="11794" max="11794" width="14.375" style="3185" customWidth="1"/>
    <col min="11795" max="11795" width="6.25" style="3185" customWidth="1"/>
    <col min="11796" max="11796" width="22.875" style="3185" customWidth="1"/>
    <col min="11797" max="11797" width="7.875" style="3185" customWidth="1"/>
    <col min="11798" max="12032" width="9" style="3185"/>
    <col min="12033" max="12033" width="88.875" style="3185" customWidth="1"/>
    <col min="12034" max="12034" width="6.25" style="3185" customWidth="1"/>
    <col min="12035" max="12035" width="13.875" style="3185" customWidth="1"/>
    <col min="12036" max="12036" width="6.25" style="3185" customWidth="1"/>
    <col min="12037" max="12037" width="88.875" style="3185" customWidth="1"/>
    <col min="12038" max="12038" width="7.875" style="3185" customWidth="1"/>
    <col min="12039" max="12039" width="17.75" style="3185" customWidth="1"/>
    <col min="12040" max="12041" width="13.875" style="3185" customWidth="1"/>
    <col min="12042" max="12042" width="24" style="3185" customWidth="1"/>
    <col min="12043" max="12044" width="9" style="3185" customWidth="1"/>
    <col min="12045" max="12045" width="7.875" style="3185" customWidth="1"/>
    <col min="12046" max="12046" width="43.875" style="3185" customWidth="1"/>
    <col min="12047" max="12048" width="10.625" style="3185" customWidth="1"/>
    <col min="12049" max="12049" width="16" style="3185" customWidth="1"/>
    <col min="12050" max="12050" width="14.375" style="3185" customWidth="1"/>
    <col min="12051" max="12051" width="6.25" style="3185" customWidth="1"/>
    <col min="12052" max="12052" width="22.875" style="3185" customWidth="1"/>
    <col min="12053" max="12053" width="7.875" style="3185" customWidth="1"/>
    <col min="12054" max="12288" width="9" style="3185"/>
    <col min="12289" max="12289" width="88.875" style="3185" customWidth="1"/>
    <col min="12290" max="12290" width="6.25" style="3185" customWidth="1"/>
    <col min="12291" max="12291" width="13.875" style="3185" customWidth="1"/>
    <col min="12292" max="12292" width="6.25" style="3185" customWidth="1"/>
    <col min="12293" max="12293" width="88.875" style="3185" customWidth="1"/>
    <col min="12294" max="12294" width="7.875" style="3185" customWidth="1"/>
    <col min="12295" max="12295" width="17.75" style="3185" customWidth="1"/>
    <col min="12296" max="12297" width="13.875" style="3185" customWidth="1"/>
    <col min="12298" max="12298" width="24" style="3185" customWidth="1"/>
    <col min="12299" max="12300" width="9" style="3185" customWidth="1"/>
    <col min="12301" max="12301" width="7.875" style="3185" customWidth="1"/>
    <col min="12302" max="12302" width="43.875" style="3185" customWidth="1"/>
    <col min="12303" max="12304" width="10.625" style="3185" customWidth="1"/>
    <col min="12305" max="12305" width="16" style="3185" customWidth="1"/>
    <col min="12306" max="12306" width="14.375" style="3185" customWidth="1"/>
    <col min="12307" max="12307" width="6.25" style="3185" customWidth="1"/>
    <col min="12308" max="12308" width="22.875" style="3185" customWidth="1"/>
    <col min="12309" max="12309" width="7.875" style="3185" customWidth="1"/>
    <col min="12310" max="12544" width="9" style="3185"/>
    <col min="12545" max="12545" width="88.875" style="3185" customWidth="1"/>
    <col min="12546" max="12546" width="6.25" style="3185" customWidth="1"/>
    <col min="12547" max="12547" width="13.875" style="3185" customWidth="1"/>
    <col min="12548" max="12548" width="6.25" style="3185" customWidth="1"/>
    <col min="12549" max="12549" width="88.875" style="3185" customWidth="1"/>
    <col min="12550" max="12550" width="7.875" style="3185" customWidth="1"/>
    <col min="12551" max="12551" width="17.75" style="3185" customWidth="1"/>
    <col min="12552" max="12553" width="13.875" style="3185" customWidth="1"/>
    <col min="12554" max="12554" width="24" style="3185" customWidth="1"/>
    <col min="12555" max="12556" width="9" style="3185" customWidth="1"/>
    <col min="12557" max="12557" width="7.875" style="3185" customWidth="1"/>
    <col min="12558" max="12558" width="43.875" style="3185" customWidth="1"/>
    <col min="12559" max="12560" width="10.625" style="3185" customWidth="1"/>
    <col min="12561" max="12561" width="16" style="3185" customWidth="1"/>
    <col min="12562" max="12562" width="14.375" style="3185" customWidth="1"/>
    <col min="12563" max="12563" width="6.25" style="3185" customWidth="1"/>
    <col min="12564" max="12564" width="22.875" style="3185" customWidth="1"/>
    <col min="12565" max="12565" width="7.875" style="3185" customWidth="1"/>
    <col min="12566" max="12800" width="9" style="3185"/>
    <col min="12801" max="12801" width="88.875" style="3185" customWidth="1"/>
    <col min="12802" max="12802" width="6.25" style="3185" customWidth="1"/>
    <col min="12803" max="12803" width="13.875" style="3185" customWidth="1"/>
    <col min="12804" max="12804" width="6.25" style="3185" customWidth="1"/>
    <col min="12805" max="12805" width="88.875" style="3185" customWidth="1"/>
    <col min="12806" max="12806" width="7.875" style="3185" customWidth="1"/>
    <col min="12807" max="12807" width="17.75" style="3185" customWidth="1"/>
    <col min="12808" max="12809" width="13.875" style="3185" customWidth="1"/>
    <col min="12810" max="12810" width="24" style="3185" customWidth="1"/>
    <col min="12811" max="12812" width="9" style="3185" customWidth="1"/>
    <col min="12813" max="12813" width="7.875" style="3185" customWidth="1"/>
    <col min="12814" max="12814" width="43.875" style="3185" customWidth="1"/>
    <col min="12815" max="12816" width="10.625" style="3185" customWidth="1"/>
    <col min="12817" max="12817" width="16" style="3185" customWidth="1"/>
    <col min="12818" max="12818" width="14.375" style="3185" customWidth="1"/>
    <col min="12819" max="12819" width="6.25" style="3185" customWidth="1"/>
    <col min="12820" max="12820" width="22.875" style="3185" customWidth="1"/>
    <col min="12821" max="12821" width="7.875" style="3185" customWidth="1"/>
    <col min="12822" max="13056" width="9" style="3185"/>
    <col min="13057" max="13057" width="88.875" style="3185" customWidth="1"/>
    <col min="13058" max="13058" width="6.25" style="3185" customWidth="1"/>
    <col min="13059" max="13059" width="13.875" style="3185" customWidth="1"/>
    <col min="13060" max="13060" width="6.25" style="3185" customWidth="1"/>
    <col min="13061" max="13061" width="88.875" style="3185" customWidth="1"/>
    <col min="13062" max="13062" width="7.875" style="3185" customWidth="1"/>
    <col min="13063" max="13063" width="17.75" style="3185" customWidth="1"/>
    <col min="13064" max="13065" width="13.875" style="3185" customWidth="1"/>
    <col min="13066" max="13066" width="24" style="3185" customWidth="1"/>
    <col min="13067" max="13068" width="9" style="3185" customWidth="1"/>
    <col min="13069" max="13069" width="7.875" style="3185" customWidth="1"/>
    <col min="13070" max="13070" width="43.875" style="3185" customWidth="1"/>
    <col min="13071" max="13072" width="10.625" style="3185" customWidth="1"/>
    <col min="13073" max="13073" width="16" style="3185" customWidth="1"/>
    <col min="13074" max="13074" width="14.375" style="3185" customWidth="1"/>
    <col min="13075" max="13075" width="6.25" style="3185" customWidth="1"/>
    <col min="13076" max="13076" width="22.875" style="3185" customWidth="1"/>
    <col min="13077" max="13077" width="7.875" style="3185" customWidth="1"/>
    <col min="13078" max="13312" width="9" style="3185"/>
    <col min="13313" max="13313" width="88.875" style="3185" customWidth="1"/>
    <col min="13314" max="13314" width="6.25" style="3185" customWidth="1"/>
    <col min="13315" max="13315" width="13.875" style="3185" customWidth="1"/>
    <col min="13316" max="13316" width="6.25" style="3185" customWidth="1"/>
    <col min="13317" max="13317" width="88.875" style="3185" customWidth="1"/>
    <col min="13318" max="13318" width="7.875" style="3185" customWidth="1"/>
    <col min="13319" max="13319" width="17.75" style="3185" customWidth="1"/>
    <col min="13320" max="13321" width="13.875" style="3185" customWidth="1"/>
    <col min="13322" max="13322" width="24" style="3185" customWidth="1"/>
    <col min="13323" max="13324" width="9" style="3185" customWidth="1"/>
    <col min="13325" max="13325" width="7.875" style="3185" customWidth="1"/>
    <col min="13326" max="13326" width="43.875" style="3185" customWidth="1"/>
    <col min="13327" max="13328" width="10.625" style="3185" customWidth="1"/>
    <col min="13329" max="13329" width="16" style="3185" customWidth="1"/>
    <col min="13330" max="13330" width="14.375" style="3185" customWidth="1"/>
    <col min="13331" max="13331" width="6.25" style="3185" customWidth="1"/>
    <col min="13332" max="13332" width="22.875" style="3185" customWidth="1"/>
    <col min="13333" max="13333" width="7.875" style="3185" customWidth="1"/>
    <col min="13334" max="13568" width="9" style="3185"/>
    <col min="13569" max="13569" width="88.875" style="3185" customWidth="1"/>
    <col min="13570" max="13570" width="6.25" style="3185" customWidth="1"/>
    <col min="13571" max="13571" width="13.875" style="3185" customWidth="1"/>
    <col min="13572" max="13572" width="6.25" style="3185" customWidth="1"/>
    <col min="13573" max="13573" width="88.875" style="3185" customWidth="1"/>
    <col min="13574" max="13574" width="7.875" style="3185" customWidth="1"/>
    <col min="13575" max="13575" width="17.75" style="3185" customWidth="1"/>
    <col min="13576" max="13577" width="13.875" style="3185" customWidth="1"/>
    <col min="13578" max="13578" width="24" style="3185" customWidth="1"/>
    <col min="13579" max="13580" width="9" style="3185" customWidth="1"/>
    <col min="13581" max="13581" width="7.875" style="3185" customWidth="1"/>
    <col min="13582" max="13582" width="43.875" style="3185" customWidth="1"/>
    <col min="13583" max="13584" width="10.625" style="3185" customWidth="1"/>
    <col min="13585" max="13585" width="16" style="3185" customWidth="1"/>
    <col min="13586" max="13586" width="14.375" style="3185" customWidth="1"/>
    <col min="13587" max="13587" width="6.25" style="3185" customWidth="1"/>
    <col min="13588" max="13588" width="22.875" style="3185" customWidth="1"/>
    <col min="13589" max="13589" width="7.875" style="3185" customWidth="1"/>
    <col min="13590" max="13824" width="9" style="3185"/>
    <col min="13825" max="13825" width="88.875" style="3185" customWidth="1"/>
    <col min="13826" max="13826" width="6.25" style="3185" customWidth="1"/>
    <col min="13827" max="13827" width="13.875" style="3185" customWidth="1"/>
    <col min="13828" max="13828" width="6.25" style="3185" customWidth="1"/>
    <col min="13829" max="13829" width="88.875" style="3185" customWidth="1"/>
    <col min="13830" max="13830" width="7.875" style="3185" customWidth="1"/>
    <col min="13831" max="13831" width="17.75" style="3185" customWidth="1"/>
    <col min="13832" max="13833" width="13.875" style="3185" customWidth="1"/>
    <col min="13834" max="13834" width="24" style="3185" customWidth="1"/>
    <col min="13835" max="13836" width="9" style="3185" customWidth="1"/>
    <col min="13837" max="13837" width="7.875" style="3185" customWidth="1"/>
    <col min="13838" max="13838" width="43.875" style="3185" customWidth="1"/>
    <col min="13839" max="13840" width="10.625" style="3185" customWidth="1"/>
    <col min="13841" max="13841" width="16" style="3185" customWidth="1"/>
    <col min="13842" max="13842" width="14.375" style="3185" customWidth="1"/>
    <col min="13843" max="13843" width="6.25" style="3185" customWidth="1"/>
    <col min="13844" max="13844" width="22.875" style="3185" customWidth="1"/>
    <col min="13845" max="13845" width="7.875" style="3185" customWidth="1"/>
    <col min="13846" max="14080" width="9" style="3185"/>
    <col min="14081" max="14081" width="88.875" style="3185" customWidth="1"/>
    <col min="14082" max="14082" width="6.25" style="3185" customWidth="1"/>
    <col min="14083" max="14083" width="13.875" style="3185" customWidth="1"/>
    <col min="14084" max="14084" width="6.25" style="3185" customWidth="1"/>
    <col min="14085" max="14085" width="88.875" style="3185" customWidth="1"/>
    <col min="14086" max="14086" width="7.875" style="3185" customWidth="1"/>
    <col min="14087" max="14087" width="17.75" style="3185" customWidth="1"/>
    <col min="14088" max="14089" width="13.875" style="3185" customWidth="1"/>
    <col min="14090" max="14090" width="24" style="3185" customWidth="1"/>
    <col min="14091" max="14092" width="9" style="3185" customWidth="1"/>
    <col min="14093" max="14093" width="7.875" style="3185" customWidth="1"/>
    <col min="14094" max="14094" width="43.875" style="3185" customWidth="1"/>
    <col min="14095" max="14096" width="10.625" style="3185" customWidth="1"/>
    <col min="14097" max="14097" width="16" style="3185" customWidth="1"/>
    <col min="14098" max="14098" width="14.375" style="3185" customWidth="1"/>
    <col min="14099" max="14099" width="6.25" style="3185" customWidth="1"/>
    <col min="14100" max="14100" width="22.875" style="3185" customWidth="1"/>
    <col min="14101" max="14101" width="7.875" style="3185" customWidth="1"/>
    <col min="14102" max="14336" width="9" style="3185"/>
    <col min="14337" max="14337" width="88.875" style="3185" customWidth="1"/>
    <col min="14338" max="14338" width="6.25" style="3185" customWidth="1"/>
    <col min="14339" max="14339" width="13.875" style="3185" customWidth="1"/>
    <col min="14340" max="14340" width="6.25" style="3185" customWidth="1"/>
    <col min="14341" max="14341" width="88.875" style="3185" customWidth="1"/>
    <col min="14342" max="14342" width="7.875" style="3185" customWidth="1"/>
    <col min="14343" max="14343" width="17.75" style="3185" customWidth="1"/>
    <col min="14344" max="14345" width="13.875" style="3185" customWidth="1"/>
    <col min="14346" max="14346" width="24" style="3185" customWidth="1"/>
    <col min="14347" max="14348" width="9" style="3185" customWidth="1"/>
    <col min="14349" max="14349" width="7.875" style="3185" customWidth="1"/>
    <col min="14350" max="14350" width="43.875" style="3185" customWidth="1"/>
    <col min="14351" max="14352" width="10.625" style="3185" customWidth="1"/>
    <col min="14353" max="14353" width="16" style="3185" customWidth="1"/>
    <col min="14354" max="14354" width="14.375" style="3185" customWidth="1"/>
    <col min="14355" max="14355" width="6.25" style="3185" customWidth="1"/>
    <col min="14356" max="14356" width="22.875" style="3185" customWidth="1"/>
    <col min="14357" max="14357" width="7.875" style="3185" customWidth="1"/>
    <col min="14358" max="14592" width="9" style="3185"/>
    <col min="14593" max="14593" width="88.875" style="3185" customWidth="1"/>
    <col min="14594" max="14594" width="6.25" style="3185" customWidth="1"/>
    <col min="14595" max="14595" width="13.875" style="3185" customWidth="1"/>
    <col min="14596" max="14596" width="6.25" style="3185" customWidth="1"/>
    <col min="14597" max="14597" width="88.875" style="3185" customWidth="1"/>
    <col min="14598" max="14598" width="7.875" style="3185" customWidth="1"/>
    <col min="14599" max="14599" width="17.75" style="3185" customWidth="1"/>
    <col min="14600" max="14601" width="13.875" style="3185" customWidth="1"/>
    <col min="14602" max="14602" width="24" style="3185" customWidth="1"/>
    <col min="14603" max="14604" width="9" style="3185" customWidth="1"/>
    <col min="14605" max="14605" width="7.875" style="3185" customWidth="1"/>
    <col min="14606" max="14606" width="43.875" style="3185" customWidth="1"/>
    <col min="14607" max="14608" width="10.625" style="3185" customWidth="1"/>
    <col min="14609" max="14609" width="16" style="3185" customWidth="1"/>
    <col min="14610" max="14610" width="14.375" style="3185" customWidth="1"/>
    <col min="14611" max="14611" width="6.25" style="3185" customWidth="1"/>
    <col min="14612" max="14612" width="22.875" style="3185" customWidth="1"/>
    <col min="14613" max="14613" width="7.875" style="3185" customWidth="1"/>
    <col min="14614" max="14848" width="9" style="3185"/>
    <col min="14849" max="14849" width="88.875" style="3185" customWidth="1"/>
    <col min="14850" max="14850" width="6.25" style="3185" customWidth="1"/>
    <col min="14851" max="14851" width="13.875" style="3185" customWidth="1"/>
    <col min="14852" max="14852" width="6.25" style="3185" customWidth="1"/>
    <col min="14853" max="14853" width="88.875" style="3185" customWidth="1"/>
    <col min="14854" max="14854" width="7.875" style="3185" customWidth="1"/>
    <col min="14855" max="14855" width="17.75" style="3185" customWidth="1"/>
    <col min="14856" max="14857" width="13.875" style="3185" customWidth="1"/>
    <col min="14858" max="14858" width="24" style="3185" customWidth="1"/>
    <col min="14859" max="14860" width="9" style="3185" customWidth="1"/>
    <col min="14861" max="14861" width="7.875" style="3185" customWidth="1"/>
    <col min="14862" max="14862" width="43.875" style="3185" customWidth="1"/>
    <col min="14863" max="14864" width="10.625" style="3185" customWidth="1"/>
    <col min="14865" max="14865" width="16" style="3185" customWidth="1"/>
    <col min="14866" max="14866" width="14.375" style="3185" customWidth="1"/>
    <col min="14867" max="14867" width="6.25" style="3185" customWidth="1"/>
    <col min="14868" max="14868" width="22.875" style="3185" customWidth="1"/>
    <col min="14869" max="14869" width="7.875" style="3185" customWidth="1"/>
    <col min="14870" max="15104" width="9" style="3185"/>
    <col min="15105" max="15105" width="88.875" style="3185" customWidth="1"/>
    <col min="15106" max="15106" width="6.25" style="3185" customWidth="1"/>
    <col min="15107" max="15107" width="13.875" style="3185" customWidth="1"/>
    <col min="15108" max="15108" width="6.25" style="3185" customWidth="1"/>
    <col min="15109" max="15109" width="88.875" style="3185" customWidth="1"/>
    <col min="15110" max="15110" width="7.875" style="3185" customWidth="1"/>
    <col min="15111" max="15111" width="17.75" style="3185" customWidth="1"/>
    <col min="15112" max="15113" width="13.875" style="3185" customWidth="1"/>
    <col min="15114" max="15114" width="24" style="3185" customWidth="1"/>
    <col min="15115" max="15116" width="9" style="3185" customWidth="1"/>
    <col min="15117" max="15117" width="7.875" style="3185" customWidth="1"/>
    <col min="15118" max="15118" width="43.875" style="3185" customWidth="1"/>
    <col min="15119" max="15120" width="10.625" style="3185" customWidth="1"/>
    <col min="15121" max="15121" width="16" style="3185" customWidth="1"/>
    <col min="15122" max="15122" width="14.375" style="3185" customWidth="1"/>
    <col min="15123" max="15123" width="6.25" style="3185" customWidth="1"/>
    <col min="15124" max="15124" width="22.875" style="3185" customWidth="1"/>
    <col min="15125" max="15125" width="7.875" style="3185" customWidth="1"/>
    <col min="15126" max="15360" width="9" style="3185"/>
    <col min="15361" max="15361" width="88.875" style="3185" customWidth="1"/>
    <col min="15362" max="15362" width="6.25" style="3185" customWidth="1"/>
    <col min="15363" max="15363" width="13.875" style="3185" customWidth="1"/>
    <col min="15364" max="15364" width="6.25" style="3185" customWidth="1"/>
    <col min="15365" max="15365" width="88.875" style="3185" customWidth="1"/>
    <col min="15366" max="15366" width="7.875" style="3185" customWidth="1"/>
    <col min="15367" max="15367" width="17.75" style="3185" customWidth="1"/>
    <col min="15368" max="15369" width="13.875" style="3185" customWidth="1"/>
    <col min="15370" max="15370" width="24" style="3185" customWidth="1"/>
    <col min="15371" max="15372" width="9" style="3185" customWidth="1"/>
    <col min="15373" max="15373" width="7.875" style="3185" customWidth="1"/>
    <col min="15374" max="15374" width="43.875" style="3185" customWidth="1"/>
    <col min="15375" max="15376" width="10.625" style="3185" customWidth="1"/>
    <col min="15377" max="15377" width="16" style="3185" customWidth="1"/>
    <col min="15378" max="15378" width="14.375" style="3185" customWidth="1"/>
    <col min="15379" max="15379" width="6.25" style="3185" customWidth="1"/>
    <col min="15380" max="15380" width="22.875" style="3185" customWidth="1"/>
    <col min="15381" max="15381" width="7.875" style="3185" customWidth="1"/>
    <col min="15382" max="15616" width="9" style="3185"/>
    <col min="15617" max="15617" width="88.875" style="3185" customWidth="1"/>
    <col min="15618" max="15618" width="6.25" style="3185" customWidth="1"/>
    <col min="15619" max="15619" width="13.875" style="3185" customWidth="1"/>
    <col min="15620" max="15620" width="6.25" style="3185" customWidth="1"/>
    <col min="15621" max="15621" width="88.875" style="3185" customWidth="1"/>
    <col min="15622" max="15622" width="7.875" style="3185" customWidth="1"/>
    <col min="15623" max="15623" width="17.75" style="3185" customWidth="1"/>
    <col min="15624" max="15625" width="13.875" style="3185" customWidth="1"/>
    <col min="15626" max="15626" width="24" style="3185" customWidth="1"/>
    <col min="15627" max="15628" width="9" style="3185" customWidth="1"/>
    <col min="15629" max="15629" width="7.875" style="3185" customWidth="1"/>
    <col min="15630" max="15630" width="43.875" style="3185" customWidth="1"/>
    <col min="15631" max="15632" width="10.625" style="3185" customWidth="1"/>
    <col min="15633" max="15633" width="16" style="3185" customWidth="1"/>
    <col min="15634" max="15634" width="14.375" style="3185" customWidth="1"/>
    <col min="15635" max="15635" width="6.25" style="3185" customWidth="1"/>
    <col min="15636" max="15636" width="22.875" style="3185" customWidth="1"/>
    <col min="15637" max="15637" width="7.875" style="3185" customWidth="1"/>
    <col min="15638" max="15872" width="9" style="3185"/>
    <col min="15873" max="15873" width="88.875" style="3185" customWidth="1"/>
    <col min="15874" max="15874" width="6.25" style="3185" customWidth="1"/>
    <col min="15875" max="15875" width="13.875" style="3185" customWidth="1"/>
    <col min="15876" max="15876" width="6.25" style="3185" customWidth="1"/>
    <col min="15877" max="15877" width="88.875" style="3185" customWidth="1"/>
    <col min="15878" max="15878" width="7.875" style="3185" customWidth="1"/>
    <col min="15879" max="15879" width="17.75" style="3185" customWidth="1"/>
    <col min="15880" max="15881" width="13.875" style="3185" customWidth="1"/>
    <col min="15882" max="15882" width="24" style="3185" customWidth="1"/>
    <col min="15883" max="15884" width="9" style="3185" customWidth="1"/>
    <col min="15885" max="15885" width="7.875" style="3185" customWidth="1"/>
    <col min="15886" max="15886" width="43.875" style="3185" customWidth="1"/>
    <col min="15887" max="15888" width="10.625" style="3185" customWidth="1"/>
    <col min="15889" max="15889" width="16" style="3185" customWidth="1"/>
    <col min="15890" max="15890" width="14.375" style="3185" customWidth="1"/>
    <col min="15891" max="15891" width="6.25" style="3185" customWidth="1"/>
    <col min="15892" max="15892" width="22.875" style="3185" customWidth="1"/>
    <col min="15893" max="15893" width="7.875" style="3185" customWidth="1"/>
    <col min="15894" max="16128" width="9" style="3185"/>
    <col min="16129" max="16129" width="88.875" style="3185" customWidth="1"/>
    <col min="16130" max="16130" width="6.25" style="3185" customWidth="1"/>
    <col min="16131" max="16131" width="13.875" style="3185" customWidth="1"/>
    <col min="16132" max="16132" width="6.25" style="3185" customWidth="1"/>
    <col min="16133" max="16133" width="88.875" style="3185" customWidth="1"/>
    <col min="16134" max="16134" width="7.875" style="3185" customWidth="1"/>
    <col min="16135" max="16135" width="17.75" style="3185" customWidth="1"/>
    <col min="16136" max="16137" width="13.875" style="3185" customWidth="1"/>
    <col min="16138" max="16138" width="24" style="3185" customWidth="1"/>
    <col min="16139" max="16140" width="9" style="3185" customWidth="1"/>
    <col min="16141" max="16141" width="7.875" style="3185" customWidth="1"/>
    <col min="16142" max="16142" width="43.875" style="3185" customWidth="1"/>
    <col min="16143" max="16144" width="10.625" style="3185" customWidth="1"/>
    <col min="16145" max="16145" width="16" style="3185" customWidth="1"/>
    <col min="16146" max="16146" width="14.375" style="3185" customWidth="1"/>
    <col min="16147" max="16147" width="6.25" style="3185" customWidth="1"/>
    <col min="16148" max="16148" width="22.875" style="3185" customWidth="1"/>
    <col min="16149" max="16149" width="7.875" style="3185" customWidth="1"/>
    <col min="16150" max="16384" width="9" style="3185"/>
  </cols>
  <sheetData>
    <row r="1" spans="1:21">
      <c r="A1" s="3185" t="s">
        <v>3017</v>
      </c>
      <c r="B1" s="3185" t="s">
        <v>3018</v>
      </c>
      <c r="C1" s="3185" t="s">
        <v>3019</v>
      </c>
      <c r="D1" s="3185" t="s">
        <v>3020</v>
      </c>
      <c r="E1" s="3185" t="s">
        <v>3021</v>
      </c>
      <c r="F1" s="3185" t="s">
        <v>3022</v>
      </c>
      <c r="G1" s="3185" t="s">
        <v>3023</v>
      </c>
      <c r="H1" s="3185" t="s">
        <v>3024</v>
      </c>
      <c r="I1" s="3185" t="s">
        <v>3025</v>
      </c>
      <c r="J1" s="3185" t="s">
        <v>2032</v>
      </c>
      <c r="K1" s="3185" t="s">
        <v>3026</v>
      </c>
      <c r="L1" s="3185" t="s">
        <v>3027</v>
      </c>
      <c r="M1" s="3185" t="s">
        <v>3028</v>
      </c>
      <c r="N1" s="3185" t="s">
        <v>3029</v>
      </c>
      <c r="O1" s="3185" t="s">
        <v>3030</v>
      </c>
      <c r="P1" s="3185" t="s">
        <v>3031</v>
      </c>
      <c r="Q1" s="3185" t="s">
        <v>3032</v>
      </c>
      <c r="R1" s="3185" t="s">
        <v>3033</v>
      </c>
      <c r="S1" s="3185" t="s">
        <v>3034</v>
      </c>
      <c r="T1" s="3185" t="s">
        <v>3035</v>
      </c>
      <c r="U1" s="3192" t="s">
        <v>3291</v>
      </c>
    </row>
    <row r="2" spans="1:21">
      <c r="A2" s="3185" t="s">
        <v>3036</v>
      </c>
      <c r="B2" s="3185" t="s">
        <v>3037</v>
      </c>
      <c r="C2" s="3185" t="s">
        <v>3038</v>
      </c>
      <c r="D2" s="3185" t="s">
        <v>3039</v>
      </c>
      <c r="E2" s="3185" t="s">
        <v>3036</v>
      </c>
      <c r="F2" s="3185" t="s">
        <v>3040</v>
      </c>
      <c r="G2" s="3185" t="s">
        <v>3041</v>
      </c>
      <c r="H2" s="3185">
        <v>16174.01</v>
      </c>
      <c r="I2" s="3185">
        <v>32348</v>
      </c>
      <c r="J2" s="3185" t="s">
        <v>3042</v>
      </c>
      <c r="K2" s="3185" t="s">
        <v>3043</v>
      </c>
      <c r="L2" s="3185" t="s">
        <v>3043</v>
      </c>
      <c r="M2" s="3185" t="s">
        <v>3044</v>
      </c>
      <c r="N2" s="3185" t="s">
        <v>3045</v>
      </c>
      <c r="O2" s="3185">
        <v>25393.18</v>
      </c>
      <c r="P2" s="3185">
        <v>59520.31</v>
      </c>
      <c r="Q2" s="3185">
        <v>2453.33</v>
      </c>
      <c r="R2" s="3185">
        <v>18400</v>
      </c>
      <c r="S2" s="3185">
        <v>134.38999999999999</v>
      </c>
      <c r="T2" s="3185" t="s">
        <v>3046</v>
      </c>
      <c r="U2" s="3185">
        <f>ROUND(P2*10000/H2,0)</f>
        <v>36800</v>
      </c>
    </row>
    <row r="3" spans="1:21" s="3186" customFormat="1">
      <c r="A3" s="3186" t="s">
        <v>3047</v>
      </c>
      <c r="B3" s="3186" t="s">
        <v>3037</v>
      </c>
      <c r="C3" s="3186" t="s">
        <v>3038</v>
      </c>
      <c r="D3" s="3186" t="s">
        <v>3039</v>
      </c>
      <c r="E3" s="3186" t="s">
        <v>3047</v>
      </c>
      <c r="F3" s="3186" t="s">
        <v>3040</v>
      </c>
      <c r="G3" s="3186" t="s">
        <v>3048</v>
      </c>
      <c r="H3" s="3186">
        <v>47209.43</v>
      </c>
      <c r="I3" s="3186">
        <v>70814</v>
      </c>
      <c r="J3" s="3186" t="s">
        <v>3049</v>
      </c>
      <c r="K3" s="3186" t="s">
        <v>3050</v>
      </c>
      <c r="L3" s="3186" t="s">
        <v>3050</v>
      </c>
      <c r="M3" s="3186" t="s">
        <v>3044</v>
      </c>
      <c r="N3" s="3186" t="s">
        <v>3051</v>
      </c>
      <c r="O3" s="3186">
        <v>77895.39</v>
      </c>
      <c r="P3" s="3186">
        <v>77895.39</v>
      </c>
      <c r="Q3" s="3186">
        <v>1100</v>
      </c>
      <c r="R3" s="3186">
        <v>11000</v>
      </c>
      <c r="S3" s="3186">
        <v>0</v>
      </c>
      <c r="T3" s="3186" t="s">
        <v>3046</v>
      </c>
      <c r="U3" s="3185">
        <f t="shared" ref="U3:U51" si="0">ROUND(P3*10000/H3,0)</f>
        <v>16500</v>
      </c>
    </row>
    <row r="4" spans="1:21" s="3186" customFormat="1">
      <c r="A4" s="3186" t="s">
        <v>3052</v>
      </c>
      <c r="B4" s="3186" t="s">
        <v>3037</v>
      </c>
      <c r="C4" s="3186" t="s">
        <v>3038</v>
      </c>
      <c r="D4" s="3186" t="s">
        <v>3039</v>
      </c>
      <c r="E4" s="3186" t="s">
        <v>3052</v>
      </c>
      <c r="F4" s="3186" t="s">
        <v>3040</v>
      </c>
      <c r="G4" s="3186" t="s">
        <v>3053</v>
      </c>
      <c r="H4" s="3186">
        <v>17331.16</v>
      </c>
      <c r="I4" s="3186">
        <v>43327</v>
      </c>
      <c r="J4" s="3186" t="s">
        <v>3054</v>
      </c>
      <c r="K4" s="3186" t="s">
        <v>3055</v>
      </c>
      <c r="L4" s="3186" t="s">
        <v>3055</v>
      </c>
      <c r="M4" s="3186" t="s">
        <v>3044</v>
      </c>
      <c r="N4" s="3186" t="s">
        <v>3056</v>
      </c>
      <c r="O4" s="3186">
        <v>41455.26</v>
      </c>
      <c r="P4" s="3186">
        <v>57052.98</v>
      </c>
      <c r="Q4" s="3186">
        <v>2194.62</v>
      </c>
      <c r="R4" s="3186">
        <v>13168</v>
      </c>
      <c r="S4" s="3186">
        <v>37.630000000000003</v>
      </c>
      <c r="T4" s="3186" t="s">
        <v>3057</v>
      </c>
      <c r="U4" s="3185">
        <f t="shared" si="0"/>
        <v>32919</v>
      </c>
    </row>
    <row r="5" spans="1:21" s="3186" customFormat="1">
      <c r="A5" s="3186" t="s">
        <v>3058</v>
      </c>
      <c r="B5" s="3186" t="s">
        <v>3037</v>
      </c>
      <c r="C5" s="3186" t="s">
        <v>3038</v>
      </c>
      <c r="D5" s="3186" t="s">
        <v>3039</v>
      </c>
      <c r="E5" s="3186" t="s">
        <v>3058</v>
      </c>
      <c r="F5" s="3186" t="s">
        <v>3040</v>
      </c>
      <c r="G5" s="3186" t="s">
        <v>3059</v>
      </c>
      <c r="H5" s="3186">
        <v>38820.75</v>
      </c>
      <c r="I5" s="3186">
        <v>77641</v>
      </c>
      <c r="J5" s="3186" t="s">
        <v>3042</v>
      </c>
      <c r="K5" s="3186" t="s">
        <v>3060</v>
      </c>
      <c r="L5" s="3186" t="s">
        <v>3060</v>
      </c>
      <c r="M5" s="3186" t="s">
        <v>3044</v>
      </c>
      <c r="N5" s="3186" t="s">
        <v>3061</v>
      </c>
      <c r="O5" s="3186">
        <v>69876.89</v>
      </c>
      <c r="P5" s="3186">
        <v>90840.52</v>
      </c>
      <c r="Q5" s="3186">
        <v>1560</v>
      </c>
      <c r="R5" s="3186">
        <v>11700.06</v>
      </c>
      <c r="S5" s="3186">
        <v>30</v>
      </c>
      <c r="T5" s="3186" t="s">
        <v>3057</v>
      </c>
      <c r="U5" s="3185">
        <f t="shared" si="0"/>
        <v>23400</v>
      </c>
    </row>
    <row r="6" spans="1:21">
      <c r="A6" s="3185" t="s">
        <v>3062</v>
      </c>
      <c r="B6" s="3185" t="s">
        <v>3037</v>
      </c>
      <c r="C6" s="3185" t="s">
        <v>3063</v>
      </c>
      <c r="D6" s="3185" t="s">
        <v>3039</v>
      </c>
      <c r="E6" s="3185" t="s">
        <v>3062</v>
      </c>
      <c r="F6" s="3185" t="s">
        <v>3040</v>
      </c>
      <c r="G6" s="3185" t="s">
        <v>3064</v>
      </c>
      <c r="H6" s="3185">
        <v>9484</v>
      </c>
      <c r="I6" s="3185">
        <v>9484</v>
      </c>
      <c r="J6" s="3185" t="s">
        <v>3065</v>
      </c>
      <c r="K6" s="3185" t="s">
        <v>3066</v>
      </c>
      <c r="L6" s="3185" t="s">
        <v>3066</v>
      </c>
      <c r="M6" s="3185" t="s">
        <v>3044</v>
      </c>
      <c r="N6" s="3185" t="s">
        <v>3067</v>
      </c>
      <c r="O6" s="3185">
        <v>6923.31</v>
      </c>
      <c r="P6" s="3185">
        <v>6923.31</v>
      </c>
      <c r="Q6" s="3185">
        <v>486.67</v>
      </c>
      <c r="R6" s="3185">
        <v>7300</v>
      </c>
      <c r="S6" s="3185">
        <v>0</v>
      </c>
      <c r="T6" s="3185" t="s">
        <v>3068</v>
      </c>
      <c r="U6" s="3185">
        <f t="shared" si="0"/>
        <v>7300</v>
      </c>
    </row>
    <row r="7" spans="1:21">
      <c r="A7" s="3185" t="s">
        <v>3069</v>
      </c>
      <c r="B7" s="3185" t="s">
        <v>3037</v>
      </c>
      <c r="C7" s="3185" t="s">
        <v>3038</v>
      </c>
      <c r="D7" s="3185" t="s">
        <v>3039</v>
      </c>
      <c r="E7" s="3185" t="s">
        <v>3069</v>
      </c>
      <c r="F7" s="3185" t="s">
        <v>3040</v>
      </c>
      <c r="G7" s="3185" t="s">
        <v>3070</v>
      </c>
      <c r="H7" s="3185">
        <v>24372.560000000001</v>
      </c>
      <c r="I7" s="3185">
        <v>60931</v>
      </c>
      <c r="J7" s="3185" t="s">
        <v>3054</v>
      </c>
      <c r="K7" s="3185" t="s">
        <v>3066</v>
      </c>
      <c r="L7" s="3185" t="s">
        <v>3066</v>
      </c>
      <c r="M7" s="3185" t="s">
        <v>3044</v>
      </c>
      <c r="N7" s="3185" t="s">
        <v>3067</v>
      </c>
      <c r="O7" s="3185">
        <v>48318.27</v>
      </c>
      <c r="P7" s="3185">
        <v>48318.27</v>
      </c>
      <c r="Q7" s="3185">
        <v>1321.66</v>
      </c>
      <c r="R7" s="3185">
        <v>7930</v>
      </c>
      <c r="S7" s="3185">
        <v>0</v>
      </c>
      <c r="T7" s="3185" t="s">
        <v>3046</v>
      </c>
      <c r="U7" s="3185">
        <f t="shared" si="0"/>
        <v>19825</v>
      </c>
    </row>
    <row r="8" spans="1:21">
      <c r="A8" s="3185" t="s">
        <v>3071</v>
      </c>
      <c r="B8" s="3185" t="s">
        <v>3037</v>
      </c>
      <c r="C8" s="3185" t="s">
        <v>3038</v>
      </c>
      <c r="D8" s="3185" t="s">
        <v>3039</v>
      </c>
      <c r="E8" s="3185" t="s">
        <v>3071</v>
      </c>
      <c r="F8" s="3185" t="s">
        <v>3040</v>
      </c>
      <c r="G8" s="3185" t="s">
        <v>3072</v>
      </c>
      <c r="H8" s="3185">
        <v>9602.68</v>
      </c>
      <c r="I8" s="3185">
        <v>24006</v>
      </c>
      <c r="J8" s="3185" t="s">
        <v>3054</v>
      </c>
      <c r="K8" s="3185" t="s">
        <v>3066</v>
      </c>
      <c r="L8" s="3185" t="s">
        <v>3066</v>
      </c>
      <c r="M8" s="3185" t="s">
        <v>3044</v>
      </c>
      <c r="N8" s="3185" t="s">
        <v>3067</v>
      </c>
      <c r="O8" s="3185">
        <v>19036.75</v>
      </c>
      <c r="P8" s="3185">
        <v>19036.75</v>
      </c>
      <c r="Q8" s="3185">
        <v>1321.63</v>
      </c>
      <c r="R8" s="3185">
        <v>7930</v>
      </c>
      <c r="S8" s="3185">
        <v>0</v>
      </c>
      <c r="T8" s="3185" t="s">
        <v>3046</v>
      </c>
      <c r="U8" s="3185">
        <f t="shared" si="0"/>
        <v>19824</v>
      </c>
    </row>
    <row r="9" spans="1:21">
      <c r="A9" s="3185" t="s">
        <v>3073</v>
      </c>
      <c r="B9" s="3185" t="s">
        <v>3037</v>
      </c>
      <c r="C9" s="3185" t="s">
        <v>3063</v>
      </c>
      <c r="D9" s="3185" t="s">
        <v>3039</v>
      </c>
      <c r="E9" s="3185" t="s">
        <v>3073</v>
      </c>
      <c r="F9" s="3185" t="s">
        <v>3040</v>
      </c>
      <c r="G9" s="3185" t="s">
        <v>3074</v>
      </c>
      <c r="H9" s="3185">
        <v>41909.9</v>
      </c>
      <c r="I9" s="3185">
        <v>104774</v>
      </c>
      <c r="J9" s="3185" t="s">
        <v>3075</v>
      </c>
      <c r="K9" s="3185" t="s">
        <v>3076</v>
      </c>
      <c r="L9" s="3185" t="s">
        <v>3076</v>
      </c>
      <c r="M9" s="3185" t="s">
        <v>3044</v>
      </c>
      <c r="N9" s="3185" t="s">
        <v>3067</v>
      </c>
      <c r="O9" s="3185">
        <v>83714.42</v>
      </c>
      <c r="P9" s="3185">
        <v>83714.42</v>
      </c>
      <c r="Q9" s="3185">
        <v>1331.66</v>
      </c>
      <c r="R9" s="3185">
        <v>7990</v>
      </c>
      <c r="S9" s="3185">
        <v>0</v>
      </c>
      <c r="T9" s="3185" t="s">
        <v>3077</v>
      </c>
      <c r="U9" s="3185">
        <f t="shared" si="0"/>
        <v>19975</v>
      </c>
    </row>
    <row r="10" spans="1:21">
      <c r="A10" s="3185" t="s">
        <v>3078</v>
      </c>
      <c r="B10" s="3185" t="s">
        <v>3037</v>
      </c>
      <c r="C10" s="3185" t="s">
        <v>3038</v>
      </c>
      <c r="D10" s="3185" t="s">
        <v>3039</v>
      </c>
      <c r="E10" s="3185" t="s">
        <v>3078</v>
      </c>
      <c r="F10" s="3185" t="s">
        <v>3040</v>
      </c>
      <c r="G10" s="3185" t="s">
        <v>3079</v>
      </c>
      <c r="H10" s="3185">
        <v>41982</v>
      </c>
      <c r="I10" s="3185">
        <v>104955</v>
      </c>
      <c r="J10" s="3185" t="s">
        <v>3054</v>
      </c>
      <c r="K10" s="3185" t="s">
        <v>3080</v>
      </c>
      <c r="L10" s="3185" t="s">
        <v>3080</v>
      </c>
      <c r="M10" s="3185" t="s">
        <v>3044</v>
      </c>
      <c r="N10" s="3185" t="s">
        <v>3081</v>
      </c>
      <c r="O10" s="3185">
        <v>57378.9</v>
      </c>
      <c r="P10" s="3185">
        <v>113005</v>
      </c>
      <c r="Q10" s="3185">
        <v>1794.5</v>
      </c>
      <c r="R10" s="3185">
        <v>10767</v>
      </c>
      <c r="S10" s="3185">
        <v>96.95</v>
      </c>
      <c r="T10" s="3185" t="s">
        <v>3057</v>
      </c>
      <c r="U10" s="3185">
        <f t="shared" si="0"/>
        <v>26917</v>
      </c>
    </row>
    <row r="11" spans="1:21">
      <c r="A11" s="3185" t="s">
        <v>3082</v>
      </c>
      <c r="B11" s="3185" t="s">
        <v>3037</v>
      </c>
      <c r="C11" s="3185" t="s">
        <v>3063</v>
      </c>
      <c r="D11" s="3185" t="s">
        <v>3039</v>
      </c>
      <c r="E11" s="3185" t="s">
        <v>3082</v>
      </c>
      <c r="F11" s="3185" t="s">
        <v>3040</v>
      </c>
      <c r="G11" s="3185" t="s">
        <v>3083</v>
      </c>
      <c r="H11" s="3185">
        <v>31325.16</v>
      </c>
      <c r="I11" s="3185">
        <v>140963.20000000001</v>
      </c>
      <c r="J11" s="3185" t="s">
        <v>3084</v>
      </c>
      <c r="K11" s="3185" t="s">
        <v>3085</v>
      </c>
      <c r="L11" s="3185" t="s">
        <v>3085</v>
      </c>
      <c r="M11" s="3185" t="s">
        <v>3044</v>
      </c>
      <c r="N11" s="3185" t="s">
        <v>3086</v>
      </c>
      <c r="O11" s="3185">
        <v>70481.61</v>
      </c>
      <c r="P11" s="3185">
        <v>70481.61</v>
      </c>
      <c r="Q11" s="3185">
        <v>1500</v>
      </c>
      <c r="R11" s="3185">
        <v>5000</v>
      </c>
      <c r="S11" s="3185">
        <v>0</v>
      </c>
      <c r="T11" s="3185" t="s">
        <v>3087</v>
      </c>
      <c r="U11" s="3185">
        <f t="shared" si="0"/>
        <v>22500</v>
      </c>
    </row>
    <row r="12" spans="1:21">
      <c r="A12" s="3185" t="s">
        <v>3088</v>
      </c>
      <c r="B12" s="3185" t="s">
        <v>3037</v>
      </c>
      <c r="C12" s="3185" t="s">
        <v>3063</v>
      </c>
      <c r="D12" s="3185" t="s">
        <v>3039</v>
      </c>
      <c r="E12" s="3185" t="s">
        <v>3088</v>
      </c>
      <c r="F12" s="3185" t="s">
        <v>3040</v>
      </c>
      <c r="G12" s="3185" t="s">
        <v>3089</v>
      </c>
      <c r="H12" s="3185">
        <v>25494.31</v>
      </c>
      <c r="I12" s="3185">
        <v>114724.4</v>
      </c>
      <c r="J12" s="3185" t="s">
        <v>3084</v>
      </c>
      <c r="K12" s="3185" t="s">
        <v>3090</v>
      </c>
      <c r="L12" s="3185" t="s">
        <v>3090</v>
      </c>
      <c r="M12" s="3185" t="s">
        <v>3044</v>
      </c>
      <c r="N12" s="3185" t="s">
        <v>3091</v>
      </c>
      <c r="O12" s="3185">
        <v>30596.99</v>
      </c>
      <c r="P12" s="3185">
        <v>59656.68</v>
      </c>
      <c r="Q12" s="3185">
        <v>1560</v>
      </c>
      <c r="R12" s="3185">
        <v>5200</v>
      </c>
      <c r="S12" s="3185">
        <v>94.98</v>
      </c>
      <c r="T12" s="3185" t="s">
        <v>3092</v>
      </c>
      <c r="U12" s="3185">
        <f t="shared" si="0"/>
        <v>23400</v>
      </c>
    </row>
    <row r="13" spans="1:21">
      <c r="A13" s="3185" t="s">
        <v>3093</v>
      </c>
      <c r="B13" s="3185" t="s">
        <v>3037</v>
      </c>
      <c r="C13" s="3185" t="s">
        <v>3063</v>
      </c>
      <c r="D13" s="3185" t="s">
        <v>3039</v>
      </c>
      <c r="E13" s="3185" t="s">
        <v>3093</v>
      </c>
      <c r="F13" s="3185" t="s">
        <v>3040</v>
      </c>
      <c r="G13" s="3185" t="s">
        <v>3094</v>
      </c>
      <c r="H13" s="3185">
        <v>30409.95</v>
      </c>
      <c r="I13" s="3185">
        <v>243279.6</v>
      </c>
      <c r="J13" s="3185" t="s">
        <v>3095</v>
      </c>
      <c r="K13" s="3185" t="s">
        <v>3096</v>
      </c>
      <c r="L13" s="3185" t="s">
        <v>3096</v>
      </c>
      <c r="M13" s="3185" t="s">
        <v>3044</v>
      </c>
      <c r="N13" s="3185" t="s">
        <v>3097</v>
      </c>
      <c r="O13" s="3185">
        <v>158131.70000000001</v>
      </c>
      <c r="P13" s="3185">
        <v>231115.6</v>
      </c>
      <c r="Q13" s="3185">
        <v>5066.67</v>
      </c>
      <c r="R13" s="3185">
        <v>9500</v>
      </c>
      <c r="S13" s="3185">
        <v>46.15</v>
      </c>
      <c r="T13" s="3185" t="s">
        <v>3087</v>
      </c>
      <c r="U13" s="3185">
        <f t="shared" si="0"/>
        <v>76000</v>
      </c>
    </row>
    <row r="14" spans="1:21">
      <c r="A14" s="3185" t="s">
        <v>3098</v>
      </c>
      <c r="B14" s="3185" t="s">
        <v>3037</v>
      </c>
      <c r="C14" s="3185" t="s">
        <v>3063</v>
      </c>
      <c r="D14" s="3185" t="s">
        <v>3039</v>
      </c>
      <c r="E14" s="3185" t="s">
        <v>3098</v>
      </c>
      <c r="F14" s="3185" t="s">
        <v>3040</v>
      </c>
      <c r="G14" s="3185" t="s">
        <v>3099</v>
      </c>
      <c r="H14" s="3185">
        <v>29742.51</v>
      </c>
      <c r="I14" s="3185">
        <v>89227.53</v>
      </c>
      <c r="J14" s="3185" t="s">
        <v>3100</v>
      </c>
      <c r="K14" s="3185" t="s">
        <v>3101</v>
      </c>
      <c r="L14" s="3185" t="s">
        <v>3101</v>
      </c>
      <c r="M14" s="3185" t="s">
        <v>3044</v>
      </c>
      <c r="N14" s="3185" t="s">
        <v>3097</v>
      </c>
      <c r="O14" s="3185">
        <v>32121.9</v>
      </c>
      <c r="P14" s="3185">
        <v>65225.31</v>
      </c>
      <c r="Q14" s="3185">
        <v>1462</v>
      </c>
      <c r="R14" s="3185">
        <v>7310</v>
      </c>
      <c r="S14" s="3185">
        <v>103.06</v>
      </c>
      <c r="T14" s="3185" t="s">
        <v>3102</v>
      </c>
      <c r="U14" s="3185">
        <f t="shared" si="0"/>
        <v>21930</v>
      </c>
    </row>
    <row r="15" spans="1:21">
      <c r="A15" s="3185" t="s">
        <v>3103</v>
      </c>
      <c r="B15" s="3185" t="s">
        <v>3037</v>
      </c>
      <c r="C15" s="3185" t="s">
        <v>3063</v>
      </c>
      <c r="D15" s="3185" t="s">
        <v>3039</v>
      </c>
      <c r="E15" s="3185" t="s">
        <v>3103</v>
      </c>
      <c r="F15" s="3185" t="s">
        <v>3040</v>
      </c>
      <c r="G15" s="3185" t="s">
        <v>3104</v>
      </c>
      <c r="H15" s="3185">
        <v>24204.68</v>
      </c>
      <c r="I15" s="3185">
        <v>58091.23</v>
      </c>
      <c r="J15" s="3185">
        <v>2.4</v>
      </c>
      <c r="K15" s="3185" t="s">
        <v>3105</v>
      </c>
      <c r="L15" s="3185" t="s">
        <v>3105</v>
      </c>
      <c r="M15" s="3185" t="s">
        <v>3044</v>
      </c>
      <c r="N15" s="3185" t="s">
        <v>3106</v>
      </c>
      <c r="O15" s="3185">
        <v>22655.58</v>
      </c>
      <c r="P15" s="3185">
        <v>25269.68</v>
      </c>
      <c r="Q15" s="3185">
        <v>696</v>
      </c>
      <c r="R15" s="3185">
        <v>4350</v>
      </c>
      <c r="S15" s="3185">
        <v>11.54</v>
      </c>
      <c r="T15" s="3185" t="s">
        <v>3102</v>
      </c>
      <c r="U15" s="3185">
        <f t="shared" si="0"/>
        <v>10440</v>
      </c>
    </row>
    <row r="16" spans="1:21">
      <c r="A16" s="3185" t="s">
        <v>3107</v>
      </c>
      <c r="B16" s="3185" t="s">
        <v>3037</v>
      </c>
      <c r="C16" s="3185" t="s">
        <v>3063</v>
      </c>
      <c r="D16" s="3185" t="s">
        <v>3039</v>
      </c>
      <c r="E16" s="3185" t="s">
        <v>3107</v>
      </c>
      <c r="F16" s="3185" t="s">
        <v>3040</v>
      </c>
      <c r="G16" s="3185" t="s">
        <v>3108</v>
      </c>
      <c r="H16" s="3185">
        <v>15046.27</v>
      </c>
      <c r="I16" s="3185">
        <v>42881.87</v>
      </c>
      <c r="J16" s="3185">
        <v>2.85</v>
      </c>
      <c r="K16" s="3185" t="s">
        <v>3109</v>
      </c>
      <c r="L16" s="3185" t="s">
        <v>3109</v>
      </c>
      <c r="M16" s="3185" t="s">
        <v>3044</v>
      </c>
      <c r="N16" s="3185" t="s">
        <v>3110</v>
      </c>
      <c r="O16" s="3185">
        <v>23585.02</v>
      </c>
      <c r="P16" s="3185">
        <v>33876.68</v>
      </c>
      <c r="Q16" s="3185">
        <v>1501</v>
      </c>
      <c r="R16" s="3185">
        <v>7900</v>
      </c>
      <c r="S16" s="3185">
        <v>43.64</v>
      </c>
      <c r="T16" s="3185" t="s">
        <v>3102</v>
      </c>
      <c r="U16" s="3185">
        <f t="shared" si="0"/>
        <v>22515</v>
      </c>
    </row>
    <row r="17" spans="1:21">
      <c r="A17" s="3185" t="s">
        <v>3111</v>
      </c>
      <c r="B17" s="3185" t="s">
        <v>3037</v>
      </c>
      <c r="C17" s="3185" t="s">
        <v>3063</v>
      </c>
      <c r="D17" s="3185" t="s">
        <v>3039</v>
      </c>
      <c r="E17" s="3185" t="s">
        <v>3111</v>
      </c>
      <c r="F17" s="3185" t="s">
        <v>3040</v>
      </c>
      <c r="G17" s="3185" t="s">
        <v>3112</v>
      </c>
      <c r="H17" s="3185">
        <v>7051.46</v>
      </c>
      <c r="I17" s="3185">
        <v>21154.38</v>
      </c>
      <c r="J17" s="3185">
        <v>3</v>
      </c>
      <c r="K17" s="3185" t="s">
        <v>3113</v>
      </c>
      <c r="L17" s="3185" t="s">
        <v>3113</v>
      </c>
      <c r="M17" s="3185" t="s">
        <v>3044</v>
      </c>
      <c r="N17" s="3185" t="s">
        <v>3114</v>
      </c>
      <c r="O17" s="3185">
        <v>21112.06</v>
      </c>
      <c r="P17" s="3185">
        <v>21112.06</v>
      </c>
      <c r="Q17" s="3185">
        <v>1996</v>
      </c>
      <c r="R17" s="3185">
        <v>9980</v>
      </c>
      <c r="S17" s="3185">
        <v>0</v>
      </c>
      <c r="T17" s="3185" t="s">
        <v>3102</v>
      </c>
      <c r="U17" s="3185">
        <f t="shared" si="0"/>
        <v>29940</v>
      </c>
    </row>
    <row r="18" spans="1:21">
      <c r="A18" s="3185" t="s">
        <v>3115</v>
      </c>
      <c r="B18" s="3185" t="s">
        <v>3037</v>
      </c>
      <c r="C18" s="3185" t="s">
        <v>3038</v>
      </c>
      <c r="D18" s="3185" t="s">
        <v>3039</v>
      </c>
      <c r="E18" s="3185" t="s">
        <v>3115</v>
      </c>
      <c r="F18" s="3185" t="s">
        <v>3040</v>
      </c>
      <c r="G18" s="3185" t="s">
        <v>3116</v>
      </c>
      <c r="H18" s="3185">
        <v>95662.95</v>
      </c>
      <c r="I18" s="3185">
        <v>191325.9</v>
      </c>
      <c r="J18" s="3185">
        <v>2</v>
      </c>
      <c r="K18" s="3185" t="s">
        <v>3117</v>
      </c>
      <c r="L18" s="3185" t="s">
        <v>3117</v>
      </c>
      <c r="M18" s="3185" t="s">
        <v>3044</v>
      </c>
      <c r="N18" s="3185" t="s">
        <v>3118</v>
      </c>
      <c r="O18" s="3185">
        <v>80356.88</v>
      </c>
      <c r="P18" s="3185">
        <v>103698.6</v>
      </c>
      <c r="Q18" s="3185">
        <v>722.67</v>
      </c>
      <c r="R18" s="3185">
        <v>5420</v>
      </c>
      <c r="S18" s="3185">
        <v>29.05</v>
      </c>
      <c r="T18" s="3185" t="s">
        <v>3057</v>
      </c>
      <c r="U18" s="3185">
        <f t="shared" si="0"/>
        <v>10840</v>
      </c>
    </row>
    <row r="19" spans="1:21">
      <c r="A19" s="3185" t="s">
        <v>3119</v>
      </c>
      <c r="B19" s="3185" t="s">
        <v>3037</v>
      </c>
      <c r="C19" s="3185" t="s">
        <v>3063</v>
      </c>
      <c r="D19" s="3185" t="s">
        <v>3039</v>
      </c>
      <c r="E19" s="3185" t="s">
        <v>3119</v>
      </c>
      <c r="F19" s="3185" t="s">
        <v>3040</v>
      </c>
      <c r="G19" s="3185" t="s">
        <v>3120</v>
      </c>
      <c r="H19" s="3185">
        <v>9746.5</v>
      </c>
      <c r="I19" s="3185">
        <v>38986</v>
      </c>
      <c r="J19" s="3185">
        <v>2</v>
      </c>
      <c r="K19" s="3185" t="s">
        <v>3121</v>
      </c>
      <c r="L19" s="3185" t="s">
        <v>3121</v>
      </c>
      <c r="M19" s="3185" t="s">
        <v>3044</v>
      </c>
      <c r="N19" s="3185" t="s">
        <v>3122</v>
      </c>
      <c r="O19" s="3185">
        <v>17543.7</v>
      </c>
      <c r="P19" s="3185">
        <v>18635.310000000001</v>
      </c>
      <c r="Q19" s="3185">
        <v>1274.67</v>
      </c>
      <c r="R19" s="3185">
        <v>4780</v>
      </c>
      <c r="S19" s="3185">
        <v>6.22</v>
      </c>
      <c r="T19" s="3185" t="s">
        <v>3123</v>
      </c>
      <c r="U19" s="3185">
        <f t="shared" si="0"/>
        <v>19120</v>
      </c>
    </row>
    <row r="20" spans="1:21">
      <c r="A20" s="3185" t="s">
        <v>3124</v>
      </c>
      <c r="B20" s="3185" t="s">
        <v>3037</v>
      </c>
      <c r="C20" s="3185" t="s">
        <v>3063</v>
      </c>
      <c r="D20" s="3185" t="s">
        <v>3039</v>
      </c>
      <c r="E20" s="3185" t="s">
        <v>3124</v>
      </c>
      <c r="F20" s="3185" t="s">
        <v>3040</v>
      </c>
      <c r="G20" s="3185" t="s">
        <v>3125</v>
      </c>
      <c r="H20" s="3185">
        <v>64313.73</v>
      </c>
      <c r="I20" s="3185">
        <v>192941.2</v>
      </c>
      <c r="J20" s="3185">
        <v>3</v>
      </c>
      <c r="K20" s="3185" t="s">
        <v>3126</v>
      </c>
      <c r="L20" s="3185" t="s">
        <v>3126</v>
      </c>
      <c r="M20" s="3185" t="s">
        <v>3044</v>
      </c>
      <c r="N20" s="3185" t="s">
        <v>3127</v>
      </c>
      <c r="O20" s="3185">
        <v>106117.69</v>
      </c>
      <c r="P20" s="3185">
        <v>131585.89000000001</v>
      </c>
      <c r="Q20" s="3185">
        <v>1364</v>
      </c>
      <c r="R20" s="3185">
        <v>6820</v>
      </c>
      <c r="S20" s="3185">
        <v>24</v>
      </c>
      <c r="T20" s="3185" t="s">
        <v>3123</v>
      </c>
      <c r="U20" s="3185">
        <f t="shared" si="0"/>
        <v>20460</v>
      </c>
    </row>
    <row r="21" spans="1:21">
      <c r="A21" s="3185" t="s">
        <v>3128</v>
      </c>
      <c r="B21" s="3185" t="s">
        <v>3037</v>
      </c>
      <c r="C21" s="3185" t="s">
        <v>3063</v>
      </c>
      <c r="D21" s="3185" t="s">
        <v>3039</v>
      </c>
      <c r="E21" s="3185" t="s">
        <v>3128</v>
      </c>
      <c r="F21" s="3185" t="s">
        <v>3040</v>
      </c>
      <c r="G21" s="3185" t="s">
        <v>3129</v>
      </c>
      <c r="H21" s="3185">
        <v>21169.06</v>
      </c>
      <c r="I21" s="3185">
        <v>84676.24</v>
      </c>
      <c r="J21" s="3185" t="s">
        <v>3130</v>
      </c>
      <c r="K21" s="3185" t="s">
        <v>3131</v>
      </c>
      <c r="L21" s="3185" t="s">
        <v>3131</v>
      </c>
      <c r="M21" s="3185" t="s">
        <v>3044</v>
      </c>
      <c r="N21" s="3185" t="s">
        <v>3132</v>
      </c>
      <c r="O21" s="3185">
        <v>25402.86</v>
      </c>
      <c r="P21" s="3185">
        <v>26673.02</v>
      </c>
      <c r="Q21" s="3185">
        <v>840</v>
      </c>
      <c r="R21" s="3185">
        <v>3150</v>
      </c>
      <c r="S21" s="3185">
        <v>5</v>
      </c>
      <c r="T21" s="3185" t="s">
        <v>3123</v>
      </c>
      <c r="U21" s="3185">
        <f t="shared" si="0"/>
        <v>12600</v>
      </c>
    </row>
    <row r="22" spans="1:21">
      <c r="A22" s="3185" t="s">
        <v>3133</v>
      </c>
      <c r="B22" s="3185" t="s">
        <v>3037</v>
      </c>
      <c r="C22" s="3185" t="s">
        <v>3063</v>
      </c>
      <c r="D22" s="3185" t="s">
        <v>3039</v>
      </c>
      <c r="E22" s="3185" t="s">
        <v>3133</v>
      </c>
      <c r="F22" s="3185" t="s">
        <v>3040</v>
      </c>
      <c r="G22" s="3185" t="s">
        <v>3134</v>
      </c>
      <c r="H22" s="3185">
        <v>9602.68</v>
      </c>
      <c r="I22" s="3185">
        <v>38410.699999999997</v>
      </c>
      <c r="J22" s="3185" t="s">
        <v>3130</v>
      </c>
      <c r="K22" s="3185" t="s">
        <v>3131</v>
      </c>
      <c r="L22" s="3185" t="s">
        <v>3131</v>
      </c>
      <c r="M22" s="3185" t="s">
        <v>3044</v>
      </c>
      <c r="N22" s="3185" t="s">
        <v>3135</v>
      </c>
      <c r="O22" s="3185">
        <v>11523.2</v>
      </c>
      <c r="P22" s="3185">
        <v>20357.66</v>
      </c>
      <c r="Q22" s="3185">
        <v>1413.33</v>
      </c>
      <c r="R22" s="3185">
        <v>5300</v>
      </c>
      <c r="S22" s="3185">
        <v>76.67</v>
      </c>
      <c r="T22" s="3185" t="s">
        <v>3123</v>
      </c>
      <c r="U22" s="3185">
        <f t="shared" si="0"/>
        <v>21200</v>
      </c>
    </row>
    <row r="23" spans="1:21">
      <c r="A23" s="3185" t="s">
        <v>3136</v>
      </c>
      <c r="B23" s="3185" t="s">
        <v>3037</v>
      </c>
      <c r="C23" s="3185" t="s">
        <v>3063</v>
      </c>
      <c r="D23" s="3185" t="s">
        <v>3039</v>
      </c>
      <c r="E23" s="3185" t="s">
        <v>3136</v>
      </c>
      <c r="F23" s="3185" t="s">
        <v>3040</v>
      </c>
      <c r="G23" s="3185" t="s">
        <v>3137</v>
      </c>
      <c r="H23" s="3185">
        <v>41909.9</v>
      </c>
      <c r="I23" s="3185">
        <v>167639.6</v>
      </c>
      <c r="J23" s="3185" t="s">
        <v>3130</v>
      </c>
      <c r="K23" s="3185" t="s">
        <v>3131</v>
      </c>
      <c r="L23" s="3185" t="s">
        <v>3131</v>
      </c>
      <c r="M23" s="3185" t="s">
        <v>3044</v>
      </c>
      <c r="N23" s="3185" t="s">
        <v>3135</v>
      </c>
      <c r="O23" s="3185">
        <v>50291.87</v>
      </c>
      <c r="P23" s="3185">
        <v>91363.58</v>
      </c>
      <c r="Q23" s="3185">
        <v>1453.33</v>
      </c>
      <c r="R23" s="3185">
        <v>5450</v>
      </c>
      <c r="S23" s="3185">
        <v>81.67</v>
      </c>
      <c r="T23" s="3185" t="s">
        <v>3123</v>
      </c>
      <c r="U23" s="3185">
        <f t="shared" si="0"/>
        <v>21800</v>
      </c>
    </row>
    <row r="24" spans="1:21">
      <c r="A24" s="3185" t="s">
        <v>3138</v>
      </c>
      <c r="B24" s="3185" t="s">
        <v>3037</v>
      </c>
      <c r="C24" s="3185" t="s">
        <v>3063</v>
      </c>
      <c r="D24" s="3185" t="s">
        <v>3039</v>
      </c>
      <c r="E24" s="3185" t="s">
        <v>3138</v>
      </c>
      <c r="F24" s="3185" t="s">
        <v>3040</v>
      </c>
      <c r="G24" s="3185" t="s">
        <v>3139</v>
      </c>
      <c r="H24" s="3185">
        <v>10733.44</v>
      </c>
      <c r="I24" s="3185">
        <v>42933.760000000002</v>
      </c>
      <c r="J24" s="3185" t="s">
        <v>3130</v>
      </c>
      <c r="K24" s="3185" t="s">
        <v>3131</v>
      </c>
      <c r="L24" s="3185" t="s">
        <v>3131</v>
      </c>
      <c r="M24" s="3185" t="s">
        <v>3044</v>
      </c>
      <c r="N24" s="3185" t="s">
        <v>3132</v>
      </c>
      <c r="O24" s="3185">
        <v>12880.12</v>
      </c>
      <c r="P24" s="3185">
        <v>21037.54</v>
      </c>
      <c r="Q24" s="3185">
        <v>1306.67</v>
      </c>
      <c r="R24" s="3185">
        <v>4900</v>
      </c>
      <c r="S24" s="3185">
        <v>63.33</v>
      </c>
      <c r="T24" s="3185" t="s">
        <v>3123</v>
      </c>
      <c r="U24" s="3185">
        <f t="shared" si="0"/>
        <v>19600</v>
      </c>
    </row>
    <row r="25" spans="1:21">
      <c r="A25" s="3185" t="s">
        <v>3140</v>
      </c>
      <c r="B25" s="3185" t="s">
        <v>3037</v>
      </c>
      <c r="C25" s="3185" t="s">
        <v>3063</v>
      </c>
      <c r="D25" s="3185" t="s">
        <v>3039</v>
      </c>
      <c r="E25" s="3185" t="s">
        <v>3140</v>
      </c>
      <c r="F25" s="3185" t="s">
        <v>3040</v>
      </c>
      <c r="G25" s="3185" t="s">
        <v>3141</v>
      </c>
      <c r="H25" s="3185">
        <v>9484</v>
      </c>
      <c r="I25" s="3185">
        <v>37936</v>
      </c>
      <c r="J25" s="3185" t="s">
        <v>3130</v>
      </c>
      <c r="K25" s="3185" t="s">
        <v>3131</v>
      </c>
      <c r="L25" s="3185" t="s">
        <v>3131</v>
      </c>
      <c r="M25" s="3185" t="s">
        <v>3044</v>
      </c>
      <c r="N25" s="3185" t="s">
        <v>3135</v>
      </c>
      <c r="O25" s="3185">
        <v>11380.79</v>
      </c>
      <c r="P25" s="3185">
        <v>16122.79</v>
      </c>
      <c r="Q25" s="3185">
        <v>1133.33</v>
      </c>
      <c r="R25" s="3185">
        <v>4250</v>
      </c>
      <c r="S25" s="3185">
        <v>41.67</v>
      </c>
      <c r="T25" s="3185" t="s">
        <v>3123</v>
      </c>
      <c r="U25" s="3185">
        <f t="shared" si="0"/>
        <v>17000</v>
      </c>
    </row>
    <row r="26" spans="1:21">
      <c r="A26" s="3185" t="s">
        <v>3142</v>
      </c>
      <c r="B26" s="3185" t="s">
        <v>3037</v>
      </c>
      <c r="C26" s="3185" t="s">
        <v>3063</v>
      </c>
      <c r="D26" s="3185" t="s">
        <v>3039</v>
      </c>
      <c r="E26" s="3185" t="s">
        <v>3142</v>
      </c>
      <c r="F26" s="3185" t="s">
        <v>3040</v>
      </c>
      <c r="G26" s="3185" t="s">
        <v>3143</v>
      </c>
      <c r="H26" s="3185">
        <v>24372.560000000001</v>
      </c>
      <c r="I26" s="3185">
        <v>97490.240000000005</v>
      </c>
      <c r="J26" s="3185" t="s">
        <v>3130</v>
      </c>
      <c r="K26" s="3185" t="s">
        <v>3131</v>
      </c>
      <c r="L26" s="3185" t="s">
        <v>3131</v>
      </c>
      <c r="M26" s="3185" t="s">
        <v>3044</v>
      </c>
      <c r="N26" s="3185" t="s">
        <v>3135</v>
      </c>
      <c r="O26" s="3185">
        <v>29247.06</v>
      </c>
      <c r="P26" s="3185">
        <v>56056.88</v>
      </c>
      <c r="Q26" s="3185">
        <v>1533.33</v>
      </c>
      <c r="R26" s="3185">
        <v>5750</v>
      </c>
      <c r="S26" s="3185">
        <v>91.67</v>
      </c>
      <c r="T26" s="3185" t="s">
        <v>3123</v>
      </c>
      <c r="U26" s="3185">
        <f t="shared" si="0"/>
        <v>23000</v>
      </c>
    </row>
    <row r="27" spans="1:21">
      <c r="A27" s="3185" t="s">
        <v>3144</v>
      </c>
      <c r="B27" s="3185" t="s">
        <v>3037</v>
      </c>
      <c r="C27" s="3185" t="s">
        <v>3063</v>
      </c>
      <c r="D27" s="3185" t="s">
        <v>3039</v>
      </c>
      <c r="E27" s="3185" t="s">
        <v>3144</v>
      </c>
      <c r="F27" s="3185" t="s">
        <v>3145</v>
      </c>
      <c r="G27" s="3185" t="s">
        <v>3146</v>
      </c>
      <c r="H27" s="3185">
        <v>34491.72</v>
      </c>
      <c r="I27" s="3185">
        <v>131068.5</v>
      </c>
      <c r="J27" s="3185" t="s">
        <v>3147</v>
      </c>
      <c r="K27" s="3185" t="s">
        <v>3148</v>
      </c>
      <c r="L27" s="3185" t="s">
        <v>3148</v>
      </c>
      <c r="M27" s="3185" t="s">
        <v>3044</v>
      </c>
      <c r="N27" s="3185" t="s">
        <v>3149</v>
      </c>
      <c r="O27" s="3185">
        <v>67264.36</v>
      </c>
      <c r="P27" s="3185">
        <v>67264.36</v>
      </c>
      <c r="Q27" s="3185">
        <v>1300.1099999999999</v>
      </c>
      <c r="R27" s="3185">
        <v>5132</v>
      </c>
      <c r="S27" s="3185">
        <v>0</v>
      </c>
      <c r="T27" s="3185" t="s">
        <v>3150</v>
      </c>
      <c r="U27" s="3185">
        <f t="shared" si="0"/>
        <v>19502</v>
      </c>
    </row>
    <row r="28" spans="1:21">
      <c r="A28" s="3185" t="s">
        <v>3151</v>
      </c>
      <c r="B28" s="3185" t="s">
        <v>3037</v>
      </c>
      <c r="C28" s="3185" t="s">
        <v>3063</v>
      </c>
      <c r="D28" s="3185" t="s">
        <v>3039</v>
      </c>
      <c r="E28" s="3185" t="s">
        <v>3151</v>
      </c>
      <c r="F28" s="3185" t="s">
        <v>3145</v>
      </c>
      <c r="G28" s="3185" t="s">
        <v>3152</v>
      </c>
      <c r="H28" s="3185">
        <v>168790.8</v>
      </c>
      <c r="I28" s="3185">
        <v>768033</v>
      </c>
      <c r="J28" s="3185" t="s">
        <v>3153</v>
      </c>
      <c r="K28" s="3185" t="s">
        <v>3154</v>
      </c>
      <c r="L28" s="3185" t="s">
        <v>3154</v>
      </c>
      <c r="M28" s="3185" t="s">
        <v>3044</v>
      </c>
      <c r="N28" s="3185" t="s">
        <v>3056</v>
      </c>
      <c r="O28" s="3185">
        <v>101303.5</v>
      </c>
      <c r="P28" s="3185">
        <v>101303.5</v>
      </c>
      <c r="Q28" s="3185">
        <v>400.11</v>
      </c>
      <c r="R28" s="3185">
        <v>1319</v>
      </c>
      <c r="S28" s="3185">
        <v>0</v>
      </c>
      <c r="T28" s="3185" t="s">
        <v>3150</v>
      </c>
      <c r="U28" s="3185">
        <f t="shared" si="0"/>
        <v>6002</v>
      </c>
    </row>
    <row r="29" spans="1:21">
      <c r="A29" s="3185" t="s">
        <v>3155</v>
      </c>
      <c r="B29" s="3185" t="s">
        <v>3037</v>
      </c>
      <c r="C29" s="3185" t="s">
        <v>3063</v>
      </c>
      <c r="D29" s="3185" t="s">
        <v>3039</v>
      </c>
      <c r="E29" s="3185" t="s">
        <v>3155</v>
      </c>
      <c r="F29" s="3185" t="s">
        <v>3145</v>
      </c>
      <c r="G29" s="3185" t="s">
        <v>3156</v>
      </c>
      <c r="H29" s="3185">
        <v>21799.919999999998</v>
      </c>
      <c r="I29" s="3185">
        <v>100534</v>
      </c>
      <c r="J29" s="3185" t="s">
        <v>3157</v>
      </c>
      <c r="K29" s="3185" t="s">
        <v>3158</v>
      </c>
      <c r="L29" s="3185" t="s">
        <v>3158</v>
      </c>
      <c r="M29" s="3185" t="s">
        <v>3044</v>
      </c>
      <c r="N29" s="3185" t="s">
        <v>3159</v>
      </c>
      <c r="O29" s="3185">
        <v>41218.94</v>
      </c>
      <c r="P29" s="3185">
        <v>41218.94</v>
      </c>
      <c r="Q29" s="3185">
        <v>1260.52</v>
      </c>
      <c r="R29" s="3185">
        <v>4100</v>
      </c>
      <c r="S29" s="3185">
        <v>0</v>
      </c>
      <c r="T29" s="3185" t="s">
        <v>3150</v>
      </c>
      <c r="U29" s="3185">
        <f t="shared" si="0"/>
        <v>18908</v>
      </c>
    </row>
    <row r="30" spans="1:21">
      <c r="A30" s="3185" t="s">
        <v>3160</v>
      </c>
      <c r="B30" s="3185" t="s">
        <v>3037</v>
      </c>
      <c r="C30" s="3185" t="s">
        <v>3063</v>
      </c>
      <c r="D30" s="3185" t="s">
        <v>3039</v>
      </c>
      <c r="E30" s="3185" t="s">
        <v>3160</v>
      </c>
      <c r="F30" s="3185" t="s">
        <v>3040</v>
      </c>
      <c r="G30" s="3185" t="s">
        <v>3161</v>
      </c>
      <c r="H30" s="3185">
        <v>30419.18</v>
      </c>
      <c r="I30" s="3185">
        <v>86694.66</v>
      </c>
      <c r="J30" s="3185" t="s">
        <v>3162</v>
      </c>
      <c r="K30" s="3185" t="s">
        <v>3163</v>
      </c>
      <c r="L30" s="3185" t="s">
        <v>3163</v>
      </c>
      <c r="M30" s="3185" t="s">
        <v>3044</v>
      </c>
      <c r="N30" s="3185" t="s">
        <v>3164</v>
      </c>
      <c r="O30" s="3185">
        <v>39012.589999999997</v>
      </c>
      <c r="P30" s="3185">
        <v>68228.69</v>
      </c>
      <c r="Q30" s="3185">
        <v>1495.3</v>
      </c>
      <c r="R30" s="3185">
        <v>7870</v>
      </c>
      <c r="S30" s="3185">
        <v>74.89</v>
      </c>
      <c r="T30" s="3185" t="s">
        <v>3165</v>
      </c>
      <c r="U30" s="3185">
        <f t="shared" si="0"/>
        <v>22429</v>
      </c>
    </row>
    <row r="31" spans="1:21">
      <c r="A31" s="3185" t="s">
        <v>3166</v>
      </c>
      <c r="B31" s="3185" t="s">
        <v>3037</v>
      </c>
      <c r="C31" s="3185" t="s">
        <v>3063</v>
      </c>
      <c r="D31" s="3185" t="s">
        <v>3039</v>
      </c>
      <c r="E31" s="3185" t="s">
        <v>3166</v>
      </c>
      <c r="F31" s="3185" t="s">
        <v>3040</v>
      </c>
      <c r="G31" s="3185" t="s">
        <v>3167</v>
      </c>
      <c r="H31" s="3185">
        <v>42782.29</v>
      </c>
      <c r="I31" s="3185">
        <v>145459.79999999999</v>
      </c>
      <c r="J31" s="3185" t="s">
        <v>3168</v>
      </c>
      <c r="K31" s="3185" t="s">
        <v>3169</v>
      </c>
      <c r="L31" s="3185" t="s">
        <v>3169</v>
      </c>
      <c r="M31" s="3185" t="s">
        <v>3044</v>
      </c>
      <c r="N31" s="3185" t="s">
        <v>3170</v>
      </c>
      <c r="O31" s="3185" t="s">
        <v>2818</v>
      </c>
      <c r="P31" s="3185">
        <v>73166.27</v>
      </c>
      <c r="Q31" s="3185">
        <v>1140.1300000000001</v>
      </c>
      <c r="R31" s="3185">
        <v>5030</v>
      </c>
      <c r="S31" s="3185" t="s">
        <v>2818</v>
      </c>
      <c r="T31" s="3185" t="s">
        <v>3165</v>
      </c>
      <c r="U31" s="3185">
        <f t="shared" si="0"/>
        <v>17102</v>
      </c>
    </row>
    <row r="32" spans="1:21">
      <c r="A32" s="3185" t="s">
        <v>3171</v>
      </c>
      <c r="B32" s="3185" t="s">
        <v>3037</v>
      </c>
      <c r="C32" s="3185" t="s">
        <v>3063</v>
      </c>
      <c r="D32" s="3185" t="s">
        <v>3039</v>
      </c>
      <c r="E32" s="3185" t="s">
        <v>3171</v>
      </c>
      <c r="F32" s="3185" t="s">
        <v>3145</v>
      </c>
      <c r="G32" s="3185" t="s">
        <v>3172</v>
      </c>
      <c r="H32" s="3185">
        <v>56684.49</v>
      </c>
      <c r="I32" s="3185">
        <v>209732.6</v>
      </c>
      <c r="J32" s="3185" t="s">
        <v>3173</v>
      </c>
      <c r="K32" s="3185" t="s">
        <v>3174</v>
      </c>
      <c r="L32" s="3185" t="s">
        <v>3174</v>
      </c>
      <c r="M32" s="3185" t="s">
        <v>3044</v>
      </c>
      <c r="N32" s="3185" t="s">
        <v>3175</v>
      </c>
      <c r="O32" s="3185">
        <v>72357.75</v>
      </c>
      <c r="P32" s="3185">
        <v>94799.13</v>
      </c>
      <c r="Q32" s="3185">
        <v>1114.93</v>
      </c>
      <c r="R32" s="3185">
        <v>4520</v>
      </c>
      <c r="S32" s="3185">
        <v>31.01</v>
      </c>
      <c r="T32" s="3185" t="s">
        <v>3150</v>
      </c>
      <c r="U32" s="3185">
        <f t="shared" si="0"/>
        <v>16724</v>
      </c>
    </row>
    <row r="33" spans="1:21">
      <c r="A33" s="3185" t="s">
        <v>3176</v>
      </c>
      <c r="B33" s="3185" t="s">
        <v>3037</v>
      </c>
      <c r="C33" s="3185" t="s">
        <v>3063</v>
      </c>
      <c r="D33" s="3185" t="s">
        <v>3039</v>
      </c>
      <c r="E33" s="3185" t="s">
        <v>3176</v>
      </c>
      <c r="F33" s="3185" t="s">
        <v>3040</v>
      </c>
      <c r="G33" s="3185" t="s">
        <v>3177</v>
      </c>
      <c r="H33" s="3185">
        <v>57266.53</v>
      </c>
      <c r="I33" s="3185">
        <v>231902.5</v>
      </c>
      <c r="J33" s="3185" t="s">
        <v>3178</v>
      </c>
      <c r="K33" s="3185" t="s">
        <v>3179</v>
      </c>
      <c r="L33" s="3185" t="s">
        <v>3179</v>
      </c>
      <c r="M33" s="3185" t="s">
        <v>3044</v>
      </c>
      <c r="N33" s="3185" t="s">
        <v>3180</v>
      </c>
      <c r="O33" s="3185">
        <v>51551.94</v>
      </c>
      <c r="P33" s="3185">
        <v>74672.61</v>
      </c>
      <c r="Q33" s="3185">
        <v>869.3</v>
      </c>
      <c r="R33" s="3185">
        <v>3220</v>
      </c>
      <c r="S33" s="3185">
        <v>44.85</v>
      </c>
      <c r="T33" s="3185" t="s">
        <v>3087</v>
      </c>
      <c r="U33" s="3185">
        <f t="shared" si="0"/>
        <v>13039</v>
      </c>
    </row>
    <row r="34" spans="1:21">
      <c r="A34" s="3185" t="s">
        <v>3181</v>
      </c>
      <c r="B34" s="3185" t="s">
        <v>3037</v>
      </c>
      <c r="C34" s="3185" t="s">
        <v>3063</v>
      </c>
      <c r="D34" s="3185" t="s">
        <v>3039</v>
      </c>
      <c r="E34" s="3185" t="s">
        <v>3181</v>
      </c>
      <c r="F34" s="3185" t="s">
        <v>3040</v>
      </c>
      <c r="G34" s="3185" t="s">
        <v>3182</v>
      </c>
      <c r="H34" s="3185">
        <v>55961.120000000003</v>
      </c>
      <c r="I34" s="3185">
        <v>179976.4</v>
      </c>
      <c r="J34" s="3185" t="s">
        <v>2818</v>
      </c>
      <c r="K34" s="3185" t="s">
        <v>3183</v>
      </c>
      <c r="L34" s="3185" t="s">
        <v>3183</v>
      </c>
      <c r="M34" s="3185" t="s">
        <v>3044</v>
      </c>
      <c r="N34" s="3185" t="s">
        <v>3184</v>
      </c>
      <c r="O34" s="3185">
        <v>57592.44</v>
      </c>
      <c r="P34" s="3185">
        <v>64791.51</v>
      </c>
      <c r="Q34" s="3185">
        <v>771.86</v>
      </c>
      <c r="R34" s="3185">
        <v>3600</v>
      </c>
      <c r="S34" s="3185">
        <v>12.5</v>
      </c>
      <c r="T34" s="3185" t="s">
        <v>3165</v>
      </c>
      <c r="U34" s="3185">
        <f t="shared" si="0"/>
        <v>11578</v>
      </c>
    </row>
    <row r="35" spans="1:21">
      <c r="A35" s="3185" t="s">
        <v>3185</v>
      </c>
      <c r="B35" s="3185" t="s">
        <v>3037</v>
      </c>
      <c r="C35" s="3185" t="s">
        <v>3063</v>
      </c>
      <c r="D35" s="3185" t="s">
        <v>3039</v>
      </c>
      <c r="E35" s="3185" t="s">
        <v>3185</v>
      </c>
      <c r="F35" s="3185" t="s">
        <v>3040</v>
      </c>
      <c r="G35" s="3185" t="s">
        <v>3186</v>
      </c>
      <c r="H35" s="3185">
        <v>65199.19</v>
      </c>
      <c r="I35" s="3185">
        <v>212125.9</v>
      </c>
      <c r="J35" s="3185" t="s">
        <v>2818</v>
      </c>
      <c r="K35" s="3185" t="s">
        <v>3183</v>
      </c>
      <c r="L35" s="3185" t="s">
        <v>3183</v>
      </c>
      <c r="M35" s="3185" t="s">
        <v>3044</v>
      </c>
      <c r="N35" s="3185" t="s">
        <v>3187</v>
      </c>
      <c r="O35" s="3185">
        <v>78486.600000000006</v>
      </c>
      <c r="P35" s="3185">
        <v>108400</v>
      </c>
      <c r="Q35" s="3185">
        <v>1108.4000000000001</v>
      </c>
      <c r="R35" s="3185">
        <v>5110.17</v>
      </c>
      <c r="S35" s="3185">
        <v>38.11</v>
      </c>
      <c r="T35" s="3185" t="s">
        <v>3165</v>
      </c>
      <c r="U35" s="3185">
        <f t="shared" si="0"/>
        <v>16626</v>
      </c>
    </row>
    <row r="36" spans="1:21">
      <c r="A36" s="3185" t="s">
        <v>3188</v>
      </c>
      <c r="B36" s="3185" t="s">
        <v>3037</v>
      </c>
      <c r="C36" s="3185" t="s">
        <v>3038</v>
      </c>
      <c r="D36" s="3185" t="s">
        <v>3039</v>
      </c>
      <c r="E36" s="3185" t="s">
        <v>3188</v>
      </c>
      <c r="F36" s="3185" t="s">
        <v>3040</v>
      </c>
      <c r="G36" s="3185" t="s">
        <v>3189</v>
      </c>
      <c r="H36" s="3185">
        <v>33334.480000000003</v>
      </c>
      <c r="I36" s="3185">
        <v>113337.2</v>
      </c>
      <c r="J36" s="3185" t="s">
        <v>3190</v>
      </c>
      <c r="K36" s="3185" t="s">
        <v>3191</v>
      </c>
      <c r="L36" s="3185" t="s">
        <v>3191</v>
      </c>
      <c r="M36" s="3185" t="s">
        <v>3044</v>
      </c>
      <c r="N36" s="3185" t="s">
        <v>3192</v>
      </c>
      <c r="O36" s="3185">
        <v>30000.36</v>
      </c>
      <c r="P36" s="3185">
        <v>42161.440000000002</v>
      </c>
      <c r="Q36" s="3185">
        <v>843.2</v>
      </c>
      <c r="R36" s="3185">
        <v>3720</v>
      </c>
      <c r="S36" s="3185">
        <v>40.54</v>
      </c>
      <c r="T36" s="3185" t="s">
        <v>3165</v>
      </c>
      <c r="U36" s="3185">
        <f t="shared" si="0"/>
        <v>12648</v>
      </c>
    </row>
    <row r="37" spans="1:21">
      <c r="A37" s="3185" t="s">
        <v>3193</v>
      </c>
      <c r="B37" s="3185" t="s">
        <v>3037</v>
      </c>
      <c r="C37" s="3185" t="s">
        <v>3063</v>
      </c>
      <c r="D37" s="3185" t="s">
        <v>3039</v>
      </c>
      <c r="E37" s="3185" t="s">
        <v>3193</v>
      </c>
      <c r="F37" s="3185" t="s">
        <v>3040</v>
      </c>
      <c r="G37" s="3185" t="s">
        <v>3194</v>
      </c>
      <c r="H37" s="3185">
        <v>25245.1</v>
      </c>
      <c r="I37" s="3185">
        <v>85833.34</v>
      </c>
      <c r="J37" s="3185" t="s">
        <v>3195</v>
      </c>
      <c r="K37" s="3185" t="s">
        <v>3191</v>
      </c>
      <c r="L37" s="3185" t="s">
        <v>3191</v>
      </c>
      <c r="M37" s="3185" t="s">
        <v>3044</v>
      </c>
      <c r="N37" s="3185" t="s">
        <v>3196</v>
      </c>
      <c r="O37" s="3185">
        <v>44633.33</v>
      </c>
      <c r="P37" s="3185">
        <v>56993.33</v>
      </c>
      <c r="Q37" s="3185">
        <v>1505.07</v>
      </c>
      <c r="R37" s="3185">
        <v>6640</v>
      </c>
      <c r="S37" s="3185">
        <v>27.69</v>
      </c>
      <c r="T37" s="3185" t="s">
        <v>3165</v>
      </c>
      <c r="U37" s="3185">
        <f t="shared" si="0"/>
        <v>22576</v>
      </c>
    </row>
    <row r="38" spans="1:21">
      <c r="A38" s="3185" t="s">
        <v>3197</v>
      </c>
      <c r="B38" s="3185" t="s">
        <v>3037</v>
      </c>
      <c r="C38" s="3185" t="s">
        <v>3063</v>
      </c>
      <c r="D38" s="3185" t="s">
        <v>3039</v>
      </c>
      <c r="E38" s="3185" t="s">
        <v>3197</v>
      </c>
      <c r="F38" s="3185" t="s">
        <v>3145</v>
      </c>
      <c r="G38" s="3185" t="s">
        <v>3198</v>
      </c>
      <c r="H38" s="3185">
        <v>298463.40000000002</v>
      </c>
      <c r="I38" s="3185">
        <v>1348458</v>
      </c>
      <c r="J38" s="3185" t="s">
        <v>2818</v>
      </c>
      <c r="K38" s="3185" t="s">
        <v>3199</v>
      </c>
      <c r="L38" s="3185" t="s">
        <v>3199</v>
      </c>
      <c r="M38" s="3185" t="s">
        <v>3044</v>
      </c>
      <c r="N38" s="3185" t="s">
        <v>3200</v>
      </c>
      <c r="O38" s="3185">
        <v>147791</v>
      </c>
      <c r="P38" s="3185">
        <v>147791</v>
      </c>
      <c r="Q38" s="3185">
        <v>330.12</v>
      </c>
      <c r="R38" s="3185">
        <v>1096</v>
      </c>
      <c r="S38" s="3185">
        <v>0</v>
      </c>
      <c r="T38" s="3185" t="s">
        <v>3201</v>
      </c>
      <c r="U38" s="3185">
        <f t="shared" si="0"/>
        <v>4952</v>
      </c>
    </row>
    <row r="39" spans="1:21">
      <c r="A39" s="3185" t="s">
        <v>3202</v>
      </c>
      <c r="B39" s="3185" t="s">
        <v>3037</v>
      </c>
      <c r="C39" s="3185" t="s">
        <v>3063</v>
      </c>
      <c r="D39" s="3185" t="s">
        <v>3039</v>
      </c>
      <c r="E39" s="3185" t="s">
        <v>3202</v>
      </c>
      <c r="F39" s="3185" t="s">
        <v>3040</v>
      </c>
      <c r="G39" s="3185" t="s">
        <v>3203</v>
      </c>
      <c r="H39" s="3185">
        <v>9947.82</v>
      </c>
      <c r="I39" s="3185">
        <v>29843.46</v>
      </c>
      <c r="J39" s="3185" t="s">
        <v>2818</v>
      </c>
      <c r="K39" s="3185" t="s">
        <v>3204</v>
      </c>
      <c r="L39" s="3185" t="s">
        <v>3204</v>
      </c>
      <c r="M39" s="3185" t="s">
        <v>3044</v>
      </c>
      <c r="N39" s="3185" t="s">
        <v>3205</v>
      </c>
      <c r="O39" s="3185">
        <v>8941.1</v>
      </c>
      <c r="P39" s="3185">
        <v>13071.44</v>
      </c>
      <c r="Q39" s="3185">
        <v>876</v>
      </c>
      <c r="R39" s="3185">
        <v>4380</v>
      </c>
      <c r="S39" s="3185">
        <v>46.19</v>
      </c>
      <c r="T39" s="3185" t="s">
        <v>3165</v>
      </c>
      <c r="U39" s="3185">
        <f t="shared" si="0"/>
        <v>13140</v>
      </c>
    </row>
    <row r="40" spans="1:21">
      <c r="A40" s="3185" t="s">
        <v>3206</v>
      </c>
      <c r="B40" s="3185" t="s">
        <v>3037</v>
      </c>
      <c r="C40" s="3185" t="s">
        <v>3063</v>
      </c>
      <c r="D40" s="3185" t="s">
        <v>3039</v>
      </c>
      <c r="E40" s="3185" t="s">
        <v>3207</v>
      </c>
      <c r="F40" s="3185" t="s">
        <v>3145</v>
      </c>
      <c r="G40" s="3185" t="s">
        <v>3208</v>
      </c>
      <c r="H40" s="3185">
        <v>70829.009999999995</v>
      </c>
      <c r="I40" s="3185">
        <v>348105.3</v>
      </c>
      <c r="J40" s="3185" t="s">
        <v>2818</v>
      </c>
      <c r="K40" s="3185" t="s">
        <v>3209</v>
      </c>
      <c r="L40" s="3185" t="s">
        <v>3209</v>
      </c>
      <c r="M40" s="3185" t="s">
        <v>3044</v>
      </c>
      <c r="N40" s="3185" t="s">
        <v>3210</v>
      </c>
      <c r="O40" s="3185">
        <v>174052.7</v>
      </c>
      <c r="P40" s="3185">
        <v>174052.7</v>
      </c>
      <c r="Q40" s="3185">
        <v>1638.24</v>
      </c>
      <c r="R40" s="3185">
        <v>5000</v>
      </c>
      <c r="S40" s="3185">
        <v>0</v>
      </c>
      <c r="T40" s="3185" t="s">
        <v>3211</v>
      </c>
      <c r="U40" s="3185">
        <f t="shared" si="0"/>
        <v>24574</v>
      </c>
    </row>
    <row r="41" spans="1:21">
      <c r="A41" s="3185" t="s">
        <v>3212</v>
      </c>
      <c r="B41" s="3185" t="s">
        <v>3037</v>
      </c>
      <c r="C41" s="3185" t="s">
        <v>3063</v>
      </c>
      <c r="D41" s="3185" t="s">
        <v>3039</v>
      </c>
      <c r="E41" s="3185" t="s">
        <v>3213</v>
      </c>
      <c r="F41" s="3185" t="s">
        <v>3145</v>
      </c>
      <c r="G41" s="3185" t="s">
        <v>3214</v>
      </c>
      <c r="H41" s="3185">
        <v>50801.31</v>
      </c>
      <c r="I41" s="3185">
        <v>234557.9</v>
      </c>
      <c r="J41" s="3185" t="s">
        <v>2818</v>
      </c>
      <c r="K41" s="3185" t="s">
        <v>3215</v>
      </c>
      <c r="L41" s="3185" t="s">
        <v>3215</v>
      </c>
      <c r="M41" s="3185" t="s">
        <v>3044</v>
      </c>
      <c r="N41" s="3185" t="s">
        <v>3216</v>
      </c>
      <c r="O41" s="3185">
        <v>100859.89</v>
      </c>
      <c r="P41" s="3185">
        <v>100859.89</v>
      </c>
      <c r="Q41" s="3185">
        <v>1323.59</v>
      </c>
      <c r="R41" s="3185">
        <v>4300</v>
      </c>
      <c r="S41" s="3185">
        <v>0</v>
      </c>
      <c r="T41" s="3185" t="s">
        <v>3211</v>
      </c>
      <c r="U41" s="3185">
        <f t="shared" si="0"/>
        <v>19854</v>
      </c>
    </row>
    <row r="42" spans="1:21">
      <c r="A42" s="3185" t="s">
        <v>3217</v>
      </c>
      <c r="B42" s="3185" t="s">
        <v>3037</v>
      </c>
      <c r="C42" s="3185" t="s">
        <v>3038</v>
      </c>
      <c r="D42" s="3185" t="s">
        <v>3039</v>
      </c>
      <c r="E42" s="3185" t="s">
        <v>3218</v>
      </c>
      <c r="F42" s="3185" t="s">
        <v>3040</v>
      </c>
      <c r="G42" s="3185" t="s">
        <v>3219</v>
      </c>
      <c r="H42" s="3185">
        <v>37633.370000000003</v>
      </c>
      <c r="I42" s="3185">
        <v>112900</v>
      </c>
      <c r="J42" s="3185" t="s">
        <v>3220</v>
      </c>
      <c r="K42" s="3185" t="s">
        <v>3221</v>
      </c>
      <c r="L42" s="3185" t="s">
        <v>3221</v>
      </c>
      <c r="M42" s="3185" t="s">
        <v>3044</v>
      </c>
      <c r="N42" s="3185" t="s">
        <v>3222</v>
      </c>
      <c r="O42" s="3185">
        <v>64804.59</v>
      </c>
      <c r="P42" s="3185">
        <v>64804.59</v>
      </c>
      <c r="Q42" s="3185">
        <v>1148</v>
      </c>
      <c r="R42" s="3185">
        <v>5740</v>
      </c>
      <c r="S42" s="3185">
        <v>0</v>
      </c>
      <c r="T42" s="3185" t="s">
        <v>3165</v>
      </c>
      <c r="U42" s="3185">
        <f t="shared" si="0"/>
        <v>17220</v>
      </c>
    </row>
    <row r="43" spans="1:21">
      <c r="A43" s="3185" t="s">
        <v>3223</v>
      </c>
      <c r="B43" s="3185" t="s">
        <v>3037</v>
      </c>
      <c r="C43" s="3185" t="s">
        <v>3063</v>
      </c>
      <c r="D43" s="3185" t="s">
        <v>3039</v>
      </c>
      <c r="E43" s="3185" t="s">
        <v>3224</v>
      </c>
      <c r="F43" s="3185" t="s">
        <v>3040</v>
      </c>
      <c r="G43" s="3185" t="s">
        <v>3225</v>
      </c>
      <c r="H43" s="3185">
        <v>62606.35</v>
      </c>
      <c r="I43" s="3185">
        <v>184453.6</v>
      </c>
      <c r="J43" s="3185" t="s">
        <v>2818</v>
      </c>
      <c r="K43" s="3185" t="s">
        <v>3226</v>
      </c>
      <c r="L43" s="3185" t="s">
        <v>3226</v>
      </c>
      <c r="M43" s="3185" t="s">
        <v>3044</v>
      </c>
      <c r="N43" s="3185" t="s">
        <v>3227</v>
      </c>
      <c r="O43" s="3185">
        <v>59025.16</v>
      </c>
      <c r="P43" s="3185">
        <v>59025.16</v>
      </c>
      <c r="Q43" s="3185">
        <v>628.53</v>
      </c>
      <c r="R43" s="3185">
        <v>3200</v>
      </c>
      <c r="S43" s="3185">
        <v>0</v>
      </c>
      <c r="T43" s="3185" t="s">
        <v>3165</v>
      </c>
      <c r="U43" s="3185">
        <f t="shared" si="0"/>
        <v>9428</v>
      </c>
    </row>
    <row r="44" spans="1:21">
      <c r="A44" s="3185" t="s">
        <v>3228</v>
      </c>
      <c r="B44" s="3185" t="s">
        <v>3037</v>
      </c>
      <c r="C44" s="3185" t="s">
        <v>3063</v>
      </c>
      <c r="D44" s="3185" t="s">
        <v>3039</v>
      </c>
      <c r="E44" s="3185" t="s">
        <v>3229</v>
      </c>
      <c r="F44" s="3185" t="s">
        <v>3040</v>
      </c>
      <c r="G44" s="3185" t="s">
        <v>3230</v>
      </c>
      <c r="H44" s="3185">
        <v>11185.11</v>
      </c>
      <c r="I44" s="3185">
        <v>33555.33</v>
      </c>
      <c r="J44" s="3185" t="s">
        <v>3100</v>
      </c>
      <c r="K44" s="3185" t="s">
        <v>3231</v>
      </c>
      <c r="L44" s="3185" t="s">
        <v>3231</v>
      </c>
      <c r="M44" s="3185" t="s">
        <v>3044</v>
      </c>
      <c r="N44" s="3185" t="s">
        <v>3232</v>
      </c>
      <c r="O44" s="3185">
        <v>14093.23</v>
      </c>
      <c r="P44" s="3185">
        <v>17449</v>
      </c>
      <c r="Q44" s="3185">
        <v>1040.01</v>
      </c>
      <c r="R44" s="3185">
        <v>5200.0600000000004</v>
      </c>
      <c r="S44" s="3185">
        <v>23.81</v>
      </c>
      <c r="T44" s="3185" t="s">
        <v>3165</v>
      </c>
      <c r="U44" s="3185">
        <f t="shared" si="0"/>
        <v>15600</v>
      </c>
    </row>
    <row r="45" spans="1:21">
      <c r="A45" s="3185" t="s">
        <v>3233</v>
      </c>
      <c r="B45" s="3185" t="s">
        <v>3037</v>
      </c>
      <c r="C45" s="3185" t="s">
        <v>3063</v>
      </c>
      <c r="D45" s="3185" t="s">
        <v>3039</v>
      </c>
      <c r="E45" s="3185" t="s">
        <v>3234</v>
      </c>
      <c r="F45" s="3185" t="s">
        <v>3145</v>
      </c>
      <c r="G45" s="3185" t="s">
        <v>3235</v>
      </c>
      <c r="H45" s="3185">
        <v>17175.07</v>
      </c>
      <c r="I45" s="3185">
        <v>188925</v>
      </c>
      <c r="J45" s="3185" t="s">
        <v>3236</v>
      </c>
      <c r="K45" s="3185" t="s">
        <v>3237</v>
      </c>
      <c r="L45" s="3185" t="s">
        <v>3237</v>
      </c>
      <c r="M45" s="3185" t="s">
        <v>3044</v>
      </c>
      <c r="N45" s="3185" t="s">
        <v>3238</v>
      </c>
      <c r="O45" s="3185">
        <v>20781.75</v>
      </c>
      <c r="P45" s="3185">
        <v>20781.75</v>
      </c>
      <c r="Q45" s="3185">
        <v>806.66</v>
      </c>
      <c r="R45" s="3185">
        <v>1100</v>
      </c>
      <c r="S45" s="3185">
        <v>0</v>
      </c>
      <c r="T45" s="3185" t="s">
        <v>3239</v>
      </c>
      <c r="U45" s="3185">
        <f t="shared" si="0"/>
        <v>12100</v>
      </c>
    </row>
    <row r="46" spans="1:21">
      <c r="A46" s="3185" t="s">
        <v>3240</v>
      </c>
      <c r="B46" s="3185" t="s">
        <v>3037</v>
      </c>
      <c r="C46" s="3185" t="s">
        <v>3063</v>
      </c>
      <c r="D46" s="3185" t="s">
        <v>3039</v>
      </c>
      <c r="E46" s="3185" t="s">
        <v>3241</v>
      </c>
      <c r="F46" s="3185" t="s">
        <v>3040</v>
      </c>
      <c r="G46" s="3185" t="s">
        <v>3242</v>
      </c>
      <c r="H46" s="3185">
        <v>4671.1000000000004</v>
      </c>
      <c r="I46" s="3185">
        <v>6500</v>
      </c>
      <c r="J46" s="3185" t="s">
        <v>3243</v>
      </c>
      <c r="K46" s="3185" t="s">
        <v>3244</v>
      </c>
      <c r="L46" s="3185" t="s">
        <v>3244</v>
      </c>
      <c r="M46" s="3185" t="s">
        <v>3044</v>
      </c>
      <c r="N46" s="3185" t="s">
        <v>3245</v>
      </c>
      <c r="O46" s="3185">
        <v>2457</v>
      </c>
      <c r="P46" s="3185">
        <v>4875</v>
      </c>
      <c r="Q46" s="3185">
        <v>695.77</v>
      </c>
      <c r="R46" s="3185">
        <v>7500</v>
      </c>
      <c r="S46" s="3185">
        <v>98.41</v>
      </c>
      <c r="T46" s="3185" t="s">
        <v>3165</v>
      </c>
      <c r="U46" s="3185">
        <f t="shared" si="0"/>
        <v>10437</v>
      </c>
    </row>
    <row r="47" spans="1:21">
      <c r="A47" s="3185" t="s">
        <v>3246</v>
      </c>
      <c r="B47" s="3185" t="s">
        <v>3037</v>
      </c>
      <c r="C47" s="3185" t="s">
        <v>3063</v>
      </c>
      <c r="D47" s="3185" t="s">
        <v>3039</v>
      </c>
      <c r="E47" s="3185" t="s">
        <v>3207</v>
      </c>
      <c r="F47" s="3185" t="s">
        <v>3145</v>
      </c>
      <c r="G47" s="3185" t="s">
        <v>3247</v>
      </c>
      <c r="H47" s="3185">
        <v>190253</v>
      </c>
      <c r="I47" s="3185">
        <v>894189.3</v>
      </c>
      <c r="J47" s="3185" t="s">
        <v>3248</v>
      </c>
      <c r="K47" s="3185" t="s">
        <v>3249</v>
      </c>
      <c r="L47" s="3185" t="s">
        <v>3249</v>
      </c>
      <c r="M47" s="3185" t="s">
        <v>3044</v>
      </c>
      <c r="N47" s="3185" t="s">
        <v>3250</v>
      </c>
      <c r="O47" s="3185">
        <v>378038</v>
      </c>
      <c r="P47" s="3185">
        <v>378038</v>
      </c>
      <c r="Q47" s="3185">
        <v>1324.69</v>
      </c>
      <c r="R47" s="3185">
        <v>4227.72</v>
      </c>
      <c r="S47" s="3185">
        <v>0</v>
      </c>
      <c r="T47" s="3185" t="s">
        <v>3251</v>
      </c>
      <c r="U47" s="3185">
        <f t="shared" si="0"/>
        <v>19870</v>
      </c>
    </row>
    <row r="48" spans="1:21">
      <c r="A48" s="3185" t="s">
        <v>3252</v>
      </c>
      <c r="B48" s="3185" t="s">
        <v>3037</v>
      </c>
      <c r="C48" s="3185" t="s">
        <v>3063</v>
      </c>
      <c r="D48" s="3185" t="s">
        <v>3039</v>
      </c>
      <c r="E48" s="3185" t="s">
        <v>3252</v>
      </c>
      <c r="F48" s="3185" t="s">
        <v>3040</v>
      </c>
      <c r="G48" s="3185" t="s">
        <v>3253</v>
      </c>
      <c r="H48" s="3185">
        <v>50782.29</v>
      </c>
      <c r="I48" s="3185">
        <v>203129</v>
      </c>
      <c r="J48" s="3185" t="s">
        <v>3254</v>
      </c>
      <c r="K48" s="3185" t="s">
        <v>3255</v>
      </c>
      <c r="L48" s="3185" t="s">
        <v>3255</v>
      </c>
      <c r="M48" s="3185" t="s">
        <v>3044</v>
      </c>
      <c r="N48" s="3185" t="s">
        <v>3256</v>
      </c>
      <c r="O48" s="3185">
        <v>103595.8</v>
      </c>
      <c r="P48" s="3185">
        <v>120861.8</v>
      </c>
      <c r="Q48" s="3185">
        <v>1586.67</v>
      </c>
      <c r="R48" s="3185">
        <v>5950</v>
      </c>
      <c r="S48" s="3185">
        <v>16.670000000000002</v>
      </c>
      <c r="T48" s="3185" t="s">
        <v>3150</v>
      </c>
      <c r="U48" s="3185">
        <f t="shared" si="0"/>
        <v>23800</v>
      </c>
    </row>
    <row r="49" spans="1:21">
      <c r="A49" s="3185" t="s">
        <v>3257</v>
      </c>
      <c r="B49" s="3185" t="s">
        <v>3037</v>
      </c>
      <c r="C49" s="3185" t="s">
        <v>3063</v>
      </c>
      <c r="D49" s="3185" t="s">
        <v>3039</v>
      </c>
      <c r="E49" s="3185" t="s">
        <v>3258</v>
      </c>
      <c r="F49" s="3185" t="s">
        <v>3040</v>
      </c>
      <c r="G49" s="3185" t="s">
        <v>3259</v>
      </c>
      <c r="H49" s="3185">
        <v>53894.45</v>
      </c>
      <c r="I49" s="3185">
        <v>215577</v>
      </c>
      <c r="J49" s="3185" t="s">
        <v>3254</v>
      </c>
      <c r="K49" s="3185" t="s">
        <v>3255</v>
      </c>
      <c r="L49" s="3185" t="s">
        <v>3255</v>
      </c>
      <c r="M49" s="3185" t="s">
        <v>3044</v>
      </c>
      <c r="N49" s="3185" t="s">
        <v>3260</v>
      </c>
      <c r="O49" s="3185">
        <v>109944.3</v>
      </c>
      <c r="P49" s="3185">
        <v>163808.5</v>
      </c>
      <c r="Q49" s="3185">
        <v>2026.29</v>
      </c>
      <c r="R49" s="3185">
        <v>7598.6</v>
      </c>
      <c r="S49" s="3185">
        <v>48.99</v>
      </c>
      <c r="T49" s="3185" t="s">
        <v>3150</v>
      </c>
      <c r="U49" s="3185">
        <f t="shared" si="0"/>
        <v>30394</v>
      </c>
    </row>
    <row r="50" spans="1:21">
      <c r="A50" s="3185" t="s">
        <v>3261</v>
      </c>
      <c r="B50" s="3185" t="s">
        <v>3037</v>
      </c>
      <c r="C50" s="3185" t="s">
        <v>3038</v>
      </c>
      <c r="D50" s="3185" t="s">
        <v>3039</v>
      </c>
      <c r="E50" s="3185" t="s">
        <v>3262</v>
      </c>
      <c r="F50" s="3185" t="s">
        <v>3040</v>
      </c>
      <c r="G50" s="3185" t="s">
        <v>3263</v>
      </c>
      <c r="H50" s="3185">
        <v>2669.09</v>
      </c>
      <c r="I50" s="3185">
        <v>10676.36</v>
      </c>
      <c r="J50" s="3185" t="s">
        <v>3254</v>
      </c>
      <c r="K50" s="3185" t="s">
        <v>3264</v>
      </c>
      <c r="L50" s="3185" t="s">
        <v>3264</v>
      </c>
      <c r="M50" s="3185" t="s">
        <v>3044</v>
      </c>
      <c r="N50" s="3185" t="s">
        <v>3265</v>
      </c>
      <c r="O50" s="3185">
        <v>4804.1899999999996</v>
      </c>
      <c r="P50" s="3185">
        <v>11743.6</v>
      </c>
      <c r="Q50" s="3185">
        <v>2933.23</v>
      </c>
      <c r="R50" s="3185">
        <v>10999.62</v>
      </c>
      <c r="S50" s="3185">
        <v>144.44</v>
      </c>
      <c r="T50" s="3185" t="s">
        <v>3057</v>
      </c>
      <c r="U50" s="3185">
        <f t="shared" si="0"/>
        <v>43999</v>
      </c>
    </row>
    <row r="51" spans="1:21">
      <c r="A51" s="3185" t="s">
        <v>3266</v>
      </c>
      <c r="B51" s="3185" t="s">
        <v>3037</v>
      </c>
      <c r="C51" s="3185" t="s">
        <v>3038</v>
      </c>
      <c r="D51" s="3185" t="s">
        <v>3039</v>
      </c>
      <c r="E51" s="3185" t="s">
        <v>3267</v>
      </c>
      <c r="F51" s="3185" t="s">
        <v>3040</v>
      </c>
      <c r="G51" s="3185" t="s">
        <v>3268</v>
      </c>
      <c r="H51" s="3185">
        <v>47190.82</v>
      </c>
      <c r="I51" s="3185">
        <v>169887</v>
      </c>
      <c r="J51" s="3185" t="s">
        <v>3269</v>
      </c>
      <c r="K51" s="3185" t="s">
        <v>3264</v>
      </c>
      <c r="L51" s="3185" t="s">
        <v>3264</v>
      </c>
      <c r="M51" s="3185" t="s">
        <v>3044</v>
      </c>
      <c r="N51" s="3185" t="s">
        <v>3270</v>
      </c>
      <c r="O51" s="3185">
        <v>46718.65</v>
      </c>
      <c r="P51" s="3185">
        <v>71352.11</v>
      </c>
      <c r="Q51" s="3185">
        <v>1007.99</v>
      </c>
      <c r="R51" s="3185">
        <v>4199.97</v>
      </c>
      <c r="S51" s="3185">
        <v>52.73</v>
      </c>
      <c r="T51" s="3185" t="s">
        <v>3057</v>
      </c>
      <c r="U51" s="3185">
        <f t="shared" si="0"/>
        <v>15120</v>
      </c>
    </row>
  </sheetData>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2038</v>
      </c>
      <c r="B1" s="3198"/>
      <c r="C1" s="3198"/>
      <c r="D1" s="3198"/>
      <c r="E1" s="3198"/>
      <c r="F1" s="3198"/>
      <c r="G1" s="3198"/>
      <c r="H1" s="3198"/>
      <c r="I1" s="3198"/>
      <c r="J1" s="3198"/>
      <c r="K1" s="3198"/>
      <c r="L1" s="3198"/>
      <c r="M1" s="3198"/>
      <c r="N1" s="3198"/>
      <c r="O1" s="3198"/>
      <c r="P1" s="3198"/>
      <c r="Q1" s="3198"/>
      <c r="R1" s="3198"/>
    </row>
    <row r="2" spans="1:18">
      <c r="A2" s="1793" t="s">
        <v>2040</v>
      </c>
      <c r="B2" s="1793"/>
      <c r="C2" s="1793"/>
      <c r="D2" s="1793"/>
      <c r="E2" s="1793"/>
      <c r="F2" s="1793"/>
      <c r="G2" s="1793"/>
      <c r="H2" s="1793"/>
      <c r="I2" s="1794"/>
      <c r="J2" s="1794"/>
      <c r="K2" s="1795" t="str">
        <f>"估价期日："&amp;TEXT(项目基本情况!D3,"yyyy年m月d日;;")</f>
        <v>估价期日：2019年5月27日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9" t="s">
        <v>2029</v>
      </c>
      <c r="B3" s="3199" t="s">
        <v>2731</v>
      </c>
      <c r="C3" s="3200" t="s">
        <v>2030</v>
      </c>
      <c r="D3" s="3199" t="s">
        <v>2735</v>
      </c>
      <c r="E3" s="3194" t="s">
        <v>2031</v>
      </c>
      <c r="F3" s="3194"/>
      <c r="G3" s="3194"/>
      <c r="H3" s="3194" t="s">
        <v>2032</v>
      </c>
      <c r="I3" s="3194"/>
      <c r="J3" s="3194"/>
      <c r="K3" s="3200" t="s">
        <v>2033</v>
      </c>
      <c r="L3" s="3200" t="s">
        <v>2034</v>
      </c>
      <c r="M3" s="3199" t="s">
        <v>2732</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14" t="s">
        <v>2042</v>
      </c>
      <c r="F4" s="2614" t="s">
        <v>2744</v>
      </c>
      <c r="G4" s="2614" t="s">
        <v>2036</v>
      </c>
      <c r="H4" s="2614" t="s">
        <v>2037</v>
      </c>
      <c r="I4" s="2614" t="s">
        <v>2745</v>
      </c>
      <c r="J4" s="2614" t="s">
        <v>2036</v>
      </c>
      <c r="K4" s="3200"/>
      <c r="L4" s="3200"/>
      <c r="M4" s="3199"/>
      <c r="N4" s="3201"/>
      <c r="O4" s="3199"/>
      <c r="P4" s="3200"/>
      <c r="Q4" s="3200"/>
      <c r="R4" s="3200"/>
    </row>
    <row r="5" spans="1:18" ht="135" customHeight="1">
      <c r="A5" s="1929" t="s">
        <v>2655</v>
      </c>
      <c r="B5" s="2823" t="s">
        <v>2653</v>
      </c>
      <c r="C5" s="2613">
        <v>22</v>
      </c>
      <c r="D5" s="2612" t="s">
        <v>2654</v>
      </c>
      <c r="E5" s="1796" t="str">
        <f>项目基本情况!B12</f>
        <v>居住</v>
      </c>
      <c r="F5" s="2612">
        <v>258</v>
      </c>
      <c r="G5" s="1796" t="str">
        <f>项目基本情况!B13</f>
        <v>居住</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16174.01</v>
      </c>
      <c r="O5" s="1796">
        <f>项目基本情况!C21</f>
        <v>46502</v>
      </c>
      <c r="P5" s="1796">
        <f ca="1">结果表!E42</f>
        <v>27908</v>
      </c>
      <c r="Q5" s="1796">
        <f ca="1">结果表!D42</f>
        <v>9707</v>
      </c>
      <c r="R5" s="1797">
        <f ca="1">结果表!C42</f>
        <v>45138</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f ca="1">结果表!O39</f>
        <v>45138</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2065</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2066</v>
      </c>
      <c r="B5" s="3205"/>
      <c r="C5" s="3205"/>
      <c r="D5" s="3205"/>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v>
      </c>
      <c r="B11" s="3204"/>
      <c r="C11" s="3204"/>
      <c r="D11" s="3204"/>
    </row>
    <row r="12" spans="1:4" ht="168" customHeight="1">
      <c r="A12" s="3205" t="s">
        <v>2068</v>
      </c>
      <c r="B12" s="3205"/>
      <c r="C12" s="3205"/>
      <c r="D12" s="3205"/>
    </row>
    <row r="13" spans="1:4">
      <c r="A13" s="3203" t="s">
        <v>2746</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2" t="s">
        <v>2699</v>
      </c>
      <c r="B23" s="3202"/>
      <c r="C23" s="3202"/>
      <c r="D23" s="320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4" t="s">
        <v>53</v>
      </c>
      <c r="B15" s="3215" t="s">
        <v>846</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837</v>
      </c>
    </row>
    <row r="25" spans="1:3" ht="14.25">
      <c r="A25" s="3213"/>
      <c r="B25" s="3217"/>
      <c r="C25" s="1172" t="s">
        <v>838</v>
      </c>
    </row>
    <row r="26" spans="1:3" ht="14.25">
      <c r="A26" s="3213"/>
      <c r="B26" s="3217"/>
      <c r="C26" s="1172" t="s">
        <v>839</v>
      </c>
    </row>
    <row r="27" spans="1:3" ht="14.25">
      <c r="A27" s="3213"/>
      <c r="B27" s="3217"/>
      <c r="C27" s="1172" t="s">
        <v>840</v>
      </c>
    </row>
    <row r="28" spans="1:3" ht="14.25">
      <c r="A28" s="3213"/>
      <c r="B28" s="3217"/>
      <c r="C28" s="1172" t="s">
        <v>841</v>
      </c>
    </row>
    <row r="29" spans="1:3" ht="14.25">
      <c r="A29" s="3213"/>
      <c r="B29" s="3217"/>
      <c r="C29" s="1172" t="s">
        <v>842</v>
      </c>
    </row>
    <row r="30" spans="1:3" ht="14.25">
      <c r="A30" s="3213"/>
      <c r="B30" s="3217"/>
      <c r="C30" s="1172" t="s">
        <v>843</v>
      </c>
    </row>
    <row r="31" spans="1:3" ht="14.25">
      <c r="A31" s="3213"/>
      <c r="B31" s="3217"/>
      <c r="C31" s="1172" t="s">
        <v>844</v>
      </c>
    </row>
    <row r="32" spans="1:3" ht="14.25">
      <c r="A32" s="3213"/>
      <c r="B32" s="3217"/>
      <c r="C32" s="1172" t="s">
        <v>1646</v>
      </c>
    </row>
    <row r="33" spans="1:3" ht="14.25">
      <c r="A33" s="3213"/>
      <c r="B33" s="3207" t="s">
        <v>1652</v>
      </c>
      <c r="C33" s="1172" t="s">
        <v>1647</v>
      </c>
    </row>
    <row r="34" spans="1:3" ht="14.25">
      <c r="A34" s="3213"/>
      <c r="B34" s="3208"/>
      <c r="C34" s="1177" t="s">
        <v>1648</v>
      </c>
    </row>
    <row r="35" spans="1:3" ht="14.25">
      <c r="A35" s="3213"/>
      <c r="B35" s="3208"/>
      <c r="C35" s="1178" t="s">
        <v>1649</v>
      </c>
    </row>
    <row r="36" spans="1:3" ht="14.25">
      <c r="A36" s="3213"/>
      <c r="B36" s="3208"/>
      <c r="C36" s="1178" t="s">
        <v>1650</v>
      </c>
    </row>
    <row r="37" spans="1:3" ht="14.25">
      <c r="A37" s="3213"/>
      <c r="B37" s="320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43612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f ca="1">IF(C11&lt;B2,"已过期",1120100036)</f>
        <v>1120100036</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2983</v>
      </c>
      <c r="B14" s="3133">
        <f ca="1">IF(C14&lt;B2,"已过期",1120040230)</f>
        <v>1120040230</v>
      </c>
      <c r="C14" s="3137">
        <v>43835</v>
      </c>
      <c r="D14" s="3138" t="s">
        <v>2984</v>
      </c>
      <c r="E14" s="3133">
        <f ca="1">IF(F14&lt;B2,"已过期",98030020)</f>
        <v>98030020</v>
      </c>
      <c r="F14" s="3136">
        <v>47118</v>
      </c>
    </row>
    <row r="15" spans="1:6" ht="20.25" customHeight="1">
      <c r="A15" s="3133" t="s">
        <v>2574</v>
      </c>
      <c r="B15" s="3133">
        <f ca="1">IF(C15&lt;B2,"已过期",1120070085)</f>
        <v>1120070085</v>
      </c>
      <c r="C15" s="3137">
        <v>43814</v>
      </c>
      <c r="D15" s="3133" t="s">
        <v>2985</v>
      </c>
      <c r="E15" s="3133">
        <f ca="1">IF(F15&lt;B2,"已过期",2004110128)</f>
        <v>2004110128</v>
      </c>
      <c r="F15" s="3139">
        <v>47118</v>
      </c>
    </row>
    <row r="16" spans="1:6" ht="20.25" customHeight="1">
      <c r="A16" s="3133" t="s">
        <v>1923</v>
      </c>
      <c r="B16" s="3133">
        <f ca="1">IF(C16&lt;B2,"已过期",1120140022)</f>
        <v>1120140022</v>
      </c>
      <c r="C16" s="3135">
        <v>44029</v>
      </c>
      <c r="D16" s="3133" t="s">
        <v>2986</v>
      </c>
      <c r="E16" s="3133">
        <f ca="1">IF(F16&lt;B2,"已过期",2008110059)</f>
        <v>2008110059</v>
      </c>
      <c r="F16" s="3136">
        <v>47177</v>
      </c>
    </row>
    <row r="17" spans="1:7" ht="20.25" customHeight="1">
      <c r="A17" s="3133"/>
      <c r="B17" s="3133"/>
      <c r="C17" s="3135"/>
      <c r="D17" s="3138" t="s">
        <v>2987</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2945</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2957</v>
      </c>
      <c r="C18" s="1541"/>
    </row>
    <row r="19" spans="1:3">
      <c r="A19" s="8" t="s">
        <v>120</v>
      </c>
      <c r="B19" s="3065"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27日，在规划利用条件下、设定土地开发程度为红线外“七通”、宗地内场地平整，设定用途为居住，剩余土地使用年限为的出让国有建设用地使用权价格。</v>
      </c>
      <c r="D53" s="1753"/>
      <c r="E53" s="1753"/>
    </row>
    <row r="54" spans="1:5">
      <c r="A54" s="322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土地案例位置</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2019-05-27T09:01:44Z</cp:lastPrinted>
  <dcterms:created xsi:type="dcterms:W3CDTF">2015-07-13T07:17:23Z</dcterms:created>
  <dcterms:modified xsi:type="dcterms:W3CDTF">2019-05-27T09:07:51Z</dcterms:modified>
</cp:coreProperties>
</file>