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租金案例" sheetId="80" r:id="rId17"/>
    <sheet name="系统读取表" sheetId="74" r:id="rId18"/>
    <sheet name="结果表" sheetId="9" r:id="rId19"/>
    <sheet name="成本法" sheetId="68" r:id="rId20"/>
    <sheet name="成本法 (元)" sheetId="69" r:id="rId21"/>
    <sheet name="假设开发法" sheetId="12" r:id="rId22"/>
    <sheet name="收益法" sheetId="15" r:id="rId23"/>
    <sheet name="收益法 (元)" sheetId="67" r:id="rId24"/>
    <sheet name="收益法-酒店模型" sheetId="77" r:id="rId25"/>
    <sheet name="收益法（汇总）" sheetId="70" r:id="rId26"/>
    <sheet name="比较法-住宅" sheetId="21" r:id="rId27"/>
    <sheet name="比较法-商业" sheetId="33" r:id="rId28"/>
    <sheet name="比较法-办公" sheetId="34" r:id="rId29"/>
    <sheet name="比较法-工业" sheetId="37" r:id="rId30"/>
    <sheet name="比较法-车位" sheetId="35" r:id="rId31"/>
    <sheet name="比较法-仓储" sheetId="36" r:id="rId32"/>
    <sheet name="土地比较法-住宅、综合" sheetId="39" r:id="rId33"/>
    <sheet name="土地比较法-工业" sheetId="40" r:id="rId34"/>
    <sheet name="典型户型修正" sheetId="31" r:id="rId35"/>
    <sheet name="基准地价（汇总）" sheetId="76"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4" i="74" l="1"/>
  <c r="G8" i="74"/>
  <c r="H8" i="74" s="1"/>
  <c r="F9" i="74"/>
  <c r="G9" i="74" s="1"/>
  <c r="H9" i="74" s="1"/>
  <c r="B14" i="74"/>
  <c r="F19" i="6"/>
  <c r="C60" i="78"/>
  <c r="D60" i="78" s="1"/>
  <c r="B55" i="78"/>
  <c r="D55" i="78" s="1"/>
  <c r="D53" i="78"/>
  <c r="D52" i="78"/>
  <c r="D51" i="78" s="1"/>
  <c r="B51" i="78"/>
  <c r="B56" i="78" s="1"/>
  <c r="D14" i="74"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Z3" i="79"/>
  <c r="AA28" i="79"/>
  <c r="AD28" i="79" s="1"/>
  <c r="T34" i="79"/>
  <c r="W34" i="79" s="1"/>
  <c r="U40" i="79"/>
  <c r="AD41"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O39" i="71"/>
  <c r="N39" i="71"/>
  <c r="X39" i="71"/>
  <c r="Q38" i="71"/>
  <c r="P38" i="71"/>
  <c r="O38" i="71"/>
  <c r="Y38" i="71" s="1"/>
  <c r="Z38" i="71" s="1"/>
  <c r="N38" i="71"/>
  <c r="Q37" i="71"/>
  <c r="AB37" i="71" s="1"/>
  <c r="P37" i="71"/>
  <c r="AA37" i="71" s="1"/>
  <c r="O37" i="71"/>
  <c r="N37" i="71"/>
  <c r="B38" i="71" s="1"/>
  <c r="D37" i="71"/>
  <c r="Q36" i="71"/>
  <c r="AB36" i="71" s="1"/>
  <c r="P36" i="71"/>
  <c r="AA35" i="71" s="1"/>
  <c r="O36" i="71"/>
  <c r="N36" i="71"/>
  <c r="Q35" i="71"/>
  <c r="AB35" i="71"/>
  <c r="P35" i="71"/>
  <c r="O35" i="71"/>
  <c r="N35" i="71"/>
  <c r="Q34" i="71"/>
  <c r="AB34" i="7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B40" i="71" s="1"/>
  <c r="S40" i="71" s="1"/>
  <c r="E38" i="71"/>
  <c r="E39" i="71"/>
  <c r="E40" i="71"/>
  <c r="U40" i="71" s="1"/>
  <c r="N68" i="71"/>
  <c r="E34" i="71"/>
  <c r="C30" i="71"/>
  <c r="X31" i="71"/>
  <c r="F51" i="71"/>
  <c r="F52" i="71" s="1"/>
  <c r="V52" i="71" s="1"/>
  <c r="Y27" i="71"/>
  <c r="Z27" i="71" s="1"/>
  <c r="B28" i="71"/>
  <c r="B27" i="71" s="1"/>
  <c r="B26" i="71"/>
  <c r="D30" i="71"/>
  <c r="C47" i="71"/>
  <c r="D47" i="71"/>
  <c r="P28" i="71"/>
  <c r="E60" i="71"/>
  <c r="U60" i="71" s="1"/>
  <c r="U68" i="71"/>
  <c r="E67" i="71"/>
  <c r="Q28" i="71"/>
  <c r="D54" i="71"/>
  <c r="D58" i="71"/>
  <c r="C63" i="71"/>
  <c r="C64" i="71" s="1"/>
  <c r="D62" i="71"/>
  <c r="B66" i="71"/>
  <c r="N65" i="71" s="1"/>
  <c r="T68" i="71"/>
  <c r="O68" i="71"/>
  <c r="D68" i="71"/>
  <c r="C67" i="71"/>
  <c r="D67" i="71" s="1"/>
  <c r="Q68" i="71"/>
  <c r="E71" i="71"/>
  <c r="E70" i="71"/>
  <c r="D72" i="71"/>
  <c r="C75" i="71"/>
  <c r="D76" i="71"/>
  <c r="E79" i="71"/>
  <c r="E78" i="71"/>
  <c r="D80" i="71"/>
  <c r="C87" i="71"/>
  <c r="C86" i="71" s="1"/>
  <c r="D86" i="71" s="1"/>
  <c r="F28" i="71"/>
  <c r="O67" i="71"/>
  <c r="D63" i="71"/>
  <c r="D75" i="71"/>
  <c r="C74" i="71"/>
  <c r="D74" i="71" s="1"/>
  <c r="N66" i="71"/>
  <c r="D87" i="71"/>
  <c r="D55"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H25" i="36" s="1"/>
  <c r="B73" i="36"/>
  <c r="F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F13" i="36" s="1"/>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AC36" i="35" s="1"/>
  <c r="B99" i="35"/>
  <c r="B97" i="35"/>
  <c r="B77" i="35"/>
  <c r="J25" i="35" s="1"/>
  <c r="W25" i="35" s="1"/>
  <c r="B75" i="35"/>
  <c r="J24" i="35" s="1"/>
  <c r="AC24" i="35" s="1"/>
  <c r="B73" i="35"/>
  <c r="J23" i="35" s="1"/>
  <c r="H23" i="35"/>
  <c r="U23" i="35" s="1"/>
  <c r="B57" i="35"/>
  <c r="F11" i="35" s="1"/>
  <c r="S11" i="35" s="1"/>
  <c r="B61" i="35"/>
  <c r="B59" i="35"/>
  <c r="B131" i="34"/>
  <c r="B129" i="34"/>
  <c r="B127" i="34"/>
  <c r="B99" i="34"/>
  <c r="J32" i="34" s="1"/>
  <c r="W32" i="34" s="1"/>
  <c r="B97" i="34"/>
  <c r="H31" i="34" s="1"/>
  <c r="B95" i="34"/>
  <c r="B93" i="34"/>
  <c r="B75" i="34"/>
  <c r="B73" i="34"/>
  <c r="B71" i="34"/>
  <c r="B130" i="33"/>
  <c r="B128" i="33"/>
  <c r="F45" i="33" s="1"/>
  <c r="B126" i="33"/>
  <c r="F44" i="33" s="1"/>
  <c r="B98" i="33"/>
  <c r="F31" i="33" s="1"/>
  <c r="B96" i="33"/>
  <c r="B94" i="33"/>
  <c r="F29" i="33" s="1"/>
  <c r="S29" i="33" s="1"/>
  <c r="B74" i="33"/>
  <c r="J14" i="33" s="1"/>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B98" i="21"/>
  <c r="H31" i="21"/>
  <c r="B96" i="21"/>
  <c r="J30" i="21" s="1"/>
  <c r="B94" i="21"/>
  <c r="J29" i="21" s="1"/>
  <c r="AC29" i="21"/>
  <c r="B92" i="21"/>
  <c r="B90" i="21"/>
  <c r="B74" i="21"/>
  <c r="J14" i="21" s="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F36" i="39"/>
  <c r="S36" i="39" s="1"/>
  <c r="H36" i="39"/>
  <c r="J35" i="39"/>
  <c r="AC35" i="39" s="1"/>
  <c r="F35" i="39"/>
  <c r="AA35" i="39"/>
  <c r="U9" i="39"/>
  <c r="W40" i="39"/>
  <c r="W31" i="37"/>
  <c r="E103" i="37"/>
  <c r="F103" i="37" s="1"/>
  <c r="G103" i="37" s="1"/>
  <c r="H103" i="37" s="1"/>
  <c r="I103" i="37" s="1"/>
  <c r="J103" i="37" s="1"/>
  <c r="K103" i="37" s="1"/>
  <c r="L103" i="37" s="1"/>
  <c r="M103" i="37" s="1"/>
  <c r="F29" i="36"/>
  <c r="AA29" i="36" s="1"/>
  <c r="F16" i="36"/>
  <c r="AA16" i="36" s="1"/>
  <c r="W28" i="36"/>
  <c r="J33" i="36"/>
  <c r="AC33" i="36" s="1"/>
  <c r="H22" i="35"/>
  <c r="AB22" i="35"/>
  <c r="W28" i="35"/>
  <c r="W22" i="35"/>
  <c r="U34" i="35"/>
  <c r="F36" i="34"/>
  <c r="J35" i="34"/>
  <c r="U34" i="34"/>
  <c r="H39" i="33"/>
  <c r="AB39" i="33" s="1"/>
  <c r="U33" i="33"/>
  <c r="U35" i="33"/>
  <c r="W33" i="33"/>
  <c r="W39" i="33"/>
  <c r="H39" i="37"/>
  <c r="AB39" i="37" s="1"/>
  <c r="S27" i="35"/>
  <c r="F11" i="40"/>
  <c r="AA11" i="40" s="1"/>
  <c r="H11" i="40"/>
  <c r="AB11" i="40"/>
  <c r="AB39" i="40"/>
  <c r="U9" i="40"/>
  <c r="S34" i="40"/>
  <c r="U34" i="40"/>
  <c r="S38" i="40"/>
  <c r="F42" i="39"/>
  <c r="AA42" i="39" s="1"/>
  <c r="F41" i="39"/>
  <c r="S41" i="39" s="1"/>
  <c r="H40" i="39"/>
  <c r="AB40" i="39" s="1"/>
  <c r="H39" i="39"/>
  <c r="U39" i="39" s="1"/>
  <c r="S38" i="39"/>
  <c r="H34" i="39"/>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5"/>
  <c r="AB12" i="36"/>
  <c r="W32" i="40"/>
  <c r="S44" i="39"/>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F41" i="33"/>
  <c r="AA41" i="33" s="1"/>
  <c r="S38" i="33"/>
  <c r="F32" i="33"/>
  <c r="AA32" i="33"/>
  <c r="J19" i="33"/>
  <c r="AC19" i="33" s="1"/>
  <c r="J15" i="33"/>
  <c r="AC15" i="33" s="1"/>
  <c r="F11" i="33"/>
  <c r="AA11" i="33" s="1"/>
  <c r="W40" i="33"/>
  <c r="F37" i="40"/>
  <c r="AA37" i="40" s="1"/>
  <c r="F36" i="40"/>
  <c r="AA36" i="40" s="1"/>
  <c r="H28" i="40"/>
  <c r="U28" i="40" s="1"/>
  <c r="F23" i="40"/>
  <c r="AA23" i="40"/>
  <c r="F17" i="40"/>
  <c r="AA17" i="40" s="1"/>
  <c r="J17" i="40"/>
  <c r="W17" i="40"/>
  <c r="F15" i="40"/>
  <c r="S15" i="40" s="1"/>
  <c r="H15" i="40"/>
  <c r="AB15" i="40" s="1"/>
  <c r="AC11" i="40"/>
  <c r="S12" i="36"/>
  <c r="AA12"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s="1"/>
  <c r="J42" i="21"/>
  <c r="AC42" i="21"/>
  <c r="H42" i="21"/>
  <c r="U42" i="21" s="1"/>
  <c r="J44" i="34"/>
  <c r="F44" i="34"/>
  <c r="S44" i="34" s="1"/>
  <c r="AA44" i="34"/>
  <c r="J10" i="35"/>
  <c r="AC10" i="35" s="1"/>
  <c r="W14" i="21"/>
  <c r="F14" i="21"/>
  <c r="S14" i="21" s="1"/>
  <c r="H14" i="21"/>
  <c r="U14" i="21" s="1"/>
  <c r="F28" i="21"/>
  <c r="AA28" i="2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c r="I89" i="35" s="1"/>
  <c r="J89" i="35" s="1"/>
  <c r="K89" i="35" s="1"/>
  <c r="L89" i="35" s="1"/>
  <c r="M89" i="35" s="1"/>
  <c r="H10" i="36"/>
  <c r="AB10" i="36" s="1"/>
  <c r="J14" i="36"/>
  <c r="AC14" i="36" s="1"/>
  <c r="H14" i="36"/>
  <c r="U14" i="36" s="1"/>
  <c r="F28" i="36"/>
  <c r="AA28" i="36" s="1"/>
  <c r="J13" i="21"/>
  <c r="AC13" i="21" s="1"/>
  <c r="H29" i="21"/>
  <c r="U29" i="21"/>
  <c r="J31" i="21"/>
  <c r="AC31" i="21" s="1"/>
  <c r="F31" i="21"/>
  <c r="S31" i="21"/>
  <c r="F45" i="21"/>
  <c r="AA45" i="21" s="1"/>
  <c r="F27" i="33"/>
  <c r="AA27" i="33" s="1"/>
  <c r="J13" i="33"/>
  <c r="H13" i="33"/>
  <c r="U13" i="33" s="1"/>
  <c r="F13" i="33"/>
  <c r="S13" i="33" s="1"/>
  <c r="J29" i="33"/>
  <c r="H29" i="33"/>
  <c r="U29" i="33" s="1"/>
  <c r="J31" i="33"/>
  <c r="W31" i="33" s="1"/>
  <c r="H31" i="33"/>
  <c r="H45" i="33"/>
  <c r="U45" i="33" s="1"/>
  <c r="J45" i="33"/>
  <c r="W45" i="33" s="1"/>
  <c r="AA45" i="33"/>
  <c r="J14" i="34"/>
  <c r="W14" i="34" s="1"/>
  <c r="F14" i="34"/>
  <c r="H14" i="34"/>
  <c r="H30" i="34"/>
  <c r="F30" i="34"/>
  <c r="S30" i="34" s="1"/>
  <c r="J30" i="34"/>
  <c r="H32" i="34"/>
  <c r="F32" i="34"/>
  <c r="H46" i="34"/>
  <c r="AB46" i="34" s="1"/>
  <c r="H11" i="35"/>
  <c r="AB11" i="35" s="1"/>
  <c r="J11" i="35"/>
  <c r="W11" i="35" s="1"/>
  <c r="AC11" i="35"/>
  <c r="J26" i="36"/>
  <c r="W26" i="36"/>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c r="H36" i="37"/>
  <c r="AB36" i="37"/>
  <c r="F107" i="37"/>
  <c r="J37" i="37"/>
  <c r="AC37" i="37" s="1"/>
  <c r="H37" i="37"/>
  <c r="U37" i="37"/>
  <c r="H40" i="37"/>
  <c r="U40" i="37" s="1"/>
  <c r="J40" i="37"/>
  <c r="AC40" i="37"/>
  <c r="F40" i="37"/>
  <c r="AA40" i="37" s="1"/>
  <c r="AC12" i="40"/>
  <c r="H14" i="33"/>
  <c r="U14" i="33" s="1"/>
  <c r="F14" i="33"/>
  <c r="S14" i="33"/>
  <c r="H30" i="33"/>
  <c r="AB30" i="33"/>
  <c r="F30" i="33"/>
  <c r="J30" i="33"/>
  <c r="H44" i="33"/>
  <c r="J44" i="33"/>
  <c r="J46" i="33"/>
  <c r="AC46" i="33"/>
  <c r="F46" i="33"/>
  <c r="AA46" i="33" s="1"/>
  <c r="H46" i="33"/>
  <c r="AB46" i="33"/>
  <c r="H13" i="34"/>
  <c r="U13" i="34" s="1"/>
  <c r="J13" i="34"/>
  <c r="W13" i="34" s="1"/>
  <c r="F13" i="34"/>
  <c r="AA13" i="34" s="1"/>
  <c r="J29" i="34"/>
  <c r="F29" i="34"/>
  <c r="S29" i="34" s="1"/>
  <c r="H29" i="34"/>
  <c r="AB29" i="34" s="1"/>
  <c r="J31" i="34"/>
  <c r="AC31" i="34"/>
  <c r="F31" i="34"/>
  <c r="S31" i="34" s="1"/>
  <c r="H45" i="34"/>
  <c r="U45" i="34" s="1"/>
  <c r="J45" i="34"/>
  <c r="W45" i="34"/>
  <c r="F45" i="34"/>
  <c r="S45" i="34" s="1"/>
  <c r="H47" i="34"/>
  <c r="U47" i="34" s="1"/>
  <c r="F47" i="34"/>
  <c r="S47" i="34" s="1"/>
  <c r="J47" i="34"/>
  <c r="AC47" i="34" s="1"/>
  <c r="F13" i="35"/>
  <c r="J13" i="35"/>
  <c r="AC13" i="35"/>
  <c r="H13" i="35"/>
  <c r="U13" i="35" s="1"/>
  <c r="F25" i="35"/>
  <c r="S25" i="35" s="1"/>
  <c r="H25" i="35"/>
  <c r="AB25" i="35" s="1"/>
  <c r="J35" i="35"/>
  <c r="AC35" i="35" s="1"/>
  <c r="F35" i="35"/>
  <c r="AA35" i="35"/>
  <c r="H35" i="35"/>
  <c r="J25" i="36"/>
  <c r="W25" i="36" s="1"/>
  <c r="F25" i="36"/>
  <c r="S25" i="36" s="1"/>
  <c r="AB25" i="36"/>
  <c r="H13" i="37"/>
  <c r="AB13" i="37" s="1"/>
  <c r="F13" i="37"/>
  <c r="S13" i="37" s="1"/>
  <c r="J13" i="37"/>
  <c r="W13" i="37" s="1"/>
  <c r="F28" i="37"/>
  <c r="AA28" i="37" s="1"/>
  <c r="J28" i="37"/>
  <c r="AC28" i="37" s="1"/>
  <c r="H28" i="37"/>
  <c r="H38" i="37"/>
  <c r="AB38" i="37"/>
  <c r="F38" i="37"/>
  <c r="S38" i="37" s="1"/>
  <c r="F43" i="39"/>
  <c r="AA43" i="39" s="1"/>
  <c r="J14" i="39"/>
  <c r="AC14" i="39" s="1"/>
  <c r="F14" i="39"/>
  <c r="H14" i="39"/>
  <c r="AB14" i="39" s="1"/>
  <c r="F12" i="40"/>
  <c r="S12" i="40" s="1"/>
  <c r="H12" i="40"/>
  <c r="AB12" i="40" s="1"/>
  <c r="H30" i="40"/>
  <c r="AB30" i="40"/>
  <c r="F33" i="40"/>
  <c r="AA33" i="40" s="1"/>
  <c r="H33" i="40"/>
  <c r="U33" i="40" s="1"/>
  <c r="J35" i="40"/>
  <c r="AC35" i="40" s="1"/>
  <c r="J37" i="40"/>
  <c r="AC37" i="40" s="1"/>
  <c r="H13" i="40"/>
  <c r="U13" i="40" s="1"/>
  <c r="J13" i="40"/>
  <c r="W13" i="40"/>
  <c r="F13" i="40"/>
  <c r="AA13" i="40" s="1"/>
  <c r="F27" i="37"/>
  <c r="AA27" i="37" s="1"/>
  <c r="F13" i="39"/>
  <c r="J13" i="39"/>
  <c r="W13" i="39" s="1"/>
  <c r="H13" i="39"/>
  <c r="AB14" i="40"/>
  <c r="J14" i="40"/>
  <c r="W14" i="40" s="1"/>
  <c r="F14" i="40"/>
  <c r="J14" i="37"/>
  <c r="J27" i="37"/>
  <c r="AC27" i="37"/>
  <c r="U46" i="33"/>
  <c r="AA14" i="33"/>
  <c r="J36" i="37"/>
  <c r="AC36" i="37" s="1"/>
  <c r="J10" i="36"/>
  <c r="AC10" i="36" s="1"/>
  <c r="AB30" i="21"/>
  <c r="W31" i="34"/>
  <c r="S11" i="36"/>
  <c r="S45" i="33"/>
  <c r="BA585" i="3"/>
  <c r="F17" i="21"/>
  <c r="AA17" i="21" s="1"/>
  <c r="H17" i="21"/>
  <c r="AB17" i="21" s="1"/>
  <c r="F15" i="21"/>
  <c r="S15" i="21" s="1"/>
  <c r="J41" i="39"/>
  <c r="W41" i="39" s="1"/>
  <c r="S35"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80" i="3"/>
  <c r="BA578" i="3"/>
  <c r="BA574" i="3"/>
  <c r="AZ574" i="3" s="1"/>
  <c r="BA572" i="3"/>
  <c r="AZ572" i="3" s="1"/>
  <c r="BA570" i="3"/>
  <c r="AZ570" i="3" s="1"/>
  <c r="BA566" i="3"/>
  <c r="BA562" i="3"/>
  <c r="BA558" i="3"/>
  <c r="BA554" i="3"/>
  <c r="AZ554" i="3"/>
  <c r="BA552" i="3"/>
  <c r="AZ552" i="3" s="1"/>
  <c r="BA548" i="3"/>
  <c r="BA546" i="3"/>
  <c r="AZ546" i="3" s="1"/>
  <c r="BA544" i="3"/>
  <c r="BA542" i="3"/>
  <c r="BA540" i="3"/>
  <c r="BA536" i="3"/>
  <c r="AZ536" i="3"/>
  <c r="BA532" i="3"/>
  <c r="AZ532" i="3" s="1"/>
  <c r="BA528" i="3"/>
  <c r="AZ528" i="3" s="1"/>
  <c r="BA526" i="3"/>
  <c r="AZ526" i="3" s="1"/>
  <c r="BA524" i="3"/>
  <c r="AZ524" i="3" s="1"/>
  <c r="BA520" i="3"/>
  <c r="BA518" i="3"/>
  <c r="AZ518" i="3" s="1"/>
  <c r="BA516" i="3"/>
  <c r="BA512" i="3"/>
  <c r="AZ512" i="3" s="1"/>
  <c r="BA510" i="3"/>
  <c r="AZ510" i="3" s="1"/>
  <c r="BA508" i="3"/>
  <c r="BA506" i="3"/>
  <c r="AZ506" i="3" s="1"/>
  <c r="BA504" i="3"/>
  <c r="AZ504" i="3" s="1"/>
  <c r="BA502" i="3"/>
  <c r="BA500" i="3"/>
  <c r="BA498" i="3"/>
  <c r="AZ498" i="3" s="1"/>
  <c r="BA496" i="3"/>
  <c r="BA494" i="3"/>
  <c r="AZ494" i="3" s="1"/>
  <c r="BA587" i="3"/>
  <c r="BA583" i="3"/>
  <c r="BA581" i="3"/>
  <c r="BA579" i="3"/>
  <c r="BA575" i="3"/>
  <c r="BA573" i="3"/>
  <c r="BA571" i="3"/>
  <c r="BA567" i="3"/>
  <c r="BA565" i="3"/>
  <c r="BA563" i="3"/>
  <c r="BA559" i="3"/>
  <c r="BA555" i="3"/>
  <c r="BA553" i="3"/>
  <c r="AZ553" i="3" s="1"/>
  <c r="BA547" i="3"/>
  <c r="BA545" i="3"/>
  <c r="BA543" i="3"/>
  <c r="AZ543" i="3" s="1"/>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BQ551" i="3"/>
  <c r="BL551" i="3"/>
  <c r="BQ549" i="3"/>
  <c r="BL549" i="3" s="1"/>
  <c r="BQ547" i="3"/>
  <c r="BL547" i="3" s="1"/>
  <c r="BQ545" i="3"/>
  <c r="BL545" i="3"/>
  <c r="BQ543" i="3"/>
  <c r="BL543" i="3" s="1"/>
  <c r="BQ541" i="3"/>
  <c r="BL541" i="3"/>
  <c r="BQ539" i="3"/>
  <c r="BL539" i="3" s="1"/>
  <c r="AZ539" i="3" s="1"/>
  <c r="BQ537" i="3"/>
  <c r="BQ535" i="3"/>
  <c r="BL535" i="3" s="1"/>
  <c r="AZ535" i="3" s="1"/>
  <c r="BQ533" i="3"/>
  <c r="BL533" i="3"/>
  <c r="BQ531" i="3"/>
  <c r="BQ529" i="3"/>
  <c r="BL529" i="3" s="1"/>
  <c r="BQ527" i="3"/>
  <c r="BL527" i="3" s="1"/>
  <c r="BQ525" i="3"/>
  <c r="BL525" i="3"/>
  <c r="BQ523" i="3"/>
  <c r="BL523" i="3" s="1"/>
  <c r="AZ523" i="3" s="1"/>
  <c r="AC521" i="3"/>
  <c r="G521" i="3" s="1"/>
  <c r="BQ521" i="3"/>
  <c r="BL520" i="3"/>
  <c r="AZ520" i="3"/>
  <c r="G519" i="3"/>
  <c r="G515" i="3"/>
  <c r="G513" i="3"/>
  <c r="G511" i="3"/>
  <c r="BQ519" i="3"/>
  <c r="BQ517" i="3"/>
  <c r="BL517" i="3" s="1"/>
  <c r="BQ515" i="3"/>
  <c r="BL515" i="3" s="1"/>
  <c r="AZ515" i="3" s="1"/>
  <c r="BQ513" i="3"/>
  <c r="BL513" i="3"/>
  <c r="BQ511" i="3"/>
  <c r="BL511" i="3" s="1"/>
  <c r="AZ511" i="3" s="1"/>
  <c r="BA509" i="3"/>
  <c r="AC509" i="3"/>
  <c r="BQ509" i="3"/>
  <c r="BL509" i="3" s="1"/>
  <c r="AZ509" i="3" s="1"/>
  <c r="BL508" i="3"/>
  <c r="G507" i="3"/>
  <c r="G505" i="3"/>
  <c r="G503" i="3"/>
  <c r="G499" i="3"/>
  <c r="G497" i="3"/>
  <c r="G495" i="3"/>
  <c r="BQ507" i="3"/>
  <c r="BQ505" i="3"/>
  <c r="BL505" i="3" s="1"/>
  <c r="BQ503" i="3"/>
  <c r="BL503" i="3" s="1"/>
  <c r="BQ501" i="3"/>
  <c r="BL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s="1"/>
  <c r="F37" i="37"/>
  <c r="AA37" i="37" s="1"/>
  <c r="F31" i="40"/>
  <c r="AA31" i="40"/>
  <c r="H31" i="40"/>
  <c r="U31" i="40" s="1"/>
  <c r="F32" i="40"/>
  <c r="S32" i="40" s="1"/>
  <c r="H32" i="40"/>
  <c r="AB32" i="40" s="1"/>
  <c r="J36" i="40"/>
  <c r="W36" i="40"/>
  <c r="H19" i="37"/>
  <c r="AB19" i="37" s="1"/>
  <c r="H42" i="33"/>
  <c r="AB42" i="33" s="1"/>
  <c r="J43" i="33"/>
  <c r="AC43" i="33"/>
  <c r="S28" i="31"/>
  <c r="S27" i="31"/>
  <c r="S26" i="31"/>
  <c r="U14" i="40"/>
  <c r="U39" i="37"/>
  <c r="U26" i="37"/>
  <c r="AA13" i="33"/>
  <c r="AC45" i="33"/>
  <c r="U11" i="33"/>
  <c r="U19" i="21"/>
  <c r="F43" i="33"/>
  <c r="AA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AC13" i="40"/>
  <c r="AB33"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8" i="39"/>
  <c r="J19" i="40"/>
  <c r="AC19" i="40" s="1"/>
  <c r="J50" i="40"/>
  <c r="H103" i="9"/>
  <c r="D8" i="53" s="1"/>
  <c r="B16" i="53"/>
  <c r="B33" i="72" s="1"/>
  <c r="C7" i="34"/>
  <c r="W35" i="40"/>
  <c r="A118" i="9"/>
  <c r="A4" i="52"/>
  <c r="B41" i="72" s="1"/>
  <c r="J11" i="39"/>
  <c r="W11" i="39"/>
  <c r="F11" i="39"/>
  <c r="S11" i="39" s="1"/>
  <c r="AA11" i="39"/>
  <c r="G4" i="4"/>
  <c r="I4" i="4"/>
  <c r="A2" i="9"/>
  <c r="F61" i="43"/>
  <c r="H64" i="43" s="1"/>
  <c r="AZ514" i="3"/>
  <c r="AZ522" i="3"/>
  <c r="AZ530"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AZ124" i="3" s="1"/>
  <c r="G125" i="3"/>
  <c r="BA127" i="3"/>
  <c r="AZ127" i="3"/>
  <c r="BL128" i="3"/>
  <c r="G129" i="3"/>
  <c r="BA131" i="3"/>
  <c r="BL132" i="3"/>
  <c r="AZ132" i="3" s="1"/>
  <c r="G133" i="3"/>
  <c r="BA135" i="3"/>
  <c r="AZ135" i="3" s="1"/>
  <c r="BL136" i="3"/>
  <c r="G137" i="3"/>
  <c r="BA139" i="3"/>
  <c r="AZ139" i="3" s="1"/>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79" i="3"/>
  <c r="AZ168" i="3"/>
  <c r="G534"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AZ16" i="3"/>
  <c r="BL303" i="3"/>
  <c r="G304" i="3"/>
  <c r="BA306" i="3"/>
  <c r="BL307" i="3"/>
  <c r="G308" i="3"/>
  <c r="BA310" i="3"/>
  <c r="BL311" i="3"/>
  <c r="AZ311" i="3" s="1"/>
  <c r="G312" i="3"/>
  <c r="BA314" i="3"/>
  <c r="BL315" i="3"/>
  <c r="G316" i="3"/>
  <c r="BA318" i="3"/>
  <c r="AZ318" i="3" s="1"/>
  <c r="BL319" i="3"/>
  <c r="AZ319" i="3" s="1"/>
  <c r="G320" i="3"/>
  <c r="BA322" i="3"/>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AZ245" i="3"/>
  <c r="AZ265" i="3"/>
  <c r="AZ269" i="3"/>
  <c r="BA379" i="3"/>
  <c r="AZ379" i="3" s="1"/>
  <c r="BL380" i="3"/>
  <c r="G381" i="3"/>
  <c r="BA383" i="3"/>
  <c r="AZ383" i="3" s="1"/>
  <c r="BL384" i="3"/>
  <c r="G385" i="3"/>
  <c r="BA387" i="3"/>
  <c r="AZ387" i="3" s="1"/>
  <c r="BL388" i="3"/>
  <c r="G389" i="3"/>
  <c r="BA391" i="3"/>
  <c r="BL392" i="3"/>
  <c r="AZ392" i="3" s="1"/>
  <c r="G393" i="3"/>
  <c r="AZ283" i="3"/>
  <c r="BO5" i="3"/>
  <c r="BJ5" i="3"/>
  <c r="BH5" i="3"/>
  <c r="BF5" i="3"/>
  <c r="BD5" i="3"/>
  <c r="AZ325" i="3"/>
  <c r="AC5" i="3"/>
  <c r="AZ496" i="3"/>
  <c r="G548" i="3"/>
  <c r="G538" i="3"/>
  <c r="G520" i="3"/>
  <c r="G502" i="3"/>
  <c r="BP5" i="3"/>
  <c r="BN5" i="3"/>
  <c r="BK5" i="3"/>
  <c r="BI5" i="3"/>
  <c r="BE5" i="3"/>
  <c r="BC5" i="3"/>
  <c r="G17" i="3"/>
  <c r="BA17" i="3"/>
  <c r="BT5" i="3"/>
  <c r="AZ368" i="3"/>
  <c r="BA15" i="3"/>
  <c r="BB5" i="3"/>
  <c r="BR5" i="3"/>
  <c r="AZ380"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0" i="3"/>
  <c r="AZ259" i="3"/>
  <c r="AZ280" i="3"/>
  <c r="AZ69" i="3"/>
  <c r="AZ74" i="3"/>
  <c r="AZ77" i="3"/>
  <c r="F23" i="39"/>
  <c r="AA23" i="39"/>
  <c r="H27" i="36"/>
  <c r="U27" i="36" s="1"/>
  <c r="F27" i="36"/>
  <c r="AA27" i="36" s="1"/>
  <c r="H33" i="34"/>
  <c r="U33" i="34"/>
  <c r="F32" i="37"/>
  <c r="AA32" i="37"/>
  <c r="H96" i="37"/>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39" i="40"/>
  <c r="W39" i="40"/>
  <c r="W12" i="33"/>
  <c r="AC12" i="33"/>
  <c r="BL14" i="3"/>
  <c r="U30" i="33"/>
  <c r="AC13" i="34"/>
  <c r="AA47" i="34"/>
  <c r="W28" i="37"/>
  <c r="S19" i="39"/>
  <c r="F12" i="33"/>
  <c r="H12" i="39"/>
  <c r="AB12" i="39" s="1"/>
  <c r="F39" i="40"/>
  <c r="BA14" i="3"/>
  <c r="B12" i="1"/>
  <c r="E12" i="1" s="1"/>
  <c r="B10" i="1"/>
  <c r="E10" i="1" s="1"/>
  <c r="AZ88" i="3"/>
  <c r="K12" i="1"/>
  <c r="M12" i="1" s="1"/>
  <c r="S13" i="1"/>
  <c r="AR13" i="1" s="1"/>
  <c r="R13" i="1"/>
  <c r="J51" i="67"/>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BA13" i="3"/>
  <c r="BL17" i="3"/>
  <c r="AZ17" i="3"/>
  <c r="J56" i="9"/>
  <c r="J57" i="9" s="1"/>
  <c r="J59" i="9" s="1"/>
  <c r="J61" i="9" s="1"/>
  <c r="A24" i="51"/>
  <c r="B18" i="72"/>
  <c r="U29" i="34"/>
  <c r="E5" i="6"/>
  <c r="E32" i="6"/>
  <c r="G1" i="68"/>
  <c r="K1" i="12"/>
  <c r="E19" i="69"/>
  <c r="E19" i="68"/>
  <c r="E19" i="11"/>
  <c r="E1" i="73"/>
  <c r="G22" i="69"/>
  <c r="G22" i="68"/>
  <c r="G26" i="12"/>
  <c r="G22" i="11"/>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S23" i="39"/>
  <c r="AA45" i="39"/>
  <c r="AB39" i="39"/>
  <c r="W34" i="39"/>
  <c r="U38" i="39"/>
  <c r="S8" i="39"/>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W33" i="34"/>
  <c r="AC14" i="34"/>
  <c r="AC32" i="34"/>
  <c r="AC29" i="34"/>
  <c r="W29" i="34"/>
  <c r="S32" i="34"/>
  <c r="AA32" i="34"/>
  <c r="U30" i="34"/>
  <c r="AB30" i="34"/>
  <c r="S37" i="34"/>
  <c r="U38" i="34"/>
  <c r="AC40" i="34"/>
  <c r="W40" i="34"/>
  <c r="AA19" i="34"/>
  <c r="S19" i="34"/>
  <c r="AA36" i="34"/>
  <c r="S36" i="34"/>
  <c r="AA8" i="34"/>
  <c r="S8" i="34"/>
  <c r="AB9" i="34"/>
  <c r="U9"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c r="I87" i="33" s="1"/>
  <c r="J87" i="33" s="1"/>
  <c r="K87" i="33" s="1"/>
  <c r="L87" i="33" s="1"/>
  <c r="M87" i="33" s="1"/>
  <c r="J25" i="33"/>
  <c r="AC25" i="33" s="1"/>
  <c r="F23" i="33"/>
  <c r="G85" i="33"/>
  <c r="H19" i="33"/>
  <c r="AB19" i="33" s="1"/>
  <c r="G81" i="33"/>
  <c r="H17" i="33"/>
  <c r="U17" i="33" s="1"/>
  <c r="F17" i="33"/>
  <c r="S17" i="33" s="1"/>
  <c r="S37" i="21"/>
  <c r="AB15" i="21"/>
  <c r="J23" i="21"/>
  <c r="AC23" i="21" s="1"/>
  <c r="F85" i="21"/>
  <c r="G85" i="21" s="1"/>
  <c r="H23" i="21"/>
  <c r="S13" i="21"/>
  <c r="D6" i="52"/>
  <c r="AP7" i="1"/>
  <c r="AB45" i="21"/>
  <c r="AA32" i="21"/>
  <c r="S32" i="21"/>
  <c r="W9" i="21"/>
  <c r="AC9" i="21"/>
  <c r="AB32" i="21"/>
  <c r="U32" i="21"/>
  <c r="U32" i="39"/>
  <c r="AC32" i="39"/>
  <c r="J11" i="37"/>
  <c r="AC11" i="37" s="1"/>
  <c r="J11" i="34"/>
  <c r="W11" i="34" s="1"/>
  <c r="U19" i="33"/>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E8" i="76"/>
  <c r="E2" i="68"/>
  <c r="C76" i="67"/>
  <c r="F7" i="73"/>
  <c r="M8" i="67"/>
  <c r="M22" i="67"/>
  <c r="D20" i="9"/>
  <c r="M6" i="67"/>
  <c r="D34" i="9"/>
  <c r="F26" i="67"/>
  <c r="E2" i="69"/>
  <c r="E7" i="76"/>
  <c r="F38" i="67"/>
  <c r="F20" i="31"/>
  <c r="F7" i="67"/>
  <c r="M26" i="67"/>
  <c r="E12" i="76"/>
  <c r="F6" i="15"/>
  <c r="B13" i="76"/>
  <c r="F8" i="67"/>
  <c r="B9" i="76"/>
  <c r="L47" i="67"/>
  <c r="E9" i="76"/>
  <c r="M28" i="67"/>
  <c r="F40" i="15"/>
  <c r="D6" i="73"/>
  <c r="E11" i="76"/>
  <c r="F4" i="73"/>
  <c r="E13" i="76"/>
  <c r="C20" i="9"/>
  <c r="M9" i="67"/>
  <c r="B10" i="76"/>
  <c r="M23" i="15"/>
  <c r="M26" i="15"/>
  <c r="F3" i="73"/>
  <c r="L47" i="15"/>
  <c r="D19" i="9"/>
  <c r="B11" i="76"/>
  <c r="M6" i="15"/>
  <c r="F6" i="73"/>
  <c r="F16" i="67"/>
  <c r="F5" i="73"/>
  <c r="B8" i="76"/>
  <c r="D35" i="9"/>
  <c r="F40" i="67"/>
  <c r="J15" i="67"/>
  <c r="C19" i="9"/>
  <c r="F36" i="67"/>
  <c r="E10" i="76"/>
  <c r="L48" i="67"/>
  <c r="AO13" i="1"/>
  <c r="M24" i="67"/>
  <c r="M23" i="67"/>
  <c r="F43" i="67"/>
  <c r="B7" i="76"/>
  <c r="H5" i="3" l="1"/>
  <c r="BL13" i="3"/>
  <c r="G23" i="43"/>
  <c r="C23" i="43" s="1"/>
  <c r="C7" i="33"/>
  <c r="C7" i="37"/>
  <c r="C52" i="37" s="1"/>
  <c r="D52" i="37" s="1"/>
  <c r="M47" i="9"/>
  <c r="C7" i="35"/>
  <c r="C48" i="35" s="1"/>
  <c r="D48" i="35" s="1"/>
  <c r="C42" i="1"/>
  <c r="C24" i="12" s="1"/>
  <c r="C7" i="40"/>
  <c r="C63" i="40" s="1"/>
  <c r="C7" i="39"/>
  <c r="C67" i="39" s="1"/>
  <c r="C69" i="39" s="1"/>
  <c r="W25" i="33"/>
  <c r="AC17" i="33"/>
  <c r="S36" i="33"/>
  <c r="AA40" i="34"/>
  <c r="W27" i="40"/>
  <c r="S23" i="21"/>
  <c r="W15" i="21"/>
  <c r="AZ14" i="3"/>
  <c r="AC27" i="33"/>
  <c r="AC23" i="37"/>
  <c r="U9" i="21"/>
  <c r="U12" i="39"/>
  <c r="U23" i="33"/>
  <c r="AB25" i="33"/>
  <c r="W17" i="21"/>
  <c r="AB36" i="33"/>
  <c r="AA19" i="33"/>
  <c r="S20" i="36"/>
  <c r="AA39" i="39"/>
  <c r="F29" i="6"/>
  <c r="AZ391" i="3"/>
  <c r="AZ390" i="3"/>
  <c r="AZ371" i="3"/>
  <c r="AZ351" i="3"/>
  <c r="AZ329" i="3"/>
  <c r="AZ304" i="3"/>
  <c r="AZ306" i="3"/>
  <c r="W47" i="34"/>
  <c r="AZ547" i="3"/>
  <c r="AZ571" i="3"/>
  <c r="AZ540" i="3"/>
  <c r="J27" i="21"/>
  <c r="F27" i="21"/>
  <c r="H27" i="21"/>
  <c r="J9" i="33"/>
  <c r="AB40" i="33"/>
  <c r="U40" i="33"/>
  <c r="J12" i="34"/>
  <c r="F12" i="34"/>
  <c r="S12" i="34" s="1"/>
  <c r="J46" i="34"/>
  <c r="F46" i="34"/>
  <c r="AZ513" i="3"/>
  <c r="AZ527" i="3"/>
  <c r="W44" i="33"/>
  <c r="AC44" i="33"/>
  <c r="W28" i="34"/>
  <c r="AC28" i="34"/>
  <c r="AB36" i="39"/>
  <c r="U36" i="39"/>
  <c r="J28" i="21"/>
  <c r="H28" i="21"/>
  <c r="AA34" i="39"/>
  <c r="S34" i="39"/>
  <c r="BA564" i="3"/>
  <c r="BL558" i="3"/>
  <c r="AZ558" i="3" s="1"/>
  <c r="BA556" i="3"/>
  <c r="AZ556" i="3" s="1"/>
  <c r="W44" i="21"/>
  <c r="AC31" i="33"/>
  <c r="AZ503" i="3"/>
  <c r="AZ529" i="3"/>
  <c r="AZ575" i="3"/>
  <c r="AZ500" i="3"/>
  <c r="AZ508" i="3"/>
  <c r="AZ516" i="3"/>
  <c r="AB45" i="33"/>
  <c r="U46" i="34"/>
  <c r="S14" i="34"/>
  <c r="AA14" i="34"/>
  <c r="S28" i="34"/>
  <c r="U34" i="39"/>
  <c r="AB34" i="39"/>
  <c r="W8" i="40"/>
  <c r="U38" i="21"/>
  <c r="AB38" i="21"/>
  <c r="BA586" i="3"/>
  <c r="BL585" i="3"/>
  <c r="AZ585" i="3" s="1"/>
  <c r="F26" i="33"/>
  <c r="H26" i="33"/>
  <c r="J26" i="33"/>
  <c r="AC9" i="34"/>
  <c r="W9" i="34"/>
  <c r="AC25" i="37"/>
  <c r="W25" i="37"/>
  <c r="H14" i="37"/>
  <c r="AB14" i="37" s="1"/>
  <c r="F14" i="37"/>
  <c r="S25" i="21"/>
  <c r="AA25" i="21"/>
  <c r="AZ579" i="3"/>
  <c r="AZ580" i="3"/>
  <c r="B101" i="43"/>
  <c r="B79" i="43"/>
  <c r="C25" i="39"/>
  <c r="F36" i="35"/>
  <c r="H36" i="35"/>
  <c r="U27" i="37"/>
  <c r="AB27" i="37"/>
  <c r="H25" i="37"/>
  <c r="F25" i="37"/>
  <c r="U8" i="39"/>
  <c r="AB8" i="39"/>
  <c r="AC9" i="39"/>
  <c r="W9" i="39"/>
  <c r="J43" i="39"/>
  <c r="H43" i="39"/>
  <c r="U30" i="36"/>
  <c r="AB30" i="36"/>
  <c r="BL542" i="3"/>
  <c r="AZ542" i="3" s="1"/>
  <c r="BA538" i="3"/>
  <c r="AZ538" i="3" s="1"/>
  <c r="BL499" i="3"/>
  <c r="AZ499" i="3" s="1"/>
  <c r="AZ451" i="3"/>
  <c r="G585" i="3"/>
  <c r="BL587" i="3"/>
  <c r="AZ587" i="3" s="1"/>
  <c r="BL586" i="3"/>
  <c r="B72" i="43"/>
  <c r="C15" i="39"/>
  <c r="AA40" i="33"/>
  <c r="S44" i="33"/>
  <c r="AA44" i="33"/>
  <c r="F32" i="36"/>
  <c r="H32" i="36"/>
  <c r="J12" i="39"/>
  <c r="F12" i="39"/>
  <c r="S9" i="40"/>
  <c r="AA9" i="40"/>
  <c r="H38" i="40"/>
  <c r="BA584" i="3"/>
  <c r="AZ584" i="3" s="1"/>
  <c r="BL579" i="3"/>
  <c r="G570" i="3"/>
  <c r="BA549" i="3"/>
  <c r="AZ549" i="3" s="1"/>
  <c r="BL544" i="3"/>
  <c r="AZ544" i="3" s="1"/>
  <c r="BA541" i="3"/>
  <c r="AZ541" i="3" s="1"/>
  <c r="BL537" i="3"/>
  <c r="AZ537" i="3" s="1"/>
  <c r="BA534" i="3"/>
  <c r="AZ534" i="3" s="1"/>
  <c r="BA533" i="3"/>
  <c r="AZ533" i="3" s="1"/>
  <c r="BA525" i="3"/>
  <c r="AZ525" i="3" s="1"/>
  <c r="BL521" i="3"/>
  <c r="AZ521" i="3" s="1"/>
  <c r="BA505" i="3"/>
  <c r="AZ505" i="3" s="1"/>
  <c r="BA497" i="3"/>
  <c r="AZ497" i="3" s="1"/>
  <c r="BL495" i="3"/>
  <c r="AZ548" i="3"/>
  <c r="AZ502" i="3"/>
  <c r="AA14" i="40"/>
  <c r="S14" i="40"/>
  <c r="U31" i="35"/>
  <c r="F12" i="35"/>
  <c r="J12" i="35"/>
  <c r="AC23" i="35"/>
  <c r="W23" i="35"/>
  <c r="AB31" i="36"/>
  <c r="U31" i="36"/>
  <c r="AB30" i="37"/>
  <c r="U30" i="37"/>
  <c r="J38" i="40"/>
  <c r="AC31" i="40"/>
  <c r="W31" i="40"/>
  <c r="G583" i="3"/>
  <c r="BL582" i="3"/>
  <c r="AZ582" i="3" s="1"/>
  <c r="BL580" i="3"/>
  <c r="BA577" i="3"/>
  <c r="AZ577" i="3" s="1"/>
  <c r="BA576" i="3"/>
  <c r="AZ576" i="3" s="1"/>
  <c r="BA569" i="3"/>
  <c r="AZ569" i="3" s="1"/>
  <c r="BA568" i="3"/>
  <c r="AZ568" i="3" s="1"/>
  <c r="BL566" i="3"/>
  <c r="AZ566" i="3" s="1"/>
  <c r="BL564" i="3"/>
  <c r="BA561" i="3"/>
  <c r="AZ561" i="3" s="1"/>
  <c r="BA560" i="3"/>
  <c r="AZ560" i="3" s="1"/>
  <c r="AZ443" i="3"/>
  <c r="BA401" i="3"/>
  <c r="AZ401" i="3" s="1"/>
  <c r="BA403" i="3"/>
  <c r="AZ403" i="3" s="1"/>
  <c r="BA404" i="3"/>
  <c r="BA405" i="3"/>
  <c r="BL410" i="3"/>
  <c r="BL417" i="3"/>
  <c r="BL418" i="3"/>
  <c r="BA421" i="3"/>
  <c r="BA423" i="3"/>
  <c r="AZ423" i="3" s="1"/>
  <c r="BL428" i="3"/>
  <c r="BL429" i="3"/>
  <c r="BA437" i="3"/>
  <c r="AZ437" i="3" s="1"/>
  <c r="BA439" i="3"/>
  <c r="BA440" i="3"/>
  <c r="AZ440" i="3" s="1"/>
  <c r="BA442" i="3"/>
  <c r="BL448" i="3"/>
  <c r="BL457" i="3"/>
  <c r="AZ457" i="3" s="1"/>
  <c r="G460" i="3"/>
  <c r="BL460" i="3"/>
  <c r="BL461" i="3"/>
  <c r="G474" i="3"/>
  <c r="AZ322" i="3"/>
  <c r="AZ313" i="3"/>
  <c r="AZ394" i="3"/>
  <c r="BL519" i="3"/>
  <c r="AZ519" i="3" s="1"/>
  <c r="BL531" i="3"/>
  <c r="AZ531" i="3" s="1"/>
  <c r="BL559" i="3"/>
  <c r="AZ559" i="3" s="1"/>
  <c r="BL573" i="3"/>
  <c r="AZ573" i="3" s="1"/>
  <c r="BL583" i="3"/>
  <c r="AZ583" i="3" s="1"/>
  <c r="S31" i="35"/>
  <c r="F39" i="37"/>
  <c r="S39" i="37" s="1"/>
  <c r="J44" i="39"/>
  <c r="G587" i="3"/>
  <c r="BA551" i="3"/>
  <c r="AZ551" i="3" s="1"/>
  <c r="BA550" i="3"/>
  <c r="BL548" i="3"/>
  <c r="G398" i="3"/>
  <c r="G399" i="3"/>
  <c r="BL400" i="3"/>
  <c r="BL408" i="3"/>
  <c r="AZ408" i="3" s="1"/>
  <c r="BL411" i="3"/>
  <c r="AZ411" i="3" s="1"/>
  <c r="BL413" i="3"/>
  <c r="AZ413" i="3" s="1"/>
  <c r="G415" i="3"/>
  <c r="G416" i="3"/>
  <c r="BA417" i="3"/>
  <c r="AZ417" i="3" s="1"/>
  <c r="G424" i="3"/>
  <c r="BL424" i="3"/>
  <c r="G426" i="3"/>
  <c r="BA428" i="3"/>
  <c r="AZ428" i="3" s="1"/>
  <c r="BA429" i="3"/>
  <c r="AZ429" i="3" s="1"/>
  <c r="BA430" i="3"/>
  <c r="AZ430" i="3" s="1"/>
  <c r="BA433" i="3"/>
  <c r="AZ433" i="3" s="1"/>
  <c r="G435" i="3"/>
  <c r="BL435" i="3"/>
  <c r="BL436" i="3"/>
  <c r="BA438" i="3"/>
  <c r="G442" i="3"/>
  <c r="G443" i="3"/>
  <c r="BL444" i="3"/>
  <c r="G453" i="3"/>
  <c r="BL453" i="3"/>
  <c r="AZ453" i="3" s="1"/>
  <c r="BA456" i="3"/>
  <c r="BL458" i="3"/>
  <c r="G459" i="3"/>
  <c r="AZ460" i="3"/>
  <c r="AZ461" i="3"/>
  <c r="BL462" i="3"/>
  <c r="G463" i="3"/>
  <c r="BL463" i="3"/>
  <c r="AZ400" i="3"/>
  <c r="AZ402" i="3"/>
  <c r="AZ406" i="3"/>
  <c r="AZ418" i="3"/>
  <c r="AZ448" i="3"/>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9" i="3"/>
  <c r="AZ419" i="3" s="1"/>
  <c r="BL421" i="3"/>
  <c r="BL422" i="3"/>
  <c r="BA425" i="3"/>
  <c r="AZ425" i="3" s="1"/>
  <c r="BA426" i="3"/>
  <c r="BA427" i="3"/>
  <c r="AZ427" i="3" s="1"/>
  <c r="G432" i="3"/>
  <c r="BL432" i="3"/>
  <c r="AZ432" i="3" s="1"/>
  <c r="BA434" i="3"/>
  <c r="BA435" i="3"/>
  <c r="AZ435" i="3" s="1"/>
  <c r="BA444" i="3"/>
  <c r="AZ444" i="3" s="1"/>
  <c r="BA445" i="3"/>
  <c r="BA447" i="3"/>
  <c r="AZ447" i="3" s="1"/>
  <c r="BA450" i="3"/>
  <c r="BA454" i="3"/>
  <c r="AZ454" i="3" s="1"/>
  <c r="G457" i="3"/>
  <c r="BA458" i="3"/>
  <c r="AZ462" i="3"/>
  <c r="G471" i="3"/>
  <c r="BL466" i="3"/>
  <c r="AZ466" i="3" s="1"/>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L257" i="3"/>
  <c r="AZ257" i="3" s="1"/>
  <c r="BL258" i="3"/>
  <c r="BA262" i="3"/>
  <c r="AZ262" i="3" s="1"/>
  <c r="BA146" i="3"/>
  <c r="AZ146" i="3" s="1"/>
  <c r="BL161" i="3"/>
  <c r="BL169"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A301" i="3"/>
  <c r="BA302" i="3"/>
  <c r="G115" i="3"/>
  <c r="BA116" i="3"/>
  <c r="AZ116" i="3" s="1"/>
  <c r="BA121" i="3"/>
  <c r="AZ121" i="3" s="1"/>
  <c r="BL121" i="3"/>
  <c r="BL123" i="3"/>
  <c r="AZ123" i="3" s="1"/>
  <c r="G127" i="3"/>
  <c r="BA129" i="3"/>
  <c r="BL133" i="3"/>
  <c r="AZ133" i="3" s="1"/>
  <c r="BL134" i="3"/>
  <c r="G150" i="3"/>
  <c r="G154" i="3"/>
  <c r="BL454" i="3"/>
  <c r="BL459" i="3"/>
  <c r="AZ459" i="3" s="1"/>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L291" i="3"/>
  <c r="AZ291" i="3" s="1"/>
  <c r="BL293" i="3"/>
  <c r="BL294" i="3"/>
  <c r="AZ294" i="3" s="1"/>
  <c r="BA297" i="3"/>
  <c r="AZ297" i="3" s="1"/>
  <c r="BL297" i="3"/>
  <c r="BL300" i="3"/>
  <c r="BA128" i="3"/>
  <c r="AZ128" i="3" s="1"/>
  <c r="AZ487" i="3"/>
  <c r="BL317" i="3"/>
  <c r="G318" i="3"/>
  <c r="BA388" i="3"/>
  <c r="AZ388" i="3" s="1"/>
  <c r="BA219" i="3"/>
  <c r="AZ219" i="3" s="1"/>
  <c r="BL228" i="3"/>
  <c r="AZ228" i="3" s="1"/>
  <c r="BA230" i="3"/>
  <c r="AZ230" i="3" s="1"/>
  <c r="BL232" i="3"/>
  <c r="BL234" i="3"/>
  <c r="BA236" i="3"/>
  <c r="BA238" i="3"/>
  <c r="AZ238" i="3" s="1"/>
  <c r="BA243" i="3"/>
  <c r="AZ243" i="3" s="1"/>
  <c r="BL248" i="3"/>
  <c r="AZ248" i="3" s="1"/>
  <c r="G250" i="3"/>
  <c r="BL250" i="3"/>
  <c r="AZ250" i="3" s="1"/>
  <c r="G252" i="3"/>
  <c r="G254" i="3"/>
  <c r="BA263" i="3"/>
  <c r="BA271" i="3"/>
  <c r="AZ271" i="3" s="1"/>
  <c r="BL271" i="3"/>
  <c r="BA274" i="3"/>
  <c r="AZ274" i="3" s="1"/>
  <c r="BL274" i="3"/>
  <c r="BA276" i="3"/>
  <c r="BA279" i="3"/>
  <c r="BA281" i="3"/>
  <c r="G286" i="3"/>
  <c r="BL286" i="3"/>
  <c r="AZ286" i="3" s="1"/>
  <c r="G289" i="3"/>
  <c r="G290" i="3"/>
  <c r="G291" i="3"/>
  <c r="BA296" i="3"/>
  <c r="BL301" i="3"/>
  <c r="BL302" i="3"/>
  <c r="BA114" i="3"/>
  <c r="BL122" i="3"/>
  <c r="BA126" i="3"/>
  <c r="AZ126" i="3" s="1"/>
  <c r="BL141" i="3"/>
  <c r="BL143" i="3"/>
  <c r="AZ143" i="3" s="1"/>
  <c r="G163" i="3"/>
  <c r="G167" i="3"/>
  <c r="AZ25" i="3"/>
  <c r="AZ38" i="3"/>
  <c r="AZ52" i="3"/>
  <c r="AZ64" i="3"/>
  <c r="AC29" i="39"/>
  <c r="W29" i="39"/>
  <c r="P27" i="6"/>
  <c r="C31" i="71"/>
  <c r="Y30" i="71"/>
  <c r="Z30" i="71" s="1"/>
  <c r="Y29" i="71"/>
  <c r="Z29" i="71" s="1"/>
  <c r="X36" i="71"/>
  <c r="X38" i="71"/>
  <c r="X26" i="71"/>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AZ31" i="3" s="1"/>
  <c r="BA32" i="3"/>
  <c r="G38" i="3"/>
  <c r="BA38" i="3"/>
  <c r="BA41" i="3"/>
  <c r="AZ41" i="3" s="1"/>
  <c r="BA42" i="3"/>
  <c r="G47" i="3"/>
  <c r="BL48" i="3"/>
  <c r="BL54" i="3"/>
  <c r="Y26" i="71"/>
  <c r="Z26" i="71" s="1"/>
  <c r="C28" i="71"/>
  <c r="Y28" i="71"/>
  <c r="Z28" i="71" s="1"/>
  <c r="Y25" i="71"/>
  <c r="Z25" i="71" s="1"/>
  <c r="D34" i="71"/>
  <c r="C35" i="71"/>
  <c r="Y35" i="71"/>
  <c r="Z35" i="71" s="1"/>
  <c r="Y37" i="71"/>
  <c r="Z37" i="71" s="1"/>
  <c r="D50" i="71"/>
  <c r="C51" i="71"/>
  <c r="T72" i="71"/>
  <c r="C71" i="71"/>
  <c r="U76" i="71"/>
  <c r="E75" i="71"/>
  <c r="E74" i="71" s="1"/>
  <c r="D84" i="71"/>
  <c r="C83" i="71"/>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BA27" i="3"/>
  <c r="BL30" i="3"/>
  <c r="BL31" i="3"/>
  <c r="G37" i="3"/>
  <c r="BL40" i="3"/>
  <c r="BL41" i="3"/>
  <c r="BL45" i="3"/>
  <c r="BA48" i="3"/>
  <c r="BA49" i="3"/>
  <c r="AZ49" i="3" s="1"/>
  <c r="BA51" i="3"/>
  <c r="BA55" i="3"/>
  <c r="AZ55" i="3" s="1"/>
  <c r="BA56" i="3"/>
  <c r="BA57" i="3"/>
  <c r="BL58" i="3"/>
  <c r="BA60" i="3"/>
  <c r="BA63" i="3"/>
  <c r="BA66" i="3"/>
  <c r="AZ66" i="3" s="1"/>
  <c r="BA71" i="3"/>
  <c r="AA18" i="36"/>
  <c r="S18" i="36"/>
  <c r="E28" i="71"/>
  <c r="AA27" i="71"/>
  <c r="AA28" i="71"/>
  <c r="C38" i="71"/>
  <c r="AA34" i="71"/>
  <c r="AA30" i="71"/>
  <c r="C44" i="71"/>
  <c r="D43" i="71"/>
  <c r="F27" i="71"/>
  <c r="F26" i="71" s="1"/>
  <c r="AB27" i="71"/>
  <c r="AB26" i="71"/>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L57" i="3"/>
  <c r="G59" i="3"/>
  <c r="G62" i="3"/>
  <c r="BL62" i="3"/>
  <c r="AZ62" i="3" s="1"/>
  <c r="BL63" i="3"/>
  <c r="G65" i="3"/>
  <c r="BL65" i="3"/>
  <c r="AZ65" i="3" s="1"/>
  <c r="BL66" i="3"/>
  <c r="BL67" i="3"/>
  <c r="AZ67" i="3" s="1"/>
  <c r="G69" i="3"/>
  <c r="G70" i="3"/>
  <c r="BL70" i="3"/>
  <c r="AZ70" i="3" s="1"/>
  <c r="BL71" i="3"/>
  <c r="BL72" i="3"/>
  <c r="AZ72" i="3" s="1"/>
  <c r="G74" i="3"/>
  <c r="BL75" i="3"/>
  <c r="F40" i="68"/>
  <c r="C21" i="68"/>
  <c r="AA3" i="71"/>
  <c r="X34" i="71"/>
  <c r="X25" i="71"/>
  <c r="F34" i="71"/>
  <c r="F35" i="71" s="1"/>
  <c r="F36" i="71" s="1"/>
  <c r="V36" i="71" s="1"/>
  <c r="AB33" i="71"/>
  <c r="AB28" i="71"/>
  <c r="AB32" i="71"/>
  <c r="X35" i="71"/>
  <c r="AA38" i="71"/>
  <c r="AA39" i="71"/>
  <c r="D56" i="71"/>
  <c r="T56" i="71"/>
  <c r="C60" i="71"/>
  <c r="D59" i="71"/>
  <c r="F66" i="71"/>
  <c r="Q67" i="71"/>
  <c r="T80" i="71"/>
  <c r="C79" i="71"/>
  <c r="V24" i="71"/>
  <c r="E23" i="71"/>
  <c r="E22" i="71" s="1"/>
  <c r="E21" i="71" s="1"/>
  <c r="E20" i="71" s="1"/>
  <c r="BA75" i="3"/>
  <c r="AZ75" i="3" s="1"/>
  <c r="G81" i="3"/>
  <c r="BL85" i="3"/>
  <c r="BA86" i="3"/>
  <c r="AZ86" i="3" s="1"/>
  <c r="BA87" i="3"/>
  <c r="BA91" i="3"/>
  <c r="AZ91" i="3" s="1"/>
  <c r="BL97" i="3"/>
  <c r="AZ97" i="3" s="1"/>
  <c r="BL101" i="3"/>
  <c r="AZ101" i="3" s="1"/>
  <c r="BL102" i="3"/>
  <c r="G105" i="3"/>
  <c r="BL106" i="3"/>
  <c r="BA108" i="3"/>
  <c r="AZ108" i="3" s="1"/>
  <c r="BA110" i="3"/>
  <c r="AZ110" i="3" s="1"/>
  <c r="F3" i="35"/>
  <c r="S21" i="33"/>
  <c r="S21" i="37"/>
  <c r="B77" i="43"/>
  <c r="AB25" i="71"/>
  <c r="X33" i="71"/>
  <c r="G55" i="3"/>
  <c r="BL56" i="3"/>
  <c r="BA58" i="3"/>
  <c r="AZ58" i="3" s="1"/>
  <c r="BL59" i="3"/>
  <c r="AZ59" i="3" s="1"/>
  <c r="BL60" i="3"/>
  <c r="BA61" i="3"/>
  <c r="AZ61" i="3" s="1"/>
  <c r="BA68" i="3"/>
  <c r="BA73" i="3"/>
  <c r="AZ73" i="3" s="1"/>
  <c r="BA80" i="3"/>
  <c r="G84" i="3"/>
  <c r="BL84" i="3"/>
  <c r="AZ84" i="3" s="1"/>
  <c r="BA89" i="3"/>
  <c r="G99" i="3"/>
  <c r="G103" i="3"/>
  <c r="BA103" i="3"/>
  <c r="AZ103" i="3" s="1"/>
  <c r="BA104" i="3"/>
  <c r="AZ104" i="3" s="1"/>
  <c r="BA106" i="3"/>
  <c r="BL108" i="3"/>
  <c r="G110" i="3"/>
  <c r="BL111" i="3"/>
  <c r="C5" i="68"/>
  <c r="P66" i="71"/>
  <c r="C66" i="71"/>
  <c r="S28" i="71"/>
  <c r="X28" i="71"/>
  <c r="X32" i="71"/>
  <c r="F38" i="71"/>
  <c r="F39" i="71" s="1"/>
  <c r="F40" i="71" s="1"/>
  <c r="V40" i="71" s="1"/>
  <c r="AB38" i="71"/>
  <c r="F75" i="71"/>
  <c r="F74" i="71" s="1"/>
  <c r="B79" i="71"/>
  <c r="B78" i="71" s="1"/>
  <c r="BL81" i="3"/>
  <c r="BA82" i="3"/>
  <c r="AZ82" i="3" s="1"/>
  <c r="BL83" i="3"/>
  <c r="G88" i="3"/>
  <c r="BA90" i="3"/>
  <c r="BL94" i="3"/>
  <c r="AZ94" i="3" s="1"/>
  <c r="BA100" i="3"/>
  <c r="AZ100" i="3" s="1"/>
  <c r="BA102" i="3"/>
  <c r="AZ102" i="3" s="1"/>
  <c r="BL105" i="3"/>
  <c r="AZ105" i="3" s="1"/>
  <c r="BL107" i="3"/>
  <c r="BA111" i="3"/>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K14" i="1"/>
  <c r="K16" i="1" s="1"/>
  <c r="D9" i="11"/>
  <c r="C9" i="11" s="1"/>
  <c r="D19" i="12"/>
  <c r="C19" i="12" s="1"/>
  <c r="AZ13" i="3"/>
  <c r="O9" i="1"/>
  <c r="P9" i="1" s="1"/>
  <c r="O12" i="1"/>
  <c r="P12" i="1" s="1"/>
  <c r="O8" i="1"/>
  <c r="P8" i="1" s="1"/>
  <c r="H73" i="43"/>
  <c r="H90" i="43"/>
  <c r="O23" i="43"/>
  <c r="I18" i="43"/>
  <c r="E17" i="43" s="1"/>
  <c r="C17" i="43" s="1"/>
  <c r="G26" i="43"/>
  <c r="A1" i="79"/>
  <c r="H55" i="43"/>
  <c r="H86" i="43"/>
  <c r="H87" i="43"/>
  <c r="N370" i="46"/>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51" i="67"/>
  <c r="J53" i="67"/>
  <c r="J57" i="67"/>
  <c r="J55" i="67" s="1"/>
  <c r="J58" i="67" s="1"/>
  <c r="Q50" i="67" s="1"/>
  <c r="L56" i="67"/>
  <c r="I54" i="67"/>
  <c r="F66" i="67"/>
  <c r="L59" i="15"/>
  <c r="N59" i="15"/>
  <c r="M59" i="15"/>
  <c r="Q71" i="67"/>
  <c r="D103" i="9"/>
  <c r="C27" i="67"/>
  <c r="F71" i="67"/>
  <c r="G20" i="9"/>
  <c r="C103" i="9"/>
  <c r="N59" i="67"/>
  <c r="L59" i="67"/>
  <c r="L58" i="67"/>
  <c r="M59" i="67"/>
  <c r="B13" i="70"/>
  <c r="M7" i="67"/>
  <c r="J6" i="67" s="1"/>
  <c r="F50" i="67"/>
  <c r="F68" i="67"/>
  <c r="F64" i="67"/>
  <c r="F68" i="15"/>
  <c r="C36" i="68"/>
  <c r="D9" i="69"/>
  <c r="F27" i="69"/>
  <c r="C36" i="69"/>
  <c r="D9" i="68"/>
  <c r="F37" i="15"/>
  <c r="D3" i="73"/>
  <c r="M9" i="15"/>
  <c r="F26" i="15"/>
  <c r="M29" i="67"/>
  <c r="M29" i="15"/>
  <c r="F43" i="15"/>
  <c r="F8" i="15"/>
  <c r="D7" i="73"/>
  <c r="M24" i="15"/>
  <c r="M8" i="15"/>
  <c r="F38" i="15"/>
  <c r="F42" i="67"/>
  <c r="F9" i="15"/>
  <c r="F9" i="67"/>
  <c r="D4" i="73"/>
  <c r="M28" i="15"/>
  <c r="F37" i="67"/>
  <c r="F7" i="15"/>
  <c r="C16" i="67"/>
  <c r="L48" i="15"/>
  <c r="F42" i="15"/>
  <c r="F16" i="15"/>
  <c r="C76" i="15"/>
  <c r="M22" i="15"/>
  <c r="F36" i="15"/>
  <c r="J15" i="15"/>
  <c r="F13" i="15"/>
  <c r="F6" i="67"/>
  <c r="F13" i="67"/>
  <c r="D5" i="73"/>
  <c r="F26" i="43" l="1"/>
  <c r="E59" i="40"/>
  <c r="E26" i="43"/>
  <c r="H26" i="43"/>
  <c r="N94" i="46"/>
  <c r="P6" i="1"/>
  <c r="C13" i="12" s="1"/>
  <c r="G16" i="1"/>
  <c r="F10" i="39" s="1"/>
  <c r="D17" i="53"/>
  <c r="B36" i="72" s="1"/>
  <c r="F65" i="67"/>
  <c r="F50" i="15"/>
  <c r="M7" i="15"/>
  <c r="J6" i="15" s="1"/>
  <c r="J18" i="15" s="1"/>
  <c r="F31" i="15"/>
  <c r="F71" i="15"/>
  <c r="F51" i="15"/>
  <c r="C6" i="15"/>
  <c r="C32" i="15" s="1"/>
  <c r="C27" i="15"/>
  <c r="F66" i="15"/>
  <c r="F64" i="15"/>
  <c r="J57" i="15"/>
  <c r="J55" i="15" s="1"/>
  <c r="J58" i="15" s="1"/>
  <c r="Q50" i="15" s="1"/>
  <c r="J53" i="15"/>
  <c r="L56" i="15" s="1"/>
  <c r="I54" i="15"/>
  <c r="L58" i="15"/>
  <c r="Q73" i="15" s="1"/>
  <c r="F65" i="15"/>
  <c r="F31" i="67"/>
  <c r="C6" i="67"/>
  <c r="C32" i="67" s="1"/>
  <c r="Q71" i="15"/>
  <c r="O65" i="71"/>
  <c r="D66" i="71"/>
  <c r="O66" i="71"/>
  <c r="C78" i="71"/>
  <c r="D78" i="71" s="1"/>
  <c r="D79" i="71"/>
  <c r="D38" i="71"/>
  <c r="C39" i="71"/>
  <c r="AZ63" i="3"/>
  <c r="AZ263" i="3"/>
  <c r="AZ282" i="3"/>
  <c r="AZ241" i="3"/>
  <c r="AZ302" i="3"/>
  <c r="AZ251" i="3"/>
  <c r="AZ247" i="3"/>
  <c r="AZ458" i="3"/>
  <c r="AC44" i="39"/>
  <c r="W44" i="39"/>
  <c r="AZ404" i="3"/>
  <c r="W12" i="35"/>
  <c r="AC12" i="35"/>
  <c r="AA32" i="36"/>
  <c r="S32" i="36"/>
  <c r="AC43" i="39"/>
  <c r="W43" i="39"/>
  <c r="AZ564" i="3"/>
  <c r="W28" i="21"/>
  <c r="AC28" i="21"/>
  <c r="S46" i="34"/>
  <c r="AA46" i="34"/>
  <c r="AA27" i="21"/>
  <c r="S27" i="21"/>
  <c r="D60" i="71"/>
  <c r="T60" i="71"/>
  <c r="AZ190" i="3"/>
  <c r="D44" i="71"/>
  <c r="T44" i="71"/>
  <c r="C52" i="71"/>
  <c r="D51" i="71"/>
  <c r="C36" i="71"/>
  <c r="D35" i="71"/>
  <c r="T28" i="71"/>
  <c r="D28" i="71"/>
  <c r="U28" i="71" s="1"/>
  <c r="C27" i="71"/>
  <c r="AZ27" i="3"/>
  <c r="D31" i="71"/>
  <c r="C32" i="71"/>
  <c r="AZ301" i="3"/>
  <c r="AZ483" i="3"/>
  <c r="AZ550" i="3"/>
  <c r="AC38" i="40"/>
  <c r="W38" i="40"/>
  <c r="S12" i="39"/>
  <c r="AA12" i="39"/>
  <c r="AA25" i="37"/>
  <c r="S25" i="37"/>
  <c r="AB36" i="35"/>
  <c r="U36" i="35"/>
  <c r="AC26" i="33"/>
  <c r="W26" i="33"/>
  <c r="AZ586" i="3"/>
  <c r="W46" i="34"/>
  <c r="AC46" i="34"/>
  <c r="W27" i="21"/>
  <c r="AC27" i="21"/>
  <c r="G5" i="3"/>
  <c r="B3" i="3" s="1"/>
  <c r="E212" i="3" s="1"/>
  <c r="AZ111" i="3"/>
  <c r="AZ71" i="3"/>
  <c r="AZ51" i="3"/>
  <c r="AB38" i="40"/>
  <c r="U38" i="40"/>
  <c r="AC12" i="39"/>
  <c r="W12" i="39"/>
  <c r="U25" i="37"/>
  <c r="AB25" i="37"/>
  <c r="S36" i="35"/>
  <c r="AA36" i="35"/>
  <c r="U26" i="33"/>
  <c r="AB26" i="33"/>
  <c r="AC9" i="33"/>
  <c r="W9" i="33"/>
  <c r="AZ57" i="3"/>
  <c r="C82" i="71"/>
  <c r="D82" i="71" s="1"/>
  <c r="D83" i="71"/>
  <c r="C70" i="71"/>
  <c r="D70" i="71" s="1"/>
  <c r="D71" i="71"/>
  <c r="AZ421" i="3"/>
  <c r="AZ405" i="3"/>
  <c r="AB32" i="36"/>
  <c r="U32" i="36"/>
  <c r="U43" i="39"/>
  <c r="AB43" i="39"/>
  <c r="AA14" i="37"/>
  <c r="S14" i="37"/>
  <c r="S26" i="33"/>
  <c r="AA26" i="33"/>
  <c r="AB28" i="21"/>
  <c r="U28" i="21"/>
  <c r="W12" i="34"/>
  <c r="AC12" i="34"/>
  <c r="AB27" i="21"/>
  <c r="U27" i="21"/>
  <c r="J7" i="37"/>
  <c r="K1" i="73"/>
  <c r="E286" i="3"/>
  <c r="E575" i="3"/>
  <c r="E442" i="3"/>
  <c r="E449" i="3"/>
  <c r="E554" i="3"/>
  <c r="E491" i="3"/>
  <c r="E95" i="3"/>
  <c r="E258" i="3"/>
  <c r="E241" i="3"/>
  <c r="E59" i="3"/>
  <c r="E409" i="3"/>
  <c r="E64" i="3"/>
  <c r="E267" i="3"/>
  <c r="E310" i="3"/>
  <c r="E84" i="3"/>
  <c r="E233" i="3"/>
  <c r="E68" i="3"/>
  <c r="E63" i="3"/>
  <c r="E494" i="3"/>
  <c r="E198" i="3"/>
  <c r="AL6" i="3"/>
  <c r="E18" i="3"/>
  <c r="E235" i="3"/>
  <c r="E383" i="3"/>
  <c r="E34" i="3"/>
  <c r="E206" i="3"/>
  <c r="E251" i="3"/>
  <c r="E113" i="3"/>
  <c r="E287" i="3"/>
  <c r="E308" i="3"/>
  <c r="E205" i="3"/>
  <c r="E140" i="3"/>
  <c r="E197" i="3"/>
  <c r="E525" i="3"/>
  <c r="E534" i="3"/>
  <c r="T6" i="3"/>
  <c r="E456" i="3"/>
  <c r="E469" i="3"/>
  <c r="E512" i="3"/>
  <c r="E451" i="3"/>
  <c r="E360" i="3"/>
  <c r="E556" i="3"/>
  <c r="E13" i="3"/>
  <c r="E452" i="3"/>
  <c r="E470" i="3"/>
  <c r="E26" i="3"/>
  <c r="E104" i="3"/>
  <c r="E41"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9"/>
  <c r="Q60" i="67"/>
  <c r="Q73" i="67"/>
  <c r="M11" i="67"/>
  <c r="J10" i="67" s="1"/>
  <c r="J5" i="67" s="1"/>
  <c r="F11" i="15"/>
  <c r="M11" i="15"/>
  <c r="J10" i="15" s="1"/>
  <c r="F11" i="67"/>
  <c r="J18" i="67"/>
  <c r="F1" i="67"/>
  <c r="Q52" i="67"/>
  <c r="Q61" i="67"/>
  <c r="Q74" i="67"/>
  <c r="Q74" i="15"/>
  <c r="Q61" i="15"/>
  <c r="AE11" i="1"/>
  <c r="AE6" i="1"/>
  <c r="AE9" i="1"/>
  <c r="F27" i="68"/>
  <c r="AE7" i="1"/>
  <c r="AE8" i="1"/>
  <c r="AE12" i="1"/>
  <c r="AE10" i="1"/>
  <c r="C16" i="15"/>
  <c r="F41" i="67"/>
  <c r="G1" i="73"/>
  <c r="C49" i="15" l="1"/>
  <c r="Q60" i="15"/>
  <c r="Q52" i="15"/>
  <c r="E115" i="3"/>
  <c r="E420" i="3"/>
  <c r="E497" i="3"/>
  <c r="E408" i="3"/>
  <c r="E405" i="3"/>
  <c r="E173" i="3"/>
  <c r="E22" i="3"/>
  <c r="E102" i="3"/>
  <c r="E522" i="3"/>
  <c r="E482" i="3"/>
  <c r="E309" i="3"/>
  <c r="E67" i="3"/>
  <c r="E160" i="3"/>
  <c r="E389" i="3"/>
  <c r="E417" i="3"/>
  <c r="E430" i="3"/>
  <c r="E536" i="3"/>
  <c r="F1" i="15"/>
  <c r="E3" i="6"/>
  <c r="AF6" i="3"/>
  <c r="AC6" i="3" s="1"/>
  <c r="E86" i="3"/>
  <c r="E174" i="3"/>
  <c r="E391" i="3"/>
  <c r="E283" i="3"/>
  <c r="E184" i="3"/>
  <c r="E371" i="3"/>
  <c r="E467" i="3"/>
  <c r="E349" i="3"/>
  <c r="E37" i="3"/>
  <c r="AP6" i="3"/>
  <c r="E502" i="3"/>
  <c r="E539" i="3"/>
  <c r="J5" i="15"/>
  <c r="J24" i="15" s="1"/>
  <c r="T52" i="71"/>
  <c r="D52" i="71"/>
  <c r="E129" i="3"/>
  <c r="E75" i="3"/>
  <c r="E332" i="3"/>
  <c r="E21" i="3"/>
  <c r="E264" i="3"/>
  <c r="E381" i="3"/>
  <c r="E144" i="3"/>
  <c r="E23" i="3"/>
  <c r="E300" i="3"/>
  <c r="E103" i="3"/>
  <c r="E425" i="3"/>
  <c r="E76" i="3"/>
  <c r="E363" i="3"/>
  <c r="E192" i="3"/>
  <c r="E56" i="3"/>
  <c r="E435" i="3"/>
  <c r="I3" i="6"/>
  <c r="E541" i="3"/>
  <c r="R6" i="3"/>
  <c r="E199" i="3"/>
  <c r="E510" i="3"/>
  <c r="E96" i="3"/>
  <c r="E42" i="3"/>
  <c r="E281" i="3"/>
  <c r="E513" i="3"/>
  <c r="E81" i="3"/>
  <c r="E355" i="3"/>
  <c r="E33" i="3"/>
  <c r="E492" i="3"/>
  <c r="E249" i="3"/>
  <c r="E46" i="3"/>
  <c r="E484" i="3"/>
  <c r="E544" i="3"/>
  <c r="E292" i="3"/>
  <c r="E152" i="3"/>
  <c r="E479" i="3"/>
  <c r="E517" i="3"/>
  <c r="E255" i="3"/>
  <c r="E466" i="3"/>
  <c r="E499" i="3"/>
  <c r="C26" i="71"/>
  <c r="D26" i="71" s="1"/>
  <c r="D27" i="71"/>
  <c r="D36" i="71"/>
  <c r="T36" i="71"/>
  <c r="C40" i="71"/>
  <c r="D39" i="71"/>
  <c r="T32" i="71"/>
  <c r="D3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C35" i="9"/>
  <c r="M27" i="15"/>
  <c r="M27" i="67"/>
  <c r="F41" i="15"/>
  <c r="F24" i="67" l="1"/>
  <c r="C24" i="67" s="1"/>
  <c r="F24" i="15"/>
  <c r="C24" i="15" s="1"/>
  <c r="F22" i="69"/>
  <c r="F41" i="69" s="1"/>
  <c r="F22" i="68"/>
  <c r="C26" i="68" s="1"/>
  <c r="D22" i="68" s="1"/>
  <c r="F25" i="12"/>
  <c r="C26" i="12" s="1"/>
  <c r="D25" i="12" s="1"/>
  <c r="F22" i="11"/>
  <c r="C25" i="11" s="1"/>
  <c r="T40" i="71"/>
  <c r="D40" i="7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4" i="11"/>
  <c r="C34" i="9"/>
  <c r="C66" i="67"/>
  <c r="C60" i="67"/>
  <c r="D10" i="69"/>
  <c r="C34" i="69"/>
  <c r="D10" i="68"/>
  <c r="C17" i="67"/>
  <c r="C14" i="67"/>
  <c r="C17" i="15"/>
  <c r="C44" i="69" l="1"/>
  <c r="D41" i="69" s="1"/>
  <c r="C23" i="11"/>
  <c r="C22" i="11" s="1"/>
  <c r="C26" i="11"/>
  <c r="D22" i="11" s="1"/>
  <c r="C44" i="11"/>
  <c r="D41" i="11" s="1"/>
  <c r="C23" i="68"/>
  <c r="C44" i="68"/>
  <c r="D41" i="68"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31" i="11" l="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2" i="1"/>
  <c r="AO10" i="1"/>
  <c r="AO7" i="1"/>
  <c r="AO6"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H4" i="52"/>
  <c r="C104" i="9"/>
  <c r="H119" i="9"/>
  <c r="H5" i="52"/>
  <c r="B21" i="72"/>
  <c r="B20" i="72"/>
  <c r="M48" i="9"/>
  <c r="D9" i="52"/>
  <c r="C86" i="9"/>
  <c r="B51" i="72"/>
  <c r="D52" i="9"/>
  <c r="D53" i="9"/>
  <c r="C93" i="9"/>
  <c r="L65" i="9"/>
  <c r="M65" i="9"/>
  <c r="N69" i="9"/>
  <c r="D54" i="9"/>
  <c r="B49" i="72"/>
  <c r="L66" i="9"/>
  <c r="M66" i="9"/>
  <c r="B48" i="72"/>
  <c r="C81" i="9"/>
  <c r="B30" i="72"/>
  <c r="D123" i="9"/>
  <c r="D122" i="9"/>
  <c r="D8" i="52"/>
  <c r="N61" i="9"/>
  <c r="N59" i="9"/>
  <c r="N60" i="9"/>
  <c r="D56" i="9"/>
  <c r="M54" i="9"/>
  <c r="E4" i="52"/>
  <c r="C5" i="74"/>
  <c r="D7" i="53"/>
  <c r="F4" i="52"/>
  <c r="F119" i="9"/>
  <c r="F5" i="52"/>
  <c r="B53" i="72"/>
  <c r="I4" i="52"/>
  <c r="H102" i="9"/>
  <c r="C105" i="9"/>
  <c r="M55" i="9"/>
  <c r="C6" i="74"/>
  <c r="P57" i="9"/>
  <c r="N58" i="9"/>
  <c r="F118" i="9"/>
  <c r="G118" i="9"/>
  <c r="G4" i="52"/>
  <c r="B52" i="72"/>
  <c r="D5" i="53"/>
  <c r="D6" i="53"/>
  <c r="B22" i="72"/>
  <c r="D13" i="53"/>
  <c r="D14" i="53"/>
  <c r="B32" i="72"/>
  <c r="L67" i="9"/>
  <c r="M67" i="9"/>
  <c r="D4" i="52"/>
  <c r="B47" i="72"/>
  <c r="D55" i="9"/>
  <c r="M53" i="9"/>
  <c r="N57" i="9"/>
  <c r="L68" i="9"/>
  <c r="M68" i="9"/>
  <c r="C80" i="9"/>
  <c r="E80" i="9"/>
  <c r="E81" i="9"/>
  <c r="L64" i="9"/>
  <c r="M64" i="9"/>
  <c r="H108" i="9"/>
  <c r="D15" i="53"/>
  <c r="B31" i="72"/>
  <c r="C96" i="9"/>
  <c r="E96" i="9"/>
  <c r="E97" i="9"/>
  <c r="D59" i="9"/>
  <c r="C64" i="9"/>
  <c r="C63" i="9"/>
  <c r="C67" i="9"/>
  <c r="C68" i="9"/>
  <c r="C78" i="9"/>
  <c r="C73" i="9"/>
  <c r="C72" i="9"/>
  <c r="C79" i="9"/>
  <c r="E118" i="9"/>
  <c r="D118" i="9"/>
  <c r="D119" i="9"/>
  <c r="D5" i="52"/>
  <c r="H107" i="9"/>
  <c r="M49" i="9"/>
  <c r="L63" i="9"/>
  <c r="M63" i="9"/>
  <c r="M69"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<sst xmlns="http://schemas.openxmlformats.org/spreadsheetml/2006/main" count="7802" uniqueCount="3417">
  <si>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</si>
  <si>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</si>
  <si>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</si>
  <si>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</si>
  <si>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</si>
  <si>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</si>
  <si>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</si>
  <si>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</si>
  <si>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</si>
  <si>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</si>
  <si>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</si>
  <si>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</si>
  <si>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</si>
  <si>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</si>
  <si>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</si>
  <si>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</si>
  <si>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</si>
  <si>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</si>
  <si>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</si>
  <si>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</si>
  <si>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</si>
  <si>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</si>
  <si>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</si>
  <si>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</si>
  <si>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</si>
  <si>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</si>
  <si>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</si>
  <si>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</si>
  <si>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</si>
  <si>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</si>
  <si>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</si>
  <si>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</si>
  <si>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</si>
  <si>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</si>
  <si>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</si>
  <si>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</si>
  <si>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</si>
  <si>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</si>
  <si>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</si>
  <si>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</si>
  <si>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</si>
  <si>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</si>
  <si>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</si>
  <si>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</si>
  <si>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</si>
  <si>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</si>
  <si>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</si>
  <si>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</si>
  <si>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</si>
  <si>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</si>
  <si>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</si>
  <si>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</si>
  <si>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</si>
  <si>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</si>
  <si>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</si>
  <si>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</si>
  <si>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</si>
  <si>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</si>
  <si>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</si>
  <si>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</si>
  <si>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</si>
  <si>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</si>
  <si>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</si>
  <si>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</si>
  <si>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</si>
  <si>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</si>
  <si>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</si>
  <si>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</si>
  <si>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</si>
  <si>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</si>
  <si>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</si>
  <si>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</si>
  <si>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</si>
  <si>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</si>
  <si>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</si>
  <si>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</si>
  <si>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</si>
  <si>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</si>
  <si>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</si>
  <si>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</si>
  <si>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</si>
  <si>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</si>
  <si>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</si>
  <si>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</si>
  <si>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</si>
  <si>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</si>
  <si>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</si>
  <si>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</si>
  <si>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</si>
  <si>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</si>
  <si>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</si>
  <si>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</si>
  <si>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</si>
  <si>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</si>
  <si>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</si>
  <si>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</si>
  <si>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</si>
  <si>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</si>
  <si>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</si>
  <si>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</si>
  <si>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</si>
  <si>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</si>
  <si>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</si>
  <si>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</si>
  <si>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</si>
  <si>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</si>
  <si>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</si>
  <si>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</si>
  <si>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</si>
  <si>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</si>
  <si>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</si>
  <si>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</si>
  <si>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</si>
  <si>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</si>
  <si>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</si>
  <si>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</si>
  <si>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</si>
  <si>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</si>
  <si>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</si>
  <si>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</si>
  <si>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</si>
  <si>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</si>
  <si>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</si>
  <si>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</si>
  <si>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</si>
  <si>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</si>
  <si>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</si>
  <si>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</si>
  <si>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</si>
  <si>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</si>
  <si>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</si>
  <si>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</si>
  <si>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</si>
  <si>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</si>
  <si>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</si>
  <si>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</si>
  <si>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</si>
  <si>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</si>
  <si>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</si>
  <si>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</si>
  <si>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</si>
  <si>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</si>
  <si>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</si>
  <si>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</si>
  <si>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</si>
  <si>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</si>
  <si>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</si>
  <si>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</si>
  <si>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</si>
  <si>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</si>
  <si>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</si>
  <si>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</si>
  <si>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</si>
  <si>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</si>
  <si>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</si>
  <si>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</si>
  <si>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</si>
  <si>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</si>
  <si>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</si>
  <si>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</si>
  <si>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</si>
  <si>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</si>
  <si>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</si>
  <si>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</si>
  <si>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</si>
  <si>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</si>
  <si>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</si>
  <si>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</si>
  <si>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</si>
  <si>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</si>
  <si>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</si>
  <si>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</si>
  <si>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</si>
  <si>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</si>
  <si>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</si>
  <si>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</si>
  <si>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</si>
  <si>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</si>
  <si>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</si>
  <si>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</si>
  <si>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</si>
  <si>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</si>
  <si>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</si>
  <si>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</si>
  <si>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</si>
  <si>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</si>
  <si>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</si>
  <si>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</si>
  <si>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</si>
  <si>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</si>
  <si>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</si>
  <si>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</si>
  <si>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</si>
  <si>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</si>
  <si>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</si>
  <si>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</si>
  <si>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</si>
  <si>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</si>
  <si>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</si>
  <si>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</si>
  <si>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</si>
  <si>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</si>
  <si>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</si>
  <si>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</si>
  <si>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</si>
  <si>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</si>
  <si>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</si>
  <si>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</si>
  <si>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</si>
  <si>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</si>
  <si>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</si>
  <si>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</si>
  <si>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</si>
  <si>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</si>
  <si>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</si>
  <si>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</si>
  <si>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</si>
  <si>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</si>
  <si>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</si>
  <si>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</si>
  <si>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</si>
  <si>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</si>
  <si>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</si>
  <si>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</si>
  <si>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</si>
  <si>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</si>
  <si>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</si>
  <si>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</si>
  <si>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</si>
  <si>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</si>
  <si>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</si>
  <si>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</si>
  <si>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</si>
  <si>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</si>
  <si>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</si>
  <si>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</si>
  <si>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</si>
  <si>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</si>
  <si>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</si>
  <si>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</si>
  <si>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</si>
  <si>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</si>
  <si>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</si>
  <si>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</si>
  <si>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</si>
  <si>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</si>
  <si>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</si>
  <si>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</si>
  <si>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</si>
  <si>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</si>
  <si>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</si>
  <si>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</si>
  <si>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</si>
  <si>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</si>
  <si>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</si>
  <si>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</si>
  <si>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</si>
  <si>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</si>
  <si>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</si>
  <si>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</si>
  <si>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</si>
  <si>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</si>
  <si>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</si>
  <si>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</si>
  <si>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</si>
  <si>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</si>
  <si>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</si>
  <si>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</si>
  <si>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</si>
  <si>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</si>
  <si>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</si>
  <si>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</si>
  <si>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</si>
  <si>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</si>
  <si>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</si>
  <si>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</si>
  <si>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</si>
  <si>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</si>
  <si>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</si>
  <si>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</si>
  <si>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</si>
  <si>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</si>
  <si>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</si>
  <si>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</si>
  <si>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</si>
  <si>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</si>
  <si>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</si>
  <si>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</si>
  <si>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</si>
  <si>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</si>
  <si>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</si>
  <si>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</si>
  <si>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</si>
  <si>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</si>
  <si>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</si>
  <si>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</si>
  <si>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</si>
  <si>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</si>
  <si>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</si>
  <si>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</si>
  <si>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</si>
  <si>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</si>
  <si>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</si>
  <si>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</si>
  <si>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</si>
  <si>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</si>
  <si>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</si>
  <si>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</si>
  <si>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</si>
  <si>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</si>
  <si>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</si>
  <si>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</si>
  <si>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</si>
  <si>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</si>
  <si>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</si>
  <si>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</si>
  <si>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</si>
  <si>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</si>
  <si>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</si>
  <si>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</si>
  <si>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</si>
  <si>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</si>
  <si>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</si>
  <si>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</si>
  <si>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</si>
  <si>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</si>
  <si>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</si>
  <si>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</si>
  <si>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</si>
  <si>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</si>
  <si>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</si>
  <si>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</si>
  <si>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</si>
  <si>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</si>
  <si>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</si>
  <si>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</si>
  <si>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</si>
  <si>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</si>
  <si>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</si>
  <si>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</si>
  <si>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</si>
  <si>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</si>
  <si>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</si>
  <si>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</si>
  <si>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</si>
  <si>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</si>
  <si>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</si>
  <si>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</si>
  <si>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</si>
  <si>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</si>
  <si>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</si>
  <si>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</si>
  <si>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</si>
  <si>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</si>
  <si>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</si>
  <si>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</si>
  <si>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</si>
  <si>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</si>
  <si>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</si>
  <si>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</si>
  <si>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</si>
  <si>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</si>
  <si>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</si>
  <si>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</si>
  <si>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</si>
  <si>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</si>
  <si>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</si>
  <si>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</si>
  <si>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</si>
  <si>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</si>
  <si>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</si>
  <si>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</si>
  <si>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</si>
  <si>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</si>
  <si>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</si>
  <si>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</si>
  <si>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</si>
  <si>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</si>
  <si>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</si>
  <si>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</si>
  <si>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</si>
  <si>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</si>
  <si>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</si>
  <si>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</si>
  <si>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</si>
  <si>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</si>
  <si>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</si>
  <si>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</si>
  <si>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</si>
  <si>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</si>
  <si>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</si>
  <si>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</si>
  <si>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</si>
  <si>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</si>
  <si>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</si>
  <si>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</si>
  <si>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</si>
  <si>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</si>
  <si>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</si>
  <si>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</si>
  <si>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</si>
  <si>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</si>
  <si>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</si>
  <si>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</si>
  <si>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</si>
  <si>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</si>
  <si>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</si>
  <si>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</si>
  <si>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</si>
  <si>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</si>
  <si>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</si>
  <si>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</si>
  <si>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</si>
  <si>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</si>
  <si>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</si>
  <si>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</si>
  <si>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</si>
  <si>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</si>
  <si>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</si>
  <si>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</si>
  <si>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</si>
  <si>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</si>
  <si>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</si>
  <si>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</si>
  <si>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</si>
  <si>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</si>
  <si>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</si>
  <si>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</si>
  <si>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</si>
  <si>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</si>
  <si>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</si>
  <si>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</si>
  <si>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</si>
  <si>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</si>
  <si>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</si>
  <si>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</si>
  <si>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</si>
  <si>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</si>
  <si>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</si>
  <si>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</si>
  <si>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</si>
  <si>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</si>
  <si>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</si>
  <si>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</si>
  <si>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</si>
  <si>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</si>
  <si>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</si>
  <si>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</si>
  <si>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</si>
  <si>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</si>
  <si>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</si>
  <si>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</si>
  <si>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</si>
  <si>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</si>
  <si>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</si>
  <si>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</si>
  <si>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</si>
  <si>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</si>
  <si>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</si>
  <si>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</si>
  <si>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</si>
  <si>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</si>
  <si>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</si>
  <si>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</si>
  <si>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</si>
  <si>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</si>
  <si>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</si>
  <si>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</si>
  <si>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</si>
  <si>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</si>
  <si>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</si>
  <si>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</si>
  <si>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</si>
  <si>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</si>
  <si>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</si>
  <si>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</si>
  <si>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</si>
  <si>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</si>
  <si>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</si>
  <si>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</si>
  <si>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</si>
  <si>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</si>
  <si>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</si>
  <si>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</si>
  <si>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</si>
  <si>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</si>
  <si>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</si>
  <si>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</si>
  <si>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</si>
  <si>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</si>
  <si>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</si>
  <si>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</si>
  <si>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</si>
  <si>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</si>
  <si>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</si>
  <si>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</si>
  <si>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</si>
  <si>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</si>
  <si>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</si>
  <si>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</si>
  <si>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</si>
  <si>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</si>
  <si>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</si>
  <si>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</si>
  <si>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</si>
  <si>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</si>
  <si>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</si>
  <si>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</si>
  <si>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</si>
  <si>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</si>
  <si>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</si>
  <si>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</si>
  <si>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</si>
  <si>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</si>
  <si>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</si>
  <si>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</si>
  <si>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</si>
  <si>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</si>
  <si>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</si>
  <si>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</si>
  <si>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</si>
  <si>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</si>
  <si>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</si>
  <si>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</si>
  <si>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</si>
  <si>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</si>
  <si>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</si>
  <si>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</si>
  <si>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</si>
  <si>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</si>
  <si>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</si>
  <si>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</si>
  <si>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</si>
  <si>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</si>
  <si>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</si>
  <si>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</si>
  <si>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</si>
  <si>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</si>
  <si>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</si>
  <si>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</si>
  <si>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</si>
  <si>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</si>
  <si>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</si>
  <si>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</si>
  <si>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</si>
  <si>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</si>
  <si>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</si>
  <si>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</si>
  <si>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</si>
  <si>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</si>
  <si>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</si>
  <si>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</si>
  <si>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</si>
  <si>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</si>
  <si>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</si>
  <si>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</si>
  <si>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</si>
  <si>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</si>
  <si>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</si>
  <si>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</si>
  <si>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</si>
  <si>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</si>
  <si>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</si>
  <si>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</si>
  <si>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</si>
  <si>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</si>
  <si>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</si>
  <si>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</si>
  <si>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</si>
  <si>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</si>
  <si>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</si>
  <si>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</si>
  <si>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</si>
  <si>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</si>
  <si>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</si>
  <si>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</si>
  <si>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</si>
  <si>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</si>
  <si>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</si>
  <si>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</si>
  <si>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</si>
  <si>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</si>
  <si>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</si>
  <si>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</si>
  <si>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</si>
  <si>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</si>
  <si>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</si>
  <si>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</si>
  <si>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</si>
  <si>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</si>
  <si>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</si>
  <si>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</si>
  <si>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</si>
  <si>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</si>
  <si>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</si>
  <si>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</si>
  <si>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</si>
  <si>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</si>
  <si>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</si>
  <si>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</si>
  <si>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</si>
  <si>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</si>
  <si>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</si>
  <si>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</si>
  <si>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</si>
  <si>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</si>
  <si>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</si>
  <si>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</si>
  <si>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</si>
  <si>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</si>
  <si>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</si>
  <si>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</si>
  <si>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</si>
  <si>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</si>
  <si>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</si>
  <si>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</si>
  <si>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</si>
  <si>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</si>
  <si>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</si>
  <si>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</si>
  <si>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</si>
  <si>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</si>
  <si>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</si>
  <si>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</si>
  <si>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</si>
  <si>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</si>
  <si>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</si>
  <si>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</si>
  <si>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</si>
  <si>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</si>
  <si>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</si>
  <si>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</si>
  <si>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</si>
  <si>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</si>
  <si>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</si>
  <si>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</si>
  <si>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</si>
  <si>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</si>
  <si>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</si>
  <si>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</si>
  <si>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</si>
  <si>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</si>
  <si>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</si>
  <si>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</si>
  <si>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</si>
  <si>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</si>
  <si>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</si>
  <si>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</si>
  <si>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</si>
  <si>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</si>
  <si>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</si>
  <si>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</si>
  <si>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</si>
  <si>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</si>
  <si>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</si>
  <si>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</si>
  <si>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</si>
  <si>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</si>
  <si>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</si>
  <si>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</si>
  <si>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</si>
  <si>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</si>
  <si>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</si>
  <si>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</si>
  <si>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</si>
  <si>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</si>
  <si>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</si>
  <si>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</si>
  <si>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</si>
  <si>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</si>
  <si>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</si>
  <si>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</si>
  <si>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</si>
  <si>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</si>
  <si>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</si>
  <si>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</si>
  <si>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</si>
  <si>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</si>
  <si>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</si>
  <si>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</si>
  <si>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</si>
  <si>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</si>
  <si>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</si>
  <si>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</si>
  <si>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</si>
  <si>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</si>
  <si>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</si>
  <si>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</si>
  <si>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</si>
  <si>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</si>
  <si>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</si>
  <si>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</si>
  <si>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</si>
  <si>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</si>
  <si>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</si>
  <si>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</si>
  <si>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</si>
  <si>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</si>
  <si>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</si>
  <si>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</si>
  <si>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</si>
  <si>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</si>
  <si>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</si>
  <si>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</si>
  <si>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</si>
  <si>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</si>
  <si>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</si>
  <si>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</si>
  <si>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</si>
  <si>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</si>
  <si>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</si>
  <si>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</si>
  <si>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</si>
  <si>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</si>
  <si>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</si>
  <si>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</si>
  <si>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</si>
  <si>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</si>
  <si>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</si>
  <si>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</si>
  <si>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</si>
  <si>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</si>
  <si>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</si>
  <si>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</si>
  <si>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</si>
  <si>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</si>
  <si>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</si>
  <si>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</si>
  <si>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</si>
  <si>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</si>
  <si>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</si>
  <si>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</si>
  <si>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</si>
  <si>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</si>
  <si>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</si>
  <si>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</si>
  <si>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</si>
  <si>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</si>
  <si>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</si>
  <si>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</si>
  <si>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</si>
  <si>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</si>
  <si>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</si>
  <si>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</si>
  <si>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</si>
  <si>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</si>
  <si>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</si>
  <si>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</si>
  <si>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</si>
  <si>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</si>
  <si>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</si>
  <si>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</si>
  <si>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</si>
  <si>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</si>
  <si>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</si>
  <si>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</si>
  <si>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</si>
  <si>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</si>
  <si>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</si>
  <si>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</si>
  <si>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</si>
  <si>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</si>
  <si>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</si>
  <si>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</si>
  <si>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</si>
  <si>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</si>
  <si>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</si>
  <si>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</si>
  <si>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</si>
  <si>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</si>
  <si>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</si>
  <si>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</si>
  <si>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</si>
  <si>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</si>
  <si>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</si>
  <si>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</si>
  <si>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</si>
  <si>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</si>
  <si>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</si>
  <si>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</si>
  <si>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</si>
  <si>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</si>
  <si>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</si>
  <si>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</si>
  <si>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</si>
  <si>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</si>
  <si>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</si>
  <si>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</si>
  <si>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</si>
  <si>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</si>
  <si>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</si>
  <si>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</si>
  <si>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</si>
  <si>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</si>
  <si>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</si>
  <si>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</si>
  <si>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</si>
  <si>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</si>
  <si>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</si>
  <si>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</si>
  <si>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</si>
  <si>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</si>
  <si>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</si>
  <si>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</si>
  <si>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</si>
  <si>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</si>
  <si>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</si>
  <si>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</si>
  <si>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</si>
  <si>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</si>
  <si>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</si>
  <si>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</si>
  <si>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</si>
  <si>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</si>
  <si>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</si>
  <si>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</si>
  <si>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</si>
  <si>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</si>
  <si>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</si>
  <si>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</si>
  <si>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</si>
  <si>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</si>
  <si>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</si>
  <si>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</si>
  <si>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</si>
  <si>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</si>
  <si>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</si>
  <si>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</si>
  <si>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</si>
  <si>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</si>
  <si>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</si>
  <si>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</si>
  <si>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</si>
  <si>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</si>
  <si>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</si>
  <si>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</si>
  <si>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</si>
  <si>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</si>
  <si>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</si>
  <si>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</si>
  <si>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</si>
  <si>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</si>
  <si>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</si>
  <si>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</si>
  <si>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</si>
  <si>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</si>
  <si>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</si>
  <si>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</si>
  <si>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</si>
  <si>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</si>
  <si>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</si>
  <si>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</si>
  <si>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</si>
  <si>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</si>
  <si>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</si>
  <si>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</si>
  <si>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</si>
  <si>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</si>
  <si>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</si>
  <si>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</si>
  <si>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</si>
  <si>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</si>
  <si>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</si>
  <si>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</si>
  <si>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</si>
  <si>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</si>
  <si>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</si>
  <si>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</si>
  <si>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</si>
  <si>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</si>
  <si>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</si>
  <si>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</si>
  <si>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</si>
  <si>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</si>
  <si>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</si>
  <si>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</si>
  <si>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</si>
  <si>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</si>
  <si>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</si>
  <si>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</si>
  <si>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</si>
  <si>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</si>
  <si>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</si>
  <si>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</si>
  <si>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</si>
  <si>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</si>
  <si>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</si>
  <si>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</si>
  <si>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</si>
  <si>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</si>
  <si>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</si>
  <si>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</si>
  <si>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</si>
  <si>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</si>
  <si>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</si>
  <si>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</si>
  <si>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</si>
  <si>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</si>
  <si>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</si>
  <si>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</si>
  <si>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</si>
  <si>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</si>
  <si>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</si>
  <si>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</si>
  <si>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</si>
  <si>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</si>
  <si>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</si>
  <si>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</si>
  <si>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</si>
  <si>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</si>
  <si>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</si>
  <si>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</si>
  <si>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</si>
  <si>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</si>
  <si>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</si>
  <si>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</si>
  <si>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</si>
  <si>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</si>
  <si>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</si>
  <si>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</si>
  <si>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</si>
  <si>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</si>
  <si>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</si>
  <si>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</si>
  <si>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</si>
  <si>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</si>
  <si>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</si>
  <si>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</si>
  <si>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</si>
  <si>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</si>
  <si>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</si>
  <si>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</si>
  <si>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</si>
  <si>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</si>
  <si>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</si>
  <si>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</si>
  <si>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</si>
  <si>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</si>
  <si>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</si>
  <si>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</si>
  <si>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</si>
  <si>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</si>
  <si>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</si>
  <si>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</si>
  <si>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</si>
  <si>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</si>
  <si>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</si>
  <si>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</si>
  <si>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</si>
  <si>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</si>
  <si>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</si>
  <si>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</si>
  <si>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</si>
  <si>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</si>
  <si>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</si>
  <si>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</si>
  <si>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</si>
  <si>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</si>
  <si>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</si>
  <si>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</si>
  <si>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</si>
  <si>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</si>
  <si>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</si>
  <si>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</si>
  <si>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</si>
  <si>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</si>
  <si>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</si>
  <si>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</si>
  <si>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</si>
  <si>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</si>
  <si>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</si>
  <si>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</si>
  <si>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</si>
  <si>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</si>
  <si>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</si>
  <si>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</si>
  <si>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</si>
  <si>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</si>
  <si>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</si>
  <si>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</si>
  <si>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</si>
  <si>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</si>
  <si>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</si>
  <si>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</si>
  <si>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</si>
  <si>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</si>
  <si>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</si>
  <si>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</si>
  <si>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</si>
  <si>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</si>
  <si>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</si>
  <si>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</si>
  <si>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</si>
  <si>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</si>
  <si>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</si>
  <si>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</si>
  <si>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</si>
  <si>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</si>
  <si>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</si>
  <si>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</si>
  <si>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</si>
  <si>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</si>
  <si>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</si>
  <si>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</si>
  <si>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</si>
  <si>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</si>
  <si>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</si>
  <si>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</si>
  <si>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</si>
  <si>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</si>
  <si>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</si>
  <si>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</si>
  <si>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</si>
  <si>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</si>
  <si>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</si>
  <si>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</si>
  <si>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</si>
  <si>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</si>
  <si>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</si>
  <si>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</si>
  <si>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</si>
  <si>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</si>
  <si>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</si>
  <si>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</si>
  <si>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</si>
  <si>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</si>
  <si>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</si>
  <si>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</si>
  <si>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</si>
  <si>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</si>
  <si>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</si>
  <si>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</si>
  <si>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</si>
  <si>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</si>
  <si>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</si>
  <si>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</si>
  <si>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</si>
  <si>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</si>
  <si>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</si>
  <si>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</si>
  <si>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</si>
  <si>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</si>
  <si>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</si>
  <si>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</si>
  <si>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</si>
  <si>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</si>
  <si>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</si>
  <si>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</si>
  <si>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</si>
  <si>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</si>
  <si>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</si>
  <si>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</si>
  <si>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</si>
  <si>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</si>
  <si>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</si>
  <si>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</si>
  <si>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</si>
  <si>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</si>
  <si>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</si>
  <si>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</si>
  <si>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</si>
  <si>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</si>
  <si>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</si>
  <si>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</si>
  <si>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</si>
  <si>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</si>
  <si>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</si>
  <si>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</si>
  <si>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</si>
  <si>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</si>
  <si>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</si>
  <si>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</si>
  <si>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</si>
  <si>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</si>
  <si>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</si>
  <si>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</si>
  <si>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</si>
  <si>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</si>
  <si>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</si>
  <si>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</si>
  <si>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</si>
  <si>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</si>
  <si>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</si>
  <si>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</si>
  <si>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</si>
  <si>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</si>
  <si>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</si>
  <si>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</si>
  <si>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</si>
  <si>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</si>
  <si>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</si>
  <si>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</si>
  <si>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</si>
  <si>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</si>
  <si>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</si>
  <si>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</si>
  <si>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</si>
  <si>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</si>
  <si>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</si>
  <si>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</si>
  <si>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</si>
  <si>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</si>
  <si>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</si>
  <si>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</si>
  <si>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</si>
  <si>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</si>
  <si>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</si>
  <si>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</si>
  <si>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</si>
  <si>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</si>
  <si>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</si>
  <si>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</si>
  <si>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</si>
  <si>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</si>
  <si>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</si>
  <si>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</si>
  <si>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</si>
  <si>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</si>
  <si>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</si>
  <si>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</si>
  <si>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</si>
  <si>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</si>
  <si>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</si>
  <si>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</si>
  <si>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</si>
  <si>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</si>
  <si>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</si>
  <si>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</si>
  <si>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</si>
  <si>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</si>
  <si>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</si>
  <si>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</si>
  <si>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</si>
  <si>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</si>
  <si>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</si>
  <si>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</si>
  <si>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</si>
  <si>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</si>
  <si>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</si>
  <si>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</si>
  <si>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</si>
  <si>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</si>
  <si>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</si>
  <si>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</si>
  <si>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</si>
  <si>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</si>
  <si>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</si>
  <si>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</si>
  <si>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</si>
  <si>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</si>
  <si>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</si>
  <si>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</si>
  <si>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</si>
  <si>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</si>
  <si>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</si>
  <si>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</si>
  <si>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</si>
  <si>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</si>
  <si>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</si>
  <si>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</si>
  <si>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</si>
  <si>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</si>
  <si>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</si>
  <si>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</si>
  <si>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</si>
  <si>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</si>
  <si>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</si>
  <si>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</si>
  <si>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</si>
  <si>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</si>
  <si>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</si>
  <si>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</si>
  <si>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</si>
  <si>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</si>
  <si>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</si>
  <si>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</si>
  <si>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</si>
  <si>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</si>
  <si>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</si>
  <si>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</si>
  <si>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</si>
  <si>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</si>
  <si>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</si>
  <si>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</si>
  <si>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</si>
  <si>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</si>
  <si>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</si>
  <si>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</si>
  <si>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</si>
  <si>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</si>
  <si>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</si>
  <si>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</si>
  <si>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</si>
  <si>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</si>
  <si>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</si>
  <si>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</si>
  <si>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</si>
  <si>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</si>
  <si>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</si>
  <si>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</si>
  <si>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</si>
  <si>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</si>
  <si>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</si>
  <si>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</si>
  <si>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</si>
  <si>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</si>
  <si>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</si>
  <si>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</si>
  <si>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</si>
  <si>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</si>
  <si>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</si>
  <si>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</si>
  <si>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</si>
  <si>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</si>
  <si>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</si>
  <si>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</si>
  <si>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</si>
  <si>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</si>
  <si>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</si>
  <si>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</si>
  <si>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</si>
  <si>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</si>
  <si>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</si>
  <si>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</si>
  <si>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</si>
  <si>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</si>
  <si>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</si>
  <si>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</si>
  <si>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</si>
  <si>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</si>
  <si>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</si>
  <si>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</si>
  <si>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</si>
  <si>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</si>
  <si>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</si>
  <si>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</si>
  <si>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</si>
  <si>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</si>
  <si>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</si>
  <si>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</si>
  <si>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</si>
  <si>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</si>
  <si>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</si>
  <si>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</si>
  <si>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</si>
  <si>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</si>
  <si>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</si>
  <si>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</si>
  <si>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</si>
  <si>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</si>
  <si>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</si>
  <si>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</si>
  <si>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</si>
  <si>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</si>
  <si>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</si>
  <si>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</si>
  <si>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</si>
  <si>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</si>
  <si>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</si>
  <si>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</si>
  <si>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</si>
  <si>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</si>
  <si>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</si>
  <si>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</si>
  <si>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</si>
  <si>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</si>
  <si>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</si>
  <si>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</si>
  <si>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</si>
  <si>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</si>
  <si>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</si>
  <si>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</si>
  <si>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</si>
  <si>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</si>
  <si>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</si>
  <si>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</si>
  <si>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</si>
  <si>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</si>
  <si>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</si>
  <si>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</si>
  <si>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</si>
  <si>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</si>
  <si>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</si>
  <si>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</si>
  <si>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</si>
  <si>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</si>
  <si>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</si>
  <si>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</si>
  <si>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</si>
  <si>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</si>
  <si>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</si>
  <si>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</si>
  <si>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</si>
  <si>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</si>
  <si>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</si>
  <si>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</si>
  <si>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</si>
  <si>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</si>
  <si>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</si>
  <si>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</si>
  <si>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</si>
  <si>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</si>
  <si>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</si>
  <si>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</si>
  <si>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</si>
  <si>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</si>
  <si>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</si>
  <si>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</si>
  <si>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</si>
  <si>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</si>
  <si>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</si>
  <si>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</si>
  <si>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</si>
  <si>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</si>
  <si>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</si>
  <si>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</si>
  <si>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</si>
  <si>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</si>
  <si>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</si>
  <si>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</si>
  <si>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</si>
  <si>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</si>
  <si>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</si>
  <si>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</si>
  <si>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</si>
  <si>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</si>
  <si>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</si>
  <si>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</si>
  <si>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</si>
  <si>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</si>
  <si>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</si>
  <si>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</si>
  <si>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</si>
  <si>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</si>
  <si>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</si>
  <si>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</si>
  <si>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</si>
  <si>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</si>
  <si>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</si>
  <si>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</si>
  <si>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</si>
  <si>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</si>
  <si>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</si>
  <si>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</si>
  <si>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</si>
  <si>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</si>
  <si>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</si>
  <si>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</si>
  <si>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</si>
  <si>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</si>
  <si>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</si>
  <si>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</si>
  <si>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</si>
  <si>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</si>
  <si>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</si>
  <si>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</si>
  <si>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</si>
  <si>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</si>
  <si>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</si>
  <si>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</si>
  <si>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</si>
  <si>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</si>
  <si>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</si>
  <si>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</si>
  <si>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</si>
  <si>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</si>
  <si>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</si>
  <si>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</si>
  <si>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</si>
  <si>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</si>
  <si>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</si>
  <si>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</si>
  <si>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</si>
  <si>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</si>
  <si>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</si>
  <si>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</si>
  <si>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</si>
  <si>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</si>
  <si>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</si>
  <si>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</si>
  <si>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</si>
  <si>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</si>
  <si>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</si>
  <si>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</si>
  <si>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</si>
  <si>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</si>
  <si>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</si>
  <si>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</si>
  <si>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</si>
  <si>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</si>
  <si>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</si>
  <si>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</si>
  <si>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</si>
  <si>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</si>
  <si>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</si>
  <si>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</si>
  <si>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</si>
  <si>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</si>
  <si>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</si>
  <si>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</si>
  <si>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</si>
  <si>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</si>
  <si>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</si>
  <si>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</si>
  <si>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</si>
  <si>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</si>
  <si>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</si>
  <si>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</si>
  <si>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</si>
  <si>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</si>
  <si>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</si>
  <si>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</si>
  <si>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</si>
  <si>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</si>
  <si>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</si>
  <si>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</si>
  <si>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</si>
  <si>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</si>
  <si>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</si>
  <si>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</si>
  <si>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</si>
  <si>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</si>
  <si>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</si>
  <si>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</si>
  <si>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</si>
  <si>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</si>
  <si>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</si>
  <si>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</si>
  <si>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</si>
  <si>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</si>
  <si>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</si>
  <si>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</si>
  <si>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</si>
  <si>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</si>
  <si>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</si>
  <si>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</si>
  <si>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</si>
  <si>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</si>
  <si>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</si>
  <si>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</si>
  <si>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</si>
  <si>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</si>
  <si>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</si>
  <si>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</si>
  <si>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</si>
  <si>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</si>
  <si>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</si>
  <si>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</si>
  <si>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</si>
  <si>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</si>
  <si>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</si>
  <si>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</si>
  <si>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</si>
  <si>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</si>
  <si>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</si>
  <si>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</si>
  <si>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</si>
  <si>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</si>
  <si>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</si>
  <si>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</si>
  <si>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</si>
  <si>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</si>
  <si>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</si>
  <si>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</si>
  <si>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</si>
  <si>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</si>
  <si>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</si>
  <si>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</si>
  <si>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</si>
  <si>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</si>
  <si>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</si>
  <si>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</si>
  <si>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</si>
  <si>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</si>
  <si>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</si>
  <si>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</si>
  <si>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</si>
  <si>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</si>
  <si>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</si>
  <si>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</si>
  <si>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</si>
  <si>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</si>
  <si>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</si>
  <si>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</si>
  <si>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</si>
  <si>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</si>
  <si>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</si>
  <si>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</si>
  <si>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</si>
  <si>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</si>
  <si>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</si>
  <si>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</si>
  <si>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</si>
  <si>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</si>
  <si>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</si>
  <si>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</si>
  <si>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</si>
  <si>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</si>
  <si>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</si>
  <si>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</si>
  <si>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</si>
  <si>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</si>
  <si>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</si>
  <si>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</si>
  <si>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</si>
  <si>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</si>
  <si>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</si>
  <si>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</si>
  <si>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</si>
  <si>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</si>
  <si>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</si>
  <si>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</si>
  <si>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</si>
  <si>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</si>
  <si>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</si>
  <si>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</si>
  <si>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</si>
  <si>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</si>
  <si>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</si>
  <si>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</si>
  <si>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</si>
  <si>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</si>
  <si>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</si>
  <si>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</si>
  <si>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</si>
  <si>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</si>
  <si>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</si>
  <si>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</si>
  <si>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</si>
  <si>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</si>
  <si>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</si>
  <si>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</si>
  <si>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</si>
  <si>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</si>
  <si>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</si>
  <si>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</si>
  <si>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</si>
  <si>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</si>
  <si>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</si>
  <si>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</si>
  <si>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</si>
  <si>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</si>
  <si>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</si>
  <si>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</si>
  <si>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</si>
  <si>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</si>
  <si>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</si>
  <si>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</si>
  <si>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</si>
  <si>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</si>
  <si>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</si>
  <si>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</si>
  <si>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</si>
  <si>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</si>
  <si>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</si>
  <si>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</si>
  <si>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</si>
  <si>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</si>
  <si>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</si>
  <si>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</si>
  <si>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</si>
  <si>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</si>
  <si>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</si>
  <si>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</si>
  <si>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</si>
  <si>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</si>
  <si>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</si>
  <si>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</si>
  <si>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</si>
  <si>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</si>
  <si>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</si>
  <si>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</si>
  <si>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</si>
  <si>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</si>
  <si>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</si>
  <si>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</si>
  <si>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</si>
  <si>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</si>
  <si>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</si>
  <si>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</si>
  <si>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</si>
  <si>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</si>
  <si>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</si>
  <si>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</si>
  <si>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</si>
  <si>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</si>
  <si>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</si>
  <si>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</si>
  <si>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</si>
  <si>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</si>
  <si>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</si>
  <si>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</si>
  <si>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</si>
  <si>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</si>
  <si>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</si>
  <si>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</si>
  <si>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</si>
  <si>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</si>
  <si>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</si>
  <si>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</si>
  <si>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</si>
  <si>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</si>
  <si>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</si>
  <si>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</si>
  <si>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</si>
  <si>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</si>
  <si>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</si>
  <si>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</si>
  <si>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</si>
  <si>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</si>
  <si>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</si>
  <si>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</si>
  <si>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</si>
  <si>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</si>
  <si>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</si>
  <si>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</si>
  <si>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</si>
  <si>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</si>
  <si>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</si>
  <si>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</si>
  <si>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</si>
  <si>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</si>
  <si>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</si>
  <si>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</si>
  <si>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</si>
  <si>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</si>
  <si>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</si>
  <si>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</si>
  <si>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</si>
  <si>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</si>
  <si>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</si>
  <si>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</si>
  <si>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</si>
  <si>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</si>
  <si>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</si>
  <si>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</si>
  <si>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</si>
  <si>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</si>
  <si>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</si>
  <si>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</si>
  <si>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</si>
  <si>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</si>
  <si>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</si>
  <si>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</si>
  <si>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</si>
  <si>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</si>
  <si>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</si>
  <si>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</si>
  <si>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</si>
  <si>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</si>
  <si>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</si>
  <si>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</si>
  <si>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</si>
  <si>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</si>
  <si>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</si>
  <si>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</si>
  <si>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</si>
  <si>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</si>
  <si>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</si>
  <si>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</si>
  <si>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</si>
  <si>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</si>
  <si>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</si>
  <si>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</si>
  <si>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</si>
  <si>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</si>
  <si>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</si>
  <si>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</si>
  <si>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</si>
  <si>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</si>
  <si>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</si>
  <si>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</si>
  <si>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</si>
  <si>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</si>
  <si>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</si>
  <si>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</si>
  <si>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</si>
  <si>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</si>
  <si>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</si>
  <si>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</si>
  <si>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</si>
  <si>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</si>
  <si>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</si>
  <si>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</si>
  <si>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</si>
  <si>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</si>
  <si>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</si>
  <si>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</si>
  <si>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</si>
  <si>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</si>
  <si>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</si>
  <si>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</si>
  <si>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</si>
  <si>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</si>
  <si>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</si>
  <si>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</si>
  <si>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</si>
  <si>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</si>
  <si>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</si>
  <si>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</si>
  <si>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</si>
  <si>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</si>
  <si>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</si>
  <si>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</si>
  <si>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</si>
  <si>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</si>
  <si>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</si>
  <si>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</si>
  <si>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</si>
  <si>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</si>
  <si>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</si>
  <si>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</si>
  <si>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</si>
  <si>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</si>
  <si>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</si>
  <si>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</si>
  <si>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</si>
  <si>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</si>
  <si>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</si>
  <si>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</si>
  <si>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</si>
  <si>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</si>
  <si>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</si>
  <si>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</si>
  <si>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</si>
  <si>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</si>
  <si>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</si>
  <si>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</si>
  <si>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</si>
  <si>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</si>
  <si>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</si>
  <si>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</si>
  <si>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</si>
  <si>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</si>
  <si>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</si>
  <si>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</si>
  <si>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</si>
  <si>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</si>
  <si>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</si>
  <si>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</si>
  <si>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</si>
  <si>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</si>
  <si>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</si>
  <si>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</si>
  <si>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</si>
  <si>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</si>
  <si>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</si>
  <si>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</si>
  <si>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</si>
  <si>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</si>
  <si>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</si>
  <si>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</si>
  <si>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</si>
  <si>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</si>
  <si>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</si>
  <si>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</si>
  <si>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</si>
  <si>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</si>
  <si>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</si>
  <si>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</si>
  <si>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</si>
  <si>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</si>
  <si>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</si>
  <si>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</si>
  <si>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</si>
  <si>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</si>
  <si>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</si>
  <si>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</si>
  <si>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</si>
  <si>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</si>
  <si>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</si>
  <si>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</si>
  <si>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</si>
  <si>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</si>
  <si>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</si>
  <si>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</si>
  <si>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</si>
  <si>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</si>
  <si>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</si>
  <si>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</si>
  <si>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</si>
  <si>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</si>
  <si>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</si>
  <si>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</si>
  <si>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</si>
  <si>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</si>
  <si>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</si>
  <si>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</si>
  <si>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</si>
  <si>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</si>
  <si>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</si>
  <si>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</si>
  <si>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</si>
  <si>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</si>
  <si>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</si>
  <si>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</si>
  <si>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</si>
  <si>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</si>
  <si>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</si>
  <si>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</si>
  <si>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</si>
  <si>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</si>
  <si>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</si>
  <si>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</si>
  <si>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</si>
  <si>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</si>
  <si>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</si>
  <si>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</si>
  <si>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</si>
  <si>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</si>
  <si>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</si>
  <si>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</si>
  <si>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</si>
  <si>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</si>
  <si>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</si>
  <si>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</si>
  <si>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</si>
  <si>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</si>
  <si>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</si>
  <si>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</si>
  <si>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</si>
  <si>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</si>
  <si>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</si>
  <si>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</si>
  <si>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</si>
  <si>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</si>
  <si>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</si>
  <si>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</si>
  <si>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</si>
  <si>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</si>
  <si>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</si>
  <si>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</si>
  <si>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</si>
  <si>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</si>
  <si>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</si>
  <si>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</si>
  <si>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</si>
  <si>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</si>
  <si>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</si>
  <si>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</si>
  <si>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</si>
  <si>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</si>
  <si>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</si>
  <si>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</si>
  <si>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</si>
  <si>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</si>
  <si>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</si>
  <si>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</si>
  <si>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</si>
  <si>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</si>
  <si>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</si>
  <si>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</si>
  <si>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</si>
  <si>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</si>
  <si>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</si>
  <si>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</si>
  <si>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</si>
  <si>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</si>
  <si>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</si>
  <si>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</si>
  <si>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</si>
  <si>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</si>
  <si>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</si>
  <si>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</si>
  <si>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</si>
  <si>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</si>
  <si>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</si>
  <si>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</si>
  <si>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</si>
  <si>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</si>
  <si>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</si>
  <si>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</si>
  <si>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</si>
  <si>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</si>
  <si>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</si>
  <si>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</si>
  <si>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</si>
  <si>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</si>
  <si>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</si>
  <si>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</si>
  <si>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</si>
  <si>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</si>
  <si>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</si>
  <si>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</si>
  <si>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</si>
  <si>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</si>
  <si>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</si>
  <si>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</si>
  <si>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</si>
  <si>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</si>
  <si>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</si>
  <si>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</si>
  <si>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</si>
  <si>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</si>
  <si>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</si>
  <si>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</si>
  <si>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</si>
  <si>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</si>
  <si>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</si>
  <si>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</si>
  <si>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</si>
  <si>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</si>
  <si>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</si>
  <si>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</si>
  <si>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</si>
  <si>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</si>
  <si>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</si>
  <si>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</si>
  <si>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</si>
  <si>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</si>
  <si>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</si>
  <si>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</si>
  <si>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</si>
  <si>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</si>
  <si>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</si>
  <si>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</si>
  <si>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</si>
  <si>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</si>
  <si>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</si>
  <si>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</si>
  <si>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</si>
  <si>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</si>
  <si>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</si>
  <si>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</si>
  <si>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</si>
  <si>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</si>
  <si>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</si>
  <si>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</si>
  <si>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</si>
  <si>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</si>
  <si>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</si>
  <si>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</si>
  <si>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</si>
  <si>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</si>
  <si>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</si>
  <si>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</si>
  <si>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</si>
  <si>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</si>
  <si>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</si>
  <si>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</si>
  <si>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</si>
  <si>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</si>
  <si>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</si>
  <si>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</si>
  <si>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</si>
  <si>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</si>
  <si>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</si>
  <si>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</si>
  <si>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</si>
  <si>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</si>
  <si>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</si>
  <si>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</si>
  <si>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</si>
  <si>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</si>
  <si>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</si>
  <si>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</si>
  <si>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</si>
  <si>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</si>
  <si>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</si>
  <si>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</si>
  <si>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</si>
  <si>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</si>
  <si>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</si>
  <si>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</si>
  <si>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</si>
  <si>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</si>
  <si>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</si>
  <si>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</si>
  <si>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</si>
  <si>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</si>
  <si>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</si>
  <si>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</si>
  <si>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</si>
  <si>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</si>
  <si>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</si>
  <si>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</si>
  <si>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</si>
  <si>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</si>
  <si>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</si>
  <si>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</si>
  <si>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</si>
  <si>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</si>
  <si>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</si>
  <si>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</si>
  <si>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</si>
  <si>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</si>
  <si>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</si>
  <si>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</si>
  <si>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</si>
  <si>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</si>
  <si>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</si>
  <si>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</si>
  <si>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</si>
  <si>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</si>
  <si>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</si>
  <si>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</si>
  <si>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</si>
  <si>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</si>
  <si>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</si>
  <si>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</si>
  <si>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</si>
  <si>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</si>
  <si>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</si>
  <si>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</si>
  <si>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</si>
  <si>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</si>
  <si>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</si>
  <si>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</si>
  <si>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</si>
  <si>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</si>
  <si>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</si>
  <si>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</si>
  <si>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</si>
  <si>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</si>
  <si>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</si>
  <si>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</si>
  <si>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</si>
  <si>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</si>
  <si>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</si>
  <si>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</si>
  <si>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</si>
  <si>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</si>
  <si>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</si>
  <si>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</si>
  <si>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</si>
  <si>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</si>
  <si>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</si>
  <si>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</si>
  <si>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</si>
  <si>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</si>
  <si>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</si>
  <si>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</si>
  <si>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</si>
  <si>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</si>
  <si>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</si>
  <si>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</si>
  <si>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</si>
  <si>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</si>
  <si>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</si>
  <si>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</si>
  <si>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</si>
  <si>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</si>
  <si>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</si>
  <si>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</si>
  <si>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</si>
  <si>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</si>
  <si>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</si>
  <si>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</si>
  <si>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</si>
  <si>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</si>
  <si>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</si>
  <si>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</si>
  <si>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</si>
  <si>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</si>
  <si>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</si>
  <si>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</si>
  <si>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</si>
  <si>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</si>
  <si>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</si>
  <si>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</si>
  <si>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</si>
  <si>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</si>
  <si>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</si>
  <si>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</si>
  <si>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</si>
  <si>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</si>
  <si>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</si>
  <si>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</si>
  <si>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</si>
  <si>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</si>
  <si>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</si>
  <si>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</si>
  <si>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</si>
  <si>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</si>
  <si>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</si>
  <si>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</si>
  <si>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</si>
  <si>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</si>
  <si>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</si>
  <si>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</si>
  <si>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</si>
  <si>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</si>
  <si>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</si>
  <si>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</si>
  <si>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</si>
  <si>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</si>
  <si>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</si>
  <si>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</si>
  <si>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</si>
  <si>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</si>
  <si>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</si>
  <si>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</si>
  <si>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</si>
  <si>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</si>
  <si>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</si>
  <si>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</si>
  <si>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</si>
  <si>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</si>
  <si>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</si>
  <si>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</si>
  <si>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</si>
  <si>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</si>
  <si>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</si>
  <si>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</si>
  <si>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</si>
  <si>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</si>
  <si>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</si>
  <si>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</si>
  <si>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</si>
  <si>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</si>
  <si>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</si>
  <si>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</si>
  <si>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</si>
  <si>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</si>
  <si>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</si>
  <si>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</si>
  <si>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</si>
  <si>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</si>
  <si>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</si>
  <si>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</si>
  <si>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</si>
  <si>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</si>
  <si>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</si>
  <si>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</si>
  <si>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</si>
  <si>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</si>
  <si>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</si>
  <si>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</si>
  <si>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</si>
  <si>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</si>
  <si>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</si>
  <si>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</si>
  <si>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</si>
  <si>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</si>
  <si>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</si>
  <si>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</si>
  <si>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</si>
  <si>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</si>
  <si>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</si>
  <si>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</si>
  <si>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</si>
  <si>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</si>
  <si>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</si>
  <si>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</si>
  <si>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</si>
  <si>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</si>
  <si>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</si>
  <si>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</si>
  <si>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</si>
  <si>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</si>
  <si>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</si>
  <si>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</si>
  <si>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</si>
  <si>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</si>
  <si>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</si>
  <si>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</si>
  <si>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</si>
  <si>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</si>
  <si>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</si>
  <si>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</si>
  <si>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</si>
  <si>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</si>
  <si>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</si>
  <si>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</si>
  <si>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</si>
  <si>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</si>
  <si>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</si>
  <si>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</si>
  <si>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</si>
  <si>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</si>
  <si>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</si>
  <si>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</si>
  <si>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</si>
  <si>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</si>
  <si>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</si>
  <si>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</si>
  <si>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</si>
  <si>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</si>
  <si>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</si>
  <si>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</si>
  <si>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</si>
  <si>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</si>
  <si>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</si>
  <si>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</si>
  <si>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</si>
  <si>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</si>
  <si>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</si>
  <si>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</si>
  <si>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</si>
  <si>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</si>
  <si>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</si>
  <si>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</si>
  <si>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</si>
  <si>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</si>
  <si>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</si>
  <si>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</si>
  <si>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</si>
  <si>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</si>
  <si>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</si>
  <si>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</si>
  <si>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</si>
  <si>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</si>
  <si>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</si>
  <si>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</si>
  <si>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</si>
  <si>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</si>
  <si>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</si>
  <si>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</si>
  <si>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</si>
  <si>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</si>
  <si>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</si>
  <si>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</si>
  <si>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</si>
  <si>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</si>
  <si>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</si>
  <si>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</si>
  <si>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</si>
  <si>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</si>
  <si>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</si>
  <si>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</si>
  <si>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</si>
  <si>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</si>
  <si>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</si>
  <si>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</si>
  <si>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</si>
  <si>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</si>
  <si>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</si>
  <si>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</si>
  <si>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</si>
  <si>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</si>
  <si>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</si>
  <si>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</si>
  <si>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</si>
  <si>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</si>
  <si>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</si>
  <si>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</si>
  <si>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</si>
  <si>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</si>
  <si>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</si>
  <si>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</si>
  <si>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</si>
  <si>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</si>
  <si>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</si>
  <si>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</si>
  <si>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</si>
  <si>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</si>
  <si>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</si>
  <si>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</si>
  <si>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</si>
  <si>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</si>
  <si>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</si>
  <si>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</si>
  <si>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</si>
  <si>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</si>
  <si>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</si>
  <si>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</si>
  <si>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</si>
  <si>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</si>
  <si>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</si>
  <si>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</si>
  <si>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</si>
  <si>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</si>
  <si>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</si>
  <si>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</si>
  <si>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</si>
  <si>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</si>
  <si>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</si>
  <si>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</si>
  <si>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</si>
  <si>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</si>
  <si>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</si>
  <si>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</si>
  <si>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</si>
  <si>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</si>
  <si>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</si>
  <si>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</si>
  <si>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</si>
  <si>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</si>
  <si>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</si>
  <si>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</si>
  <si>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</si>
  <si>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</si>
  <si>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</si>
  <si>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</si>
  <si>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</si>
  <si>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</si>
  <si>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</si>
  <si>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</si>
  <si>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</si>
  <si>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</si>
  <si>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</si>
  <si>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</si>
  <si>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</si>
  <si>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</si>
  <si>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</si>
  <si>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</si>
  <si>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</si>
  <si>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</si>
  <si>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</si>
  <si>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</si>
  <si>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</si>
  <si>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</si>
  <si>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</si>
  <si>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</si>
  <si>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</si>
  <si>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</si>
  <si>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</si>
  <si>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</si>
  <si>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</si>
  <si>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</si>
  <si>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</si>
  <si>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</si>
  <si>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</si>
  <si>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</si>
  <si>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</si>
  <si>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</si>
  <si>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</si>
  <si>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</si>
  <si>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</si>
  <si>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</si>
  <si>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</si>
  <si>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</si>
  <si>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</si>
  <si>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</si>
  <si>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</si>
  <si>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</si>
  <si>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</si>
  <si>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</si>
  <si>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</si>
  <si>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</si>
  <si>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</si>
  <si>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</si>
  <si>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</si>
  <si>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</si>
  <si>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</si>
  <si>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</si>
  <si>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</si>
  <si>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</si>
  <si>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</si>
  <si>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</si>
  <si>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</si>
  <si>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</si>
  <si>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</si>
  <si>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</si>
  <si>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</si>
  <si>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</si>
  <si>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</si>
  <si>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</si>
  <si>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</si>
  <si>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</si>
  <si>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</si>
  <si>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</si>
  <si>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</si>
  <si>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</si>
  <si>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</si>
  <si>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</si>
  <si>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</si>
  <si>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</si>
  <si>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</si>
  <si>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</si>
  <si>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</si>
  <si>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</si>
  <si>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</si>
  <si>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</si>
  <si>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</si>
  <si>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</si>
  <si>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</si>
  <si>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</si>
  <si>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</si>
  <si>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</si>
  <si>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</si>
  <si>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</si>
  <si>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</si>
  <si>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</si>
  <si>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</si>
  <si>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</si>
  <si>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</si>
  <si>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</si>
  <si>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</si>
  <si>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</si>
  <si>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</si>
  <si>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</si>
  <si>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</si>
  <si>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</si>
  <si>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</si>
  <si>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</si>
  <si>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</si>
  <si>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</si>
  <si>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</si>
  <si>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</si>
  <si>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</si>
  <si>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</si>
  <si>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</si>
  <si>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</si>
  <si>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</si>
  <si>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</si>
  <si>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</si>
  <si>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</si>
  <si>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</si>
  <si>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</si>
  <si>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</si>
  <si>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</si>
  <si>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</si>
  <si>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</si>
  <si>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</si>
  <si>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</si>
  <si>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</si>
  <si>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</si>
  <si>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</si>
  <si>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</si>
  <si>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</si>
  <si>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</si>
  <si>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</si>
  <si>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</si>
  <si>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</si>
  <si>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</si>
  <si>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</si>
  <si>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</si>
  <si>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</si>
  <si>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</si>
  <si>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</si>
  <si>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</si>
  <si>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</si>
  <si>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</si>
  <si>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</si>
  <si>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</si>
  <si>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</si>
  <si>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</si>
  <si>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</si>
  <si>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</si>
  <si>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</si>
  <si>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</si>
  <si>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</si>
  <si>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</si>
  <si>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</si>
  <si>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</si>
  <si>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</si>
  <si>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</si>
  <si>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</si>
  <si>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</si>
  <si>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</si>
  <si>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</si>
  <si>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</si>
  <si>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</si>
  <si>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</si>
  <si>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</si>
  <si>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</si>
  <si>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</si>
  <si>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</si>
  <si>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</si>
  <si>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</si>
  <si>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</si>
  <si>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</si>
  <si>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</si>
  <si>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</si>
  <si>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</si>
  <si>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</si>
  <si>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</si>
  <si>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</si>
  <si>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</si>
  <si>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</si>
  <si>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</si>
  <si>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</si>
  <si>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</si>
  <si>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</si>
  <si>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</si>
  <si>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</si>
  <si>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</si>
  <si>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</si>
  <si>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</si>
  <si>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</si>
  <si>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</si>
  <si>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</si>
  <si>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</si>
  <si>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</si>
  <si>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</si>
  <si>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</si>
  <si>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</si>
  <si>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</si>
  <si>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</si>
  <si>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</si>
  <si>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</si>
  <si>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</si>
  <si>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</si>
  <si>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</si>
  <si>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</si>
  <si>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</si>
  <si>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</si>
  <si>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</si>
  <si>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</si>
  <si>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</si>
  <si>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</si>
  <si>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</si>
  <si>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</si>
  <si>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</si>
  <si>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</si>
  <si>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</si>
  <si>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</si>
  <si>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</si>
  <si>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</si>
  <si>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</si>
  <si>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</si>
  <si>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</si>
  <si>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</si>
  <si>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</si>
  <si>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</si>
  <si>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</si>
  <si>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</si>
  <si>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</si>
  <si>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</si>
  <si>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</si>
  <si>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</si>
  <si>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</si>
  <si>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</si>
  <si>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</si>
  <si>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</si>
  <si>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</si>
  <si>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</si>
  <si>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</si>
  <si>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</si>
  <si>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</si>
  <si>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</si>
  <si>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</si>
  <si>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</si>
  <si>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</si>
  <si>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</si>
  <si>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</si>
  <si>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</si>
  <si>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</si>
  <si>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</si>
  <si>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</si>
  <si>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</si>
  <si>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</si>
  <si>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</si>
  <si>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</si>
  <si>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</si>
  <si>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</si>
  <si>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</si>
  <si>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</si>
  <si>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</si>
  <si>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</si>
  <si>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</si>
  <si>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</si>
  <si>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</si>
  <si>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</si>
  <si>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</si>
  <si>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</si>
  <si>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</si>
  <si>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</si>
  <si>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</si>
  <si>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</si>
  <si>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</si>
  <si>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</si>
  <si>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</si>
  <si>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</si>
  <si>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</si>
  <si>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</si>
  <si>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</si>
  <si>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</si>
  <si>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</si>
  <si>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</si>
  <si>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</si>
  <si>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</si>
  <si>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</si>
  <si>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</si>
  <si>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</si>
  <si>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</si>
  <si>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</si>
  <si>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</si>
  <si>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</si>
  <si>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</si>
  <si>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</si>
  <si>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</si>
  <si>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</si>
  <si>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</si>
  <si>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</si>
  <si>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</si>
  <si>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</si>
  <si>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</si>
  <si>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</si>
  <si>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</si>
  <si>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</si>
  <si>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</si>
  <si>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</si>
  <si>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</si>
  <si>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</si>
  <si>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</si>
  <si>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</si>
  <si>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</si>
  <si>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</si>
  <si>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</si>
  <si>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</si>
  <si>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</si>
  <si>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</si>
  <si>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</si>
  <si>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</si>
  <si>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</si>
  <si>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</si>
  <si>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</si>
  <si>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</si>
  <si>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</si>
  <si>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</si>
  <si>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</si>
  <si>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</si>
  <si>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</si>
  <si>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</si>
  <si>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</si>
  <si>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</si>
  <si>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</si>
  <si>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</si>
  <si>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</si>
  <si>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</si>
  <si>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</si>
  <si>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</si>
  <si>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</si>
  <si>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</si>
  <si>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</si>
  <si>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</si>
  <si>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</si>
  <si>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</si>
  <si>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</si>
  <si>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</si>
  <si>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</si>
  <si>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</si>
  <si>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</si>
  <si>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</si>
  <si>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</si>
  <si>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</si>
  <si>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</si>
  <si>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</si>
  <si>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</si>
  <si>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</si>
  <si>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</si>
  <si>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</si>
  <si>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</si>
  <si>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</si>
  <si>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</si>
  <si>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</si>
  <si>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</si>
  <si>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</si>
  <si>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</si>
  <si>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</si>
  <si>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</si>
  <si>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</si>
  <si>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</si>
  <si>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</si>
  <si>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</si>
  <si>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</si>
  <si>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</si>
  <si>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</si>
  <si>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</si>
  <si>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</si>
  <si>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</si>
  <si>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</si>
  <si>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</si>
  <si>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</si>
  <si>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</si>
  <si>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</si>
  <si>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</si>
  <si>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</si>
  <si>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</si>
  <si>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</si>
  <si>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</si>
  <si>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</si>
  <si>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</si>
  <si>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</si>
  <si>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</si>
  <si>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</si>
  <si>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</si>
  <si>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</si>
  <si>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</si>
  <si>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</si>
  <si>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</si>
  <si>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</si>
  <si>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</si>
  <si>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</si>
  <si>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</si>
  <si>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</si>
  <si>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</si>
  <si>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</si>
  <si>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</si>
  <si>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</si>
  <si>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</si>
  <si>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</si>
  <si>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</si>
  <si>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</si>
  <si>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</si>
  <si>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</si>
  <si>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</si>
  <si>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</si>
  <si>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</si>
  <si>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</si>
  <si>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</si>
  <si>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</si>
  <si>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</si>
  <si>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</si>
  <si>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</si>
  <si>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</si>
  <si>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</si>
  <si>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</si>
  <si>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</si>
  <si>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</si>
  <si>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</si>
  <si>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</si>
  <si>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</si>
  <si>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</si>
  <si>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</si>
  <si>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</si>
  <si>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</si>
  <si>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</si>
  <si>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</si>
  <si>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</si>
  <si>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</si>
  <si>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</si>
  <si>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</si>
  <si>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</si>
  <si>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</si>
  <si>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</si>
  <si>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</si>
  <si>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</si>
  <si>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</si>
  <si>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</si>
  <si>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</si>
  <si>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</si>
  <si>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</si>
  <si>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</si>
  <si>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</si>
  <si>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</si>
  <si>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</si>
  <si>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</si>
  <si>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</si>
  <si>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</si>
  <si>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</si>
  <si>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</si>
  <si>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</si>
  <si>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</si>
  <si>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</si>
  <si>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</si>
  <si>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</si>
  <si>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</si>
  <si>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</si>
  <si>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</si>
  <si>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</si>
  <si>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</si>
  <si>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</si>
  <si>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</si>
  <si>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</si>
  <si>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</si>
  <si>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</si>
  <si>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</si>
  <si>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</si>
  <si>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</si>
  <si>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</si>
  <si>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</si>
  <si>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</si>
  <si>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</si>
  <si>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</si>
  <si>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</si>
  <si>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</si>
  <si>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</si>
  <si>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</si>
  <si>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</si>
  <si>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</si>
  <si>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</si>
  <si>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</si>
  <si>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</si>
  <si>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</si>
  <si>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</si>
  <si>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</si>
  <si>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</si>
  <si>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</si>
  <si>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</si>
  <si>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</si>
  <si>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</si>
  <si>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</si>
  <si>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</si>
  <si>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</si>
  <si>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</si>
  <si>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</si>
  <si>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</si>
  <si>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</si>
  <si>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</si>
  <si>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</si>
  <si>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</si>
  <si>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</si>
  <si>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</si>
  <si>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</si>
  <si>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</si>
  <si>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</si>
  <si>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</si>
  <si>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</si>
  <si>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</si>
  <si>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</si>
  <si>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</si>
  <si>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</si>
  <si>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</si>
  <si>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</si>
  <si>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</si>
  <si>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</si>
  <si>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</si>
  <si>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</si>
  <si>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</si>
  <si>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</si>
  <si>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</si>
  <si>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</si>
  <si>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</si>
  <si>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</si>
  <si>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</si>
  <si>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</si>
  <si>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</si>
  <si>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</si>
  <si>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</si>
  <si>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</si>
  <si>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</si>
  <si>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</si>
  <si>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</si>
  <si>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</si>
  <si>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</si>
  <si>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</si>
  <si>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</si>
  <si>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</si>
  <si>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</si>
  <si>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</si>
  <si>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</si>
  <si>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</si>
  <si>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</si>
  <si>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</si>
  <si>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</si>
  <si>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</si>
  <si>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</si>
  <si>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</si>
  <si>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</si>
  <si>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</si>
  <si>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</si>
  <si>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</si>
  <si>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</si>
  <si>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</si>
  <si>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</si>
  <si>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</si>
  <si>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</si>
  <si>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</si>
  <si>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</si>
  <si>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</si>
  <si>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</si>
  <si>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</si>
  <si>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</si>
  <si>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</si>
  <si>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</si>
  <si>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</si>
  <si>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</si>
  <si>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</si>
  <si>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</si>
  <si>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</si>
  <si>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</si>
  <si>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</si>
  <si>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</si>
  <si>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</si>
  <si>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</si>
  <si>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</si>
  <si>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</si>
  <si>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</si>
  <si>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</si>
  <si>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</si>
  <si>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</si>
  <si>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</si>
  <si>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</si>
  <si>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</si>
  <si>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</si>
  <si>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</si>
  <si>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</si>
  <si>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</si>
  <si>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</si>
  <si>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</si>
  <si>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</si>
  <si>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</si>
  <si>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</si>
  <si>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</si>
  <si>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</si>
  <si>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</si>
  <si>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</si>
  <si>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</si>
  <si>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</si>
  <si>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</si>
  <si>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</si>
  <si>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</si>
  <si>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</si>
  <si>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</si>
  <si>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</si>
  <si>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</si>
  <si>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</si>
  <si>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</si>
  <si>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</si>
  <si>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</si>
  <si>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</si>
  <si>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</si>
  <si>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</si>
  <si>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</si>
  <si>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</si>
  <si>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</si>
  <si>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</si>
  <si>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</si>
  <si>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</si>
  <si>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</si>
  <si>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</si>
  <si>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</si>
  <si>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</si>
  <si>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</si>
  <si>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</si>
  <si>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</si>
  <si>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</si>
  <si>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</si>
  <si>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</si>
  <si>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</si>
  <si>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</si>
  <si>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</si>
  <si>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</si>
  <si>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</si>
  <si>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</si>
  <si>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</si>
  <si>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</si>
  <si>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</si>
  <si>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</si>
  <si>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</si>
  <si>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</si>
  <si>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</si>
  <si>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</si>
  <si>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</si>
  <si>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</si>
  <si>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</si>
  <si>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</si>
  <si>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</si>
  <si>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</si>
  <si>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</si>
  <si>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</si>
  <si>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</si>
  <si>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</si>
  <si>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</si>
  <si>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</si>
  <si>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</si>
  <si>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</si>
  <si>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</si>
  <si>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</si>
  <si>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</si>
  <si>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</si>
  <si>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</si>
  <si>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</si>
  <si>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</si>
  <si>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</si>
  <si>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</si>
  <si>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</si>
  <si>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</si>
  <si>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</si>
  <si>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</si>
  <si>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</si>
  <si>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</si>
  <si>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</si>
  <si>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</si>
  <si>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</si>
  <si>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</si>
  <si>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</si>
  <si>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</si>
  <si>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</si>
  <si>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</si>
  <si>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</si>
  <si>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</si>
  <si>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</si>
  <si>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</si>
  <si>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</si>
  <si>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</si>
  <si>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</si>
  <si>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</si>
  <si>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</si>
  <si>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</si>
  <si>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</si>
  <si>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</si>
  <si>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</si>
  <si>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</si>
  <si>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</si>
  <si>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</si>
  <si>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</si>
  <si>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</si>
  <si>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</si>
  <si>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</si>
  <si>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</si>
  <si>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</si>
  <si>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</si>
  <si>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</si>
  <si>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</si>
  <si>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</si>
  <si>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</si>
  <si>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</si>
  <si>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</si>
  <si>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</si>
  <si>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</si>
  <si>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</si>
  <si>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</si>
  <si>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</si>
  <si>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</si>
  <si>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</si>
  <si>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</si>
  <si>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</si>
  <si>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</si>
  <si>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</si>
  <si>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</si>
  <si>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</si>
  <si>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</si>
  <si>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</si>
  <si>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</si>
  <si>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</si>
  <si>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</si>
  <si>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</si>
  <si>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</si>
  <si>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</si>
  <si>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</si>
  <si>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</si>
  <si>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</si>
  <si>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</si>
  <si>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</si>
  <si>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</si>
  <si>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</si>
  <si>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</si>
  <si>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</si>
  <si>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</si>
  <si>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</si>
  <si>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</si>
  <si>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</si>
  <si>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</si>
  <si>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</si>
  <si>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</si>
  <si>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</si>
  <si>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</si>
  <si>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</si>
  <si>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</si>
  <si>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</si>
  <si>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</si>
  <si>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</si>
  <si>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</si>
  <si>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</si>
  <si>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</si>
  <si>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</si>
  <si>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</si>
  <si>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</si>
  <si>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</si>
  <si>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</si>
  <si>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</si>
  <si>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</si>
  <si>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</si>
  <si>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</si>
  <si>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</si>
  <si>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</si>
  <si>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</si>
  <si>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</si>
  <si>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</si>
  <si>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</si>
  <si>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</si>
  <si>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</si>
  <si>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</si>
  <si>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</si>
  <si>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</si>
  <si>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</si>
  <si>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</si>
  <si>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</si>
  <si>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</si>
  <si>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</si>
  <si>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</si>
  <si>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</si>
  <si>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</si>
  <si>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</si>
  <si>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</si>
  <si>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</si>
  <si>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</si>
  <si>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</si>
  <si>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</si>
  <si>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</si>
  <si>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</si>
  <si>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</si>
  <si>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</si>
  <si>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</si>
  <si>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</si>
  <si>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</si>
  <si>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</si>
  <si>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</si>
  <si>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</si>
  <si>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</si>
  <si>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</si>
  <si>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</si>
  <si>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</si>
  <si>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</si>
  <si>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</si>
  <si>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</si>
  <si>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</si>
  <si>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</si>
  <si>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</si>
  <si>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</si>
  <si>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</si>
  <si>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</si>
  <si>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</si>
  <si>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</si>
  <si>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</si>
  <si>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</si>
  <si>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</si>
  <si>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</si>
  <si>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</si>
  <si>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</si>
  <si>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</si>
  <si>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</si>
  <si>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</si>
  <si>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</si>
  <si>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</si>
  <si>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</si>
  <si>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</si>
  <si>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</si>
  <si>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</si>
  <si>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</si>
  <si>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</si>
  <si>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</si>
  <si>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</si>
  <si>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</si>
  <si>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</si>
  <si>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</si>
  <si>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</si>
  <si>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</si>
  <si>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</si>
  <si>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</si>
  <si>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</si>
  <si>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</si>
  <si>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</si>
  <si>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</si>
  <si>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</si>
  <si>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</si>
  <si>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</si>
  <si>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</si>
  <si>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</si>
  <si>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</si>
  <si>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</si>
  <si>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</si>
  <si>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</si>
  <si>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</si>
  <si>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</si>
  <si>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</si>
  <si>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</si>
  <si>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</si>
  <si>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</si>
  <si>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</si>
  <si>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</si>
  <si>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</si>
  <si>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</si>
  <si>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</si>
  <si>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</si>
  <si>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</si>
  <si>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</si>
  <si>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</si>
  <si>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</si>
  <si>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</si>
  <si>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</si>
  <si>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</si>
  <si>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</si>
  <si>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</si>
  <si>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</si>
  <si>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</si>
  <si>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</si>
  <si>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</si>
  <si>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</si>
  <si>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</si>
  <si>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</si>
  <si>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</si>
  <si>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</si>
  <si>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</si>
  <si>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</si>
  <si>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</si>
  <si>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</si>
  <si>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</si>
  <si>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</si>
  <si>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</si>
  <si>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</si>
  <si>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</si>
  <si>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</si>
  <si>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</si>
  <si>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</si>
  <si>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</si>
  <si>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</si>
  <si>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</si>
  <si>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</si>
  <si>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</si>
  <si>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</si>
  <si>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</si>
  <si>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</si>
  <si>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</si>
  <si>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</si>
  <si>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</si>
  <si>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</si>
  <si>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</si>
  <si>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</si>
  <si>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</si>
  <si>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</si>
  <si>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</si>
  <si>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</si>
  <si>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</si>
  <si>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</si>
  <si>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</si>
  <si>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</si>
  <si>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</si>
  <si>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</si>
  <si>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</si>
  <si>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</si>
  <si>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</si>
  <si>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</si>
  <si>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</si>
  <si>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</si>
  <si>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</si>
  <si>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</si>
  <si>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</si>
  <si>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</si>
  <si>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</si>
  <si>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</si>
  <si>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</si>
  <si>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</si>
  <si>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</si>
  <si>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</si>
  <si>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</si>
  <si>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</si>
  <si>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</si>
  <si>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</si>
  <si>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</si>
  <si>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</si>
  <si>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</si>
  <si>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</si>
  <si>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</si>
  <si>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</si>
  <si>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</si>
  <si>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</si>
  <si>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</si>
  <si>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</si>
  <si>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</si>
  <si>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</si>
  <si>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</si>
  <si>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</si>
  <si>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</si>
  <si>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</si>
  <si>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</si>
  <si>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</si>
  <si>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</si>
  <si>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</si>
  <si>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</si>
  <si>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</si>
  <si>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</si>
  <si>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</si>
  <si>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</si>
  <si>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</si>
  <si>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</si>
  <si>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</si>
  <si>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</si>
  <si>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</si>
  <si>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</si>
  <si>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</si>
  <si>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</si>
  <si>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</si>
  <si>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</si>
  <si>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</si>
  <si>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</si>
  <si>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</si>
  <si>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</si>
  <si>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</si>
  <si>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</si>
  <si>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</si>
  <si>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</si>
  <si>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</si>
  <si>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</si>
  <si>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</si>
  <si>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</si>
  <si>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</si>
  <si>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</si>
  <si>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</si>
  <si>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</si>
  <si>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</si>
  <si>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</si>
  <si>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</si>
  <si>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</si>
  <si>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</si>
  <si>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</si>
  <si>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</si>
  <si>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</si>
  <si>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</si>
  <si>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</si>
  <si>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</si>
  <si>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</si>
  <si>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</si>
  <si>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</si>
  <si>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</si>
  <si>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</si>
  <si>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</si>
  <si>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</si>
  <si>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</si>
  <si>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</si>
  <si>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</si>
  <si>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</si>
  <si>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</si>
  <si>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</si>
  <si>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</si>
  <si>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</si>
  <si>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</si>
  <si>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</si>
  <si>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</si>
  <si>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</si>
  <si>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</si>
  <si>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</si>
  <si>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</si>
  <si>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</si>
  <si>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</si>
  <si>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</si>
  <si>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</si>
  <si>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</si>
  <si>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</si>
  <si>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</si>
  <si>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</si>
  <si>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</si>
  <si>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</si>
  <si>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</si>
  <si>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</si>
  <si>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</si>
  <si>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</si>
  <si>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</si>
  <si>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</si>
  <si>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</si>
  <si>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</si>
  <si>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</si>
  <si>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</si>
  <si>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</si>
  <si>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</si>
  <si>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</si>
  <si>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</si>
  <si>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</si>
  <si>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</si>
  <si>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</si>
  <si>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</si>
  <si>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</si>
  <si>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</si>
  <si>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</si>
  <si>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</si>
  <si>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</si>
  <si>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</si>
  <si>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</si>
  <si>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</si>
  <si>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</si>
  <si>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</si>
  <si>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</si>
  <si>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</si>
  <si>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</si>
  <si>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</si>
  <si>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</si>
  <si>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</si>
  <si>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</si>
  <si>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</si>
  <si>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</si>
  <si>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</si>
  <si>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</si>
  <si>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</si>
  <si>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</si>
  <si>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</si>
  <si>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</si>
  <si>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</si>
  <si>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</si>
  <si>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</si>
  <si>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</si>
  <si>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</si>
  <si>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</si>
  <si>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</si>
  <si>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</si>
  <si>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</si>
  <si>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</si>
  <si>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</si>
  <si>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</si>
  <si>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</si>
  <si>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</si>
  <si>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</si>
  <si>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</si>
  <si>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</si>
  <si>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</si>
  <si>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</si>
  <si>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</si>
  <si>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</si>
  <si>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</si>
  <si>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</si>
  <si>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</si>
  <si>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</si>
  <si>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</si>
  <si>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</si>
  <si>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</si>
  <si>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</si>
  <si>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</si>
  <si>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</si>
  <si>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</si>
  <si>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</si>
  <si>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</si>
  <si>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</si>
  <si>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</si>
  <si>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</si>
  <si>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</si>
  <si>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</si>
  <si>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</si>
  <si>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</si>
  <si>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</si>
  <si>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</si>
  <si>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</si>
  <si>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</si>
  <si>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</si>
  <si>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</si>
  <si>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</si>
  <si>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</si>
  <si>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昌平区龙域北街</t>
    </r>
    <r>
      <rPr>
        <sz val="10"/>
        <color theme="9" tint="-0.249977111117893"/>
        <rFont val="Arial"/>
        <family val="2"/>
      </rPr>
      <t>3</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20</t>
    </r>
    <r>
      <rPr>
        <sz val="10"/>
        <color theme="9" tint="-0.249977111117893"/>
        <rFont val="宋体"/>
        <family val="3"/>
        <charset val="134"/>
      </rPr>
      <t>层</t>
    </r>
    <r>
      <rPr>
        <sz val="10"/>
        <color theme="9" tint="-0.249977111117893"/>
        <rFont val="Arial"/>
        <family val="2"/>
      </rPr>
      <t>2006</t>
    </r>
    <phoneticPr fontId="6" type="noConversion"/>
  </si>
  <si>
    <t>爱阅宝（北京）科技有限公司</t>
    <phoneticPr fontId="6" type="noConversion"/>
  </si>
  <si>
    <t>是</t>
  </si>
  <si>
    <t>地上</t>
  </si>
  <si>
    <t>正评</t>
    <phoneticPr fontId="134" type="noConversion"/>
  </si>
  <si>
    <t>单价</t>
    <phoneticPr fontId="134" type="noConversion"/>
  </si>
  <si>
    <t>总价</t>
    <phoneticPr fontId="134" type="noConversion"/>
  </si>
  <si>
    <t>复估单</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</si>
</sst>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60" fillId="5" borderId="0" xfId="12" applyFont="1" applyFill="1" applyAlignment="1" applyProtection="1">
      <alignment horizontal="left" vertical="center" wrapText="1"/>
      <protection locked="0"/>
    </xf>
    <xf numFmtId="0" fontId="159" fillId="5" borderId="0" xfId="12" applyFill="1" applyAlignment="1" applyProtection="1">
      <alignment horizontal="left"/>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303543</xdr:colOff>
      <xdr:row>36</xdr:row>
      <xdr:rowOff>6796</xdr:rowOff>
    </xdr:to>
    <xdr:pic>
      <xdr:nvPicPr>
        <xdr:cNvPr id="2" name="图片 1">
          <a:extLst>
            <a:ext uri="{FF2B5EF4-FFF2-40B4-BE49-F238E27FC236}">
              <a16:creationId xmlns:a16="http://schemas.microsoft.com/office/drawing/2014/main" xmlns="" id="{E221FD6C-649D-7E39-80FE-5721BE1003D5}"/>
            </a:ext>
          </a:extLst>
        </xdr:cNvPr>
        <xdr:cNvPicPr>
          <a:picLocks noChangeAspect="1"/>
        </xdr:cNvPicPr>
      </xdr:nvPicPr>
      <xdr:blipFill>
        <a:blip xmlns:r="http://schemas.openxmlformats.org/officeDocument/2006/relationships" r:embed="rId1"/>
        <a:stretch>
          <a:fillRect/>
        </a:stretch>
      </xdr:blipFill>
      <xdr:spPr>
        <a:xfrm>
          <a:off x="0" y="0"/>
          <a:ext cx="10057143" cy="6590476"/>
        </a:xfrm>
        <a:prstGeom prst="rect">
          <a:avLst/>
        </a:prstGeom>
      </xdr:spPr>
    </xdr:pic>
    <xdr:clientData/>
  </xdr:twoCellAnchor>
  <xdr:twoCellAnchor editAs="oneCell">
    <xdr:from>
      <xdr:col>0</xdr:col>
      <xdr:colOff>0</xdr:colOff>
      <xdr:row>37</xdr:row>
      <xdr:rowOff>0</xdr:rowOff>
    </xdr:from>
    <xdr:to>
      <xdr:col>5</xdr:col>
      <xdr:colOff>94857</xdr:colOff>
      <xdr:row>64</xdr:row>
      <xdr:rowOff>62240</xdr:rowOff>
    </xdr:to>
    <xdr:pic>
      <xdr:nvPicPr>
        <xdr:cNvPr id="3" name="图片 2">
          <a:extLst>
            <a:ext uri="{FF2B5EF4-FFF2-40B4-BE49-F238E27FC236}">
              <a16:creationId xmlns:a16="http://schemas.microsoft.com/office/drawing/2014/main" xmlns="" id="{6F75DDDE-516B-5679-F976-A5C33976BE29}"/>
            </a:ext>
          </a:extLst>
        </xdr:cNvPr>
        <xdr:cNvPicPr>
          <a:picLocks noChangeAspect="1"/>
        </xdr:cNvPicPr>
      </xdr:nvPicPr>
      <xdr:blipFill>
        <a:blip xmlns:r="http://schemas.openxmlformats.org/officeDocument/2006/relationships" r:embed="rId2"/>
        <a:stretch>
          <a:fillRect/>
        </a:stretch>
      </xdr:blipFill>
      <xdr:spPr>
        <a:xfrm>
          <a:off x="0" y="6766560"/>
          <a:ext cx="3142857" cy="5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北京市昌平区龙域北街3号院1号楼20层2006房地产抵押价值预评估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受贵公司委托，我公司对北京市昌平区龙域北街3号院1号楼20层2006房地产抵押价值进行了预评估。</v>
      </c>
    </row>
    <row r="7" spans="1:2">
      <c r="A7" s="1119" t="s">
        <v>566</v>
      </c>
      <c r="B7" s="1120" t="str">
        <f>'预评函-1'!A7</f>
        <v>估价对象为北京市昌平区龙域北街3号院1号楼20层2006房地产，为爱阅宝（北京）科技有限公司所有。根据《国有土地使用证》[]，估价对象（分摊）出让国有建设用地使用权面积为0平方米，建筑面积为314.99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龙域北街3号院1号楼20层2006房地产,属爱阅宝（北京）科技有限公司开发建设的，该项目尚在开发建设中。根据《国有土地使用证》[]，估价对象（分摊）出让国有建设用地使用权面积为0平方米，规划建筑面积为314.99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龙域北街3号院1号楼20层2006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2025年3月19日</v>
      </c>
    </row>
    <row r="13" spans="1:2">
      <c r="A13" s="1119" t="s">
        <v>529</v>
      </c>
      <c r="B13" s="1120" t="str">
        <f>'预评函-1'!A18</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北京市昌平区龙域北街3号院1号楼20层2006房地产</v>
      </c>
    </row>
    <row r="42" spans="1:2">
      <c r="A42" s="1119" t="s">
        <v>590</v>
      </c>
      <c r="B42" s="1120" t="str">
        <f>'预评函-3'!B2</f>
        <v>建筑面积</v>
      </c>
    </row>
    <row r="43" spans="1:2">
      <c r="A43" s="1119" t="s">
        <v>591</v>
      </c>
      <c r="B43" s="1120">
        <f>'预评函-3'!B4</f>
        <v>314.99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龙域北街3号院1号楼20层2006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6"/>
      <c r="B54" s="1447" t="s">
        <v>385</v>
      </c>
      <c r="C54" s="1445" t="s">
        <v>583</v>
      </c>
    </row>
    <row r="55" spans="1:4">
      <c r="A55" s="3196"/>
      <c r="B55" s="1447" t="s">
        <v>386</v>
      </c>
      <c r="C55" s="1445" t="s">
        <v>584</v>
      </c>
    </row>
    <row r="56" spans="1:4">
      <c r="A56" s="3196"/>
      <c r="B56" s="1447" t="s">
        <v>387</v>
      </c>
      <c r="C56" s="1445" t="s">
        <v>588</v>
      </c>
    </row>
    <row r="57" spans="1:4">
      <c r="A57" s="31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197" t="s">
        <v>2580</v>
      </c>
      <c r="J2" s="3197"/>
      <c r="K2" s="3197"/>
      <c r="L2" s="3197"/>
      <c r="M2" s="3197"/>
      <c r="N2" s="3197"/>
      <c r="O2" s="3197"/>
      <c r="P2" s="3197"/>
      <c r="Q2" s="3197"/>
      <c r="R2" s="3197"/>
    </row>
    <row r="3" spans="1:18">
      <c r="A3" s="2761" t="s">
        <v>2501</v>
      </c>
      <c r="B3" s="2762">
        <f>项目基本情况!D3</f>
        <v>45735</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1.75</v>
      </c>
      <c r="D5" s="2766">
        <f>IF(ISERROR(ROUND(POWER(1+E5,A5-C5)*(POWER(1+E5,C5)-1)/(POWER(1+E5,A5)-1),3)),0,ROUND(POWER(1+E5,A5-C5)*(POWER(1+E5,C5)-1)/(POWER(1+E5,A5)-1),4))</f>
        <v>8.3799999999999999E-2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11.76</v>
      </c>
      <c r="D6" s="2766">
        <f>IF(ISERROR(ROUND(POWER(1+E6,A6-C6)*(POWER(1+E6,C6)-1)/(POWER(1+E6,A6)-1),3)),0,ROUND(POWER(1+E6,A6-C6)*(POWER(1+E6,C6)-1)/(POWER(1+E6,A6)-1),4))</f>
        <v>0.43</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31.77</v>
      </c>
      <c r="D7" s="2766">
        <f>IF(ISERROR(ROUND(POWER(1+E7,A7-C7)*(POWER(1+E7,C7)-1)/(POWER(1+E7,A7)-1),3)),0,ROUND(POWER(1+E7,A7-C7)*(POWER(1+E7,C7)-1)/(POWER(1+E7,A7)-1),4))</f>
        <v>0.76119999999999999</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3390</v>
      </c>
    </row>
    <row r="50" spans="1:4">
      <c r="A50" s="3143" t="s">
        <v>3391</v>
      </c>
      <c r="B50" s="3143" t="s">
        <v>3392</v>
      </c>
      <c r="C50" s="3143" t="s">
        <v>3393</v>
      </c>
      <c r="D50" s="3143" t="s">
        <v>3394</v>
      </c>
    </row>
    <row r="51" spans="1:4">
      <c r="A51" s="3143" t="s">
        <v>3395</v>
      </c>
      <c r="B51" s="2763">
        <f>B52+B53</f>
        <v>15000</v>
      </c>
      <c r="C51" s="3144">
        <f>D51/B51</f>
        <v>2666.6666666666665</v>
      </c>
      <c r="D51" s="2763">
        <f>D52+D53</f>
        <v>40000000</v>
      </c>
    </row>
    <row r="52" spans="1:4">
      <c r="A52" s="3145" t="s">
        <v>3396</v>
      </c>
      <c r="B52" s="3146">
        <v>10000</v>
      </c>
      <c r="C52" s="3146">
        <v>1500</v>
      </c>
      <c r="D52" s="3147">
        <f>C52*B52</f>
        <v>15000000</v>
      </c>
    </row>
    <row r="53" spans="1:4">
      <c r="A53" s="3145" t="s">
        <v>3397</v>
      </c>
      <c r="B53" s="3146">
        <v>5000</v>
      </c>
      <c r="C53" s="3146">
        <v>5000</v>
      </c>
      <c r="D53" s="3147">
        <f>C53*B53</f>
        <v>25000000</v>
      </c>
    </row>
    <row r="54" spans="1:4">
      <c r="A54" s="3143" t="s">
        <v>3398</v>
      </c>
      <c r="B54" s="2763">
        <f>B51</f>
        <v>15000</v>
      </c>
      <c r="C54" s="2769">
        <v>700</v>
      </c>
      <c r="D54" s="2763">
        <f t="shared" ref="D54:D55" si="5">C54*B54</f>
        <v>10500000</v>
      </c>
    </row>
    <row r="55" spans="1:4">
      <c r="A55" s="3143" t="s">
        <v>3399</v>
      </c>
      <c r="B55" s="2763">
        <f>B51</f>
        <v>15000</v>
      </c>
      <c r="C55" s="2769">
        <v>1500</v>
      </c>
      <c r="D55" s="2763">
        <f t="shared" si="5"/>
        <v>22500000</v>
      </c>
    </row>
    <row r="56" spans="1:4">
      <c r="A56" s="3143" t="s">
        <v>3400</v>
      </c>
      <c r="B56" s="2763">
        <f>B51</f>
        <v>15000</v>
      </c>
      <c r="C56" s="3148">
        <f>C51+C54+C55</f>
        <v>4866.6666666666661</v>
      </c>
      <c r="D56" s="2763">
        <f>D51+D54+D55</f>
        <v>73000000</v>
      </c>
    </row>
    <row r="58" spans="1:4">
      <c r="A58" s="3143" t="s">
        <v>3401</v>
      </c>
      <c r="B58" s="3149">
        <v>0.05</v>
      </c>
      <c r="C58" s="2763">
        <f>C56*(1+B58)</f>
        <v>5110</v>
      </c>
      <c r="D58" s="2763">
        <f>D56*B58</f>
        <v>3650000</v>
      </c>
    </row>
    <row r="60" spans="1:4">
      <c r="A60" s="3143" t="s">
        <v>3402</v>
      </c>
      <c r="B60" s="2769">
        <v>3500</v>
      </c>
      <c r="C60" s="2769">
        <f>C53</f>
        <v>5000</v>
      </c>
      <c r="D60" s="2763">
        <f>C60*B60</f>
        <v>17500000</v>
      </c>
    </row>
    <row r="62" spans="1:4">
      <c r="A62" s="3143" t="s">
        <v>3403</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5" t="str">
        <f>IF(B10="北京市","北京市",C10)&amp;F10&amp;IF(结果表!G1="在建","出让国有建设用地使用权及在建建筑物",IF(结果表!G1="土地","出让国有建设用地使用权",))&amp;B9&amp;"预评估"</f>
        <v>北京市昌平区龙域北街3号院1号楼20层2006房地产抵押价值预评估</v>
      </c>
      <c r="C1" s="3206"/>
      <c r="D1" s="3206"/>
      <c r="E1" s="3206"/>
      <c r="F1" s="3206"/>
      <c r="G1" s="3206"/>
      <c r="H1" s="3206"/>
      <c r="I1" s="3207"/>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北京市昌平区龙域北街3号院1号楼20层2006房地产抵押价值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北京市昌平区龙域北街3号院1号楼20层2006房地产</v>
      </c>
      <c r="T2" s="1618"/>
      <c r="U2" s="1618"/>
      <c r="V2" s="1618"/>
      <c r="W2" s="1618"/>
      <c r="X2" s="1618"/>
      <c r="Y2" s="1618"/>
      <c r="Z2" s="1618"/>
      <c r="AA2" s="1618"/>
      <c r="AB2" s="1618"/>
    </row>
    <row r="3" spans="1:30">
      <c r="A3" s="294" t="s">
        <v>2170</v>
      </c>
      <c r="B3" s="2185"/>
      <c r="C3" s="2186" t="s">
        <v>2171</v>
      </c>
      <c r="D3" s="2185">
        <v>45735</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3405</v>
      </c>
      <c r="C8" s="2201"/>
      <c r="D8" s="3208" t="s">
        <v>2177</v>
      </c>
      <c r="E8" s="2202" t="s">
        <v>3406</v>
      </c>
      <c r="F8" s="2203"/>
      <c r="G8" s="2441"/>
      <c r="H8" s="2441"/>
      <c r="I8" s="2441"/>
      <c r="J8" s="2244"/>
      <c r="K8" s="2399"/>
      <c r="L8" s="2398"/>
      <c r="M8" s="2398"/>
      <c r="N8" s="2244"/>
      <c r="O8" s="1670"/>
      <c r="P8" s="2244"/>
      <c r="Q8" s="2244"/>
      <c r="R8" s="2244"/>
    </row>
    <row r="9" spans="1:30" ht="13.5" thickBot="1">
      <c r="A9" s="2204" t="s">
        <v>2178</v>
      </c>
      <c r="B9" s="2205" t="s">
        <v>3406</v>
      </c>
      <c r="C9" s="2206"/>
      <c r="D9" s="3209"/>
      <c r="E9" s="2205"/>
      <c r="F9" s="2207"/>
      <c r="G9" s="2442"/>
      <c r="H9" s="2442"/>
      <c r="I9" s="2442"/>
      <c r="J9" s="2244"/>
      <c r="K9" s="2401"/>
      <c r="L9" s="2398"/>
      <c r="M9" s="2398"/>
      <c r="N9" s="2244"/>
      <c r="O9" s="1670"/>
      <c r="P9" s="2244"/>
      <c r="Q9" s="2244"/>
      <c r="R9" s="2244"/>
    </row>
    <row r="10" spans="1:30" ht="13.5" thickTop="1">
      <c r="A10" s="2208" t="s">
        <v>2179</v>
      </c>
      <c r="B10" s="2209" t="s">
        <v>3407</v>
      </c>
      <c r="C10" s="2210"/>
      <c r="D10" s="2193"/>
      <c r="E10" s="2211" t="s">
        <v>2180</v>
      </c>
      <c r="F10" s="3152" t="s">
        <v>3409</v>
      </c>
      <c r="G10" s="2443"/>
      <c r="H10" s="2444"/>
      <c r="I10" s="2445"/>
      <c r="J10" s="2244"/>
      <c r="K10" s="2401"/>
      <c r="L10" s="2398"/>
      <c r="M10" s="2398"/>
      <c r="N10" s="2244"/>
      <c r="O10" s="1670"/>
      <c r="P10" s="2244"/>
      <c r="Q10" s="2244"/>
      <c r="R10" s="2244"/>
    </row>
    <row r="11" spans="1:30" ht="36">
      <c r="A11" s="2212" t="s">
        <v>2181</v>
      </c>
      <c r="B11" s="2213" t="s">
        <v>3408</v>
      </c>
      <c r="C11" s="3153" t="s">
        <v>3410</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15"/>
      <c r="C16" s="3216"/>
      <c r="D16" s="3217"/>
      <c r="E16" s="2221" t="s">
        <v>2194</v>
      </c>
      <c r="F16" s="3218"/>
      <c r="G16" s="3219"/>
      <c r="H16" s="3219"/>
      <c r="I16" s="3220"/>
      <c r="J16" s="2244"/>
      <c r="K16" s="2402"/>
      <c r="L16" s="1670"/>
      <c r="M16" s="1670"/>
      <c r="N16" s="2244"/>
      <c r="O16" s="1670"/>
      <c r="P16" s="2244"/>
      <c r="Q16" s="2244"/>
      <c r="R16" s="2244"/>
    </row>
    <row r="17" spans="1:28">
      <c r="A17" s="305" t="s">
        <v>2195</v>
      </c>
      <c r="B17" s="294" t="s">
        <v>2196</v>
      </c>
      <c r="C17" s="8">
        <f>'数据-汇总表'!E3</f>
        <v>314.99</v>
      </c>
      <c r="D17" s="1256" t="s">
        <v>2197</v>
      </c>
      <c r="E17" s="3221" t="s">
        <v>2198</v>
      </c>
      <c r="F17" s="3222"/>
      <c r="G17" s="3222"/>
      <c r="H17" s="3222"/>
      <c r="I17" s="3223"/>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24" t="s">
        <v>2202</v>
      </c>
      <c r="F18" s="3225"/>
      <c r="G18" s="3225"/>
      <c r="H18" s="3225"/>
      <c r="I18" s="3226"/>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1" t="s">
        <v>2206</v>
      </c>
      <c r="C20" s="3212"/>
      <c r="D20" s="3213" t="s">
        <v>2207</v>
      </c>
      <c r="E20" s="3214"/>
      <c r="F20" s="2429" t="s">
        <v>1056</v>
      </c>
      <c r="G20" s="2441"/>
      <c r="H20" s="2441"/>
      <c r="I20" s="2441"/>
      <c r="J20" s="2244"/>
      <c r="K20" s="32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199"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199"/>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199"/>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0"/>
      <c r="B30" s="294" t="s">
        <v>2218</v>
      </c>
      <c r="C30" s="3201"/>
      <c r="D30" s="3202"/>
      <c r="E30" s="2441"/>
      <c r="F30" s="2441"/>
      <c r="G30" s="2441"/>
      <c r="H30" s="2441"/>
      <c r="I30" s="2441"/>
      <c r="J30" s="2244"/>
      <c r="K30" s="2401"/>
      <c r="L30" s="2398"/>
      <c r="M30" s="2398"/>
      <c r="N30" s="2244"/>
      <c r="O30" s="1670"/>
      <c r="P30" s="2244"/>
      <c r="Q30" s="2244"/>
      <c r="R30" s="2244"/>
      <c r="S30" s="2244"/>
      <c r="T30" s="2244"/>
      <c r="U30" s="2244"/>
      <c r="V30" s="2244"/>
    </row>
    <row r="31" spans="1:28">
      <c r="A31" s="3203"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198" t="s">
        <v>2228</v>
      </c>
      <c r="T34" s="315" t="str">
        <f>NUMBERSTRING(7-K34,1)&amp;"通"</f>
        <v>七通</v>
      </c>
      <c r="U34" s="2244"/>
      <c r="V34" s="2244"/>
    </row>
    <row r="35" spans="1:30">
      <c r="A35" s="2235"/>
      <c r="B35" s="3198" t="s">
        <v>2229</v>
      </c>
      <c r="C35" s="3198"/>
      <c r="D35" s="3198"/>
      <c r="E35" s="319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8"/>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314.99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314.99</v>
      </c>
      <c r="H5" s="13">
        <f t="shared" ref="H5:AT5" si="0">SUM(H13:H656)</f>
        <v>314.99</v>
      </c>
      <c r="I5" s="13">
        <f t="shared" si="0"/>
        <v>314.99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314.99</v>
      </c>
      <c r="BA5" s="15">
        <f t="shared" si="1"/>
        <v>314.99</v>
      </c>
      <c r="BB5" s="15">
        <f t="shared" si="1"/>
        <v>314.99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3411</v>
      </c>
      <c r="E13" s="13">
        <f>IF($C$3="是",ROUND($A$3*G13/$B$3,2),ROUND($A$3*(G13-AT13)/$B$3,2))</f>
        <v>0</v>
      </c>
      <c r="F13" s="29"/>
      <c r="G13" s="30">
        <f>H13+AC13+AT13</f>
        <v>314.99</v>
      </c>
      <c r="H13" s="17">
        <f>SUMIF(I$12:AB$12,"总值",I13:AB13)</f>
        <v>314.99</v>
      </c>
      <c r="I13" s="1514">
        <v>314.99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314.99</v>
      </c>
      <c r="BA13" s="13">
        <f>SUM(BB13:BK13)</f>
        <v>314.99</v>
      </c>
      <c r="BB13" s="13">
        <f>IF($D13="是",I13-J13,0)</f>
        <v>314.99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6" t="s">
        <v>1131</v>
      </c>
      <c r="B2" s="3236"/>
      <c r="C2" s="3236"/>
      <c r="D2" s="748" t="s">
        <v>1107</v>
      </c>
      <c r="E2" s="1523" t="s">
        <v>1108</v>
      </c>
      <c r="F2" s="2438"/>
      <c r="G2" s="2431"/>
      <c r="H2" s="2432"/>
      <c r="I2" s="2146" t="s">
        <v>1132</v>
      </c>
      <c r="J2" s="2438"/>
      <c r="K2" s="2438"/>
      <c r="L2" s="2438"/>
      <c r="M2" s="2438"/>
      <c r="N2" s="2439"/>
      <c r="O2" s="2438"/>
      <c r="P2" s="2438"/>
    </row>
    <row r="3" spans="1:16" ht="15.75" thickBot="1">
      <c r="A3" s="3237" t="s">
        <v>1105</v>
      </c>
      <c r="B3" s="3237"/>
      <c r="C3" s="3237"/>
      <c r="D3" s="41">
        <f>'数据-基础表'!AY6</f>
        <v>0</v>
      </c>
      <c r="E3" s="41">
        <f>'数据-基础表'!AZ5</f>
        <v>314.99</v>
      </c>
      <c r="F3" s="2438"/>
      <c r="G3" s="42"/>
      <c r="H3" s="43" t="s">
        <v>1106</v>
      </c>
      <c r="I3" s="802" t="e">
        <f>ROUND('数据-基础表'!B3/'数据-基础表'!A3,2)</f>
        <v>#DIV/0!</v>
      </c>
      <c r="J3" s="2438"/>
      <c r="K3" s="2438"/>
      <c r="L3" s="2438"/>
      <c r="M3" s="2438"/>
      <c r="N3" s="2439"/>
      <c r="O3" s="2438"/>
      <c r="P3" s="2438"/>
    </row>
    <row r="4" spans="1:16" ht="15">
      <c r="A4" s="3238"/>
      <c r="B4" s="3239"/>
      <c r="C4" s="324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41" t="s">
        <v>1110</v>
      </c>
      <c r="C5" s="324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1" t="s">
        <v>1111</v>
      </c>
      <c r="C6" s="3241"/>
      <c r="D6" s="43">
        <f>ROUND($D$3*E6/$E$3,2)</f>
        <v>0</v>
      </c>
      <c r="E6" s="44">
        <f>E3-E5</f>
        <v>314.99</v>
      </c>
      <c r="F6" s="2438"/>
      <c r="G6" s="1529" t="s">
        <v>1112</v>
      </c>
      <c r="H6" s="45" t="s">
        <v>1113</v>
      </c>
      <c r="I6" s="2434" t="e">
        <f>ROUND(F31/D31,2)</f>
        <v>#DIV/0!</v>
      </c>
      <c r="J6" s="2438"/>
      <c r="K6" s="2438"/>
      <c r="L6" s="2438"/>
      <c r="M6" s="2438"/>
      <c r="N6" s="2438"/>
      <c r="O6" s="2438"/>
      <c r="P6" s="2438"/>
    </row>
    <row r="7" spans="1:16" ht="15.75" thickBot="1">
      <c r="A7" s="3233"/>
      <c r="B7" s="3234"/>
      <c r="C7" s="3235"/>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314.99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314.99</v>
      </c>
      <c r="F16" s="2438"/>
      <c r="G16" s="2438"/>
      <c r="H16" s="1531" t="s">
        <v>1135</v>
      </c>
      <c r="I16" s="1532"/>
      <c r="J16" s="1071"/>
      <c r="K16" s="3230" t="s">
        <v>1135</v>
      </c>
      <c r="L16" s="3231"/>
      <c r="M16" s="3231"/>
      <c r="N16" s="3231"/>
      <c r="O16" s="3231"/>
      <c r="P16" s="3232"/>
    </row>
    <row r="17" spans="1:19" ht="15">
      <c r="A17" s="1533" t="s">
        <v>1136</v>
      </c>
      <c r="B17" s="1534" t="s">
        <v>1137</v>
      </c>
      <c r="C17" s="1535" t="s">
        <v>1138</v>
      </c>
      <c r="D17" s="1536" t="s">
        <v>1126</v>
      </c>
      <c r="E17" s="1537" t="s">
        <v>1127</v>
      </c>
      <c r="F17" s="1538"/>
      <c r="G17" s="1539"/>
      <c r="H17" s="1540" t="s">
        <v>1139</v>
      </c>
      <c r="I17" s="1541" t="s">
        <v>1124</v>
      </c>
      <c r="J17" s="1071"/>
      <c r="K17" s="3227" t="s">
        <v>1140</v>
      </c>
      <c r="L17" s="3228"/>
      <c r="M17" s="3229"/>
      <c r="N17" s="3227" t="s">
        <v>1141</v>
      </c>
      <c r="O17" s="3228"/>
      <c r="P17" s="322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c r="D19" s="43">
        <f>ROUND($D$3*E19/$E$3,2)</f>
        <v>0</v>
      </c>
      <c r="E19" s="51">
        <f t="shared" ref="E19:E26" si="1">SUM(F19:G19)</f>
        <v>314.99</v>
      </c>
      <c r="F19" s="2556">
        <f>'数据-基础表'!G13</f>
        <v>314.99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314.99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314.99</v>
      </c>
      <c r="F27" s="1072">
        <f>IF(SUM(F19:F26)=E8,SUM(F19:F26),"地上面积有误")</f>
        <v>314.99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314.99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314.99</v>
      </c>
      <c r="F31" s="644">
        <f>F27+F30</f>
        <v>314.99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45735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c r="C33" s="2563" t="s">
        <v>3386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3404</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c r="C37" s="2563" t="s">
        <v>3387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c r="C38" s="2563" t="s">
        <v>3388</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c r="C44" s="2563" t="s">
        <v>3389</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2" t="s">
        <v>2286</v>
      </c>
      <c r="B1" s="3243"/>
      <c r="C1" s="3243"/>
      <c r="D1" s="3243"/>
      <c r="E1" s="3243"/>
      <c r="F1" s="3243"/>
      <c r="G1" s="324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22" workbookViewId="0">
      <selection activeCell="P43" sqref="P43"/>
    </sheetView>
  </sheetViews>
  <sheetFormatPr defaultRowHeight="13.5"/>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I9" sqref="I9"/>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314.99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45735</v>
      </c>
      <c r="C3" s="2460"/>
      <c r="D3" s="2460"/>
      <c r="E3" s="2460"/>
      <c r="F3" s="2460"/>
      <c r="G3" s="2461"/>
      <c r="H3" s="2461"/>
      <c r="I3" s="2461"/>
      <c r="J3" s="2461"/>
      <c r="K3" s="2461"/>
    </row>
    <row r="4" spans="1:11" ht="33">
      <c r="A4" s="2299" t="s">
        <v>661</v>
      </c>
      <c r="B4" s="2299" t="s">
        <v>660</v>
      </c>
      <c r="C4" s="2299" t="s">
        <v>659</v>
      </c>
      <c r="D4" s="2299" t="s">
        <v>658</v>
      </c>
      <c r="E4" s="3154" t="s">
        <v>3413</v>
      </c>
      <c r="F4" s="3155"/>
      <c r="G4" s="2461"/>
      <c r="H4" s="2461"/>
      <c r="I4" s="2461"/>
      <c r="J4" s="2461"/>
      <c r="K4" s="2461"/>
    </row>
    <row r="5" spans="1:11" ht="16.5">
      <c r="A5" s="2299" t="s">
        <v>657</v>
      </c>
      <c r="B5" s="2299">
        <f>SUM(D14:D23)</f>
        <v>756</v>
      </c>
      <c r="C5" s="2299">
        <f ca="1">IF(B5=D14,结果表!H102,ROUND(B5*10000/$B$1,0))</f>
        <v>0</v>
      </c>
      <c r="D5" s="2299" t="e">
        <f>ROUND(B5*10000/$B$2,0)</f>
        <v>#DIV/0!</v>
      </c>
      <c r="E5" s="3154" t="s">
        <v>3414</v>
      </c>
      <c r="F5" s="3155">
        <v>25400</v>
      </c>
      <c r="G5" s="2461"/>
      <c r="H5" s="2461"/>
      <c r="I5" s="2461"/>
      <c r="J5" s="2461"/>
      <c r="K5" s="2461"/>
    </row>
    <row r="6" spans="1:11" ht="16.5">
      <c r="A6" s="2299" t="s">
        <v>656</v>
      </c>
      <c r="B6" s="2299">
        <f>SUM(G14:G23)</f>
        <v>0</v>
      </c>
      <c r="C6" s="2299">
        <f ca="1">IF(B6=G14,结果表!H108,ROUND(B6*10000/$B$1,0))</f>
        <v>0</v>
      </c>
      <c r="D6" s="2299" t="e">
        <f>ROUND(B6*10000/$B$2,0)</f>
        <v>#DIV/0!</v>
      </c>
      <c r="E6" s="3154" t="s">
        <v>3415</v>
      </c>
      <c r="F6" s="3155">
        <v>8000746</v>
      </c>
      <c r="G6" s="2461"/>
      <c r="H6" s="2461"/>
      <c r="I6" s="2461"/>
      <c r="J6" s="2461"/>
      <c r="K6" s="2461"/>
    </row>
    <row r="7" spans="1:11" ht="16.5">
      <c r="A7" s="2299" t="s">
        <v>664</v>
      </c>
      <c r="B7" s="2299">
        <f>SUM(H14:H23)</f>
        <v>0</v>
      </c>
      <c r="C7" s="2299" t="str">
        <f>IF(B7=H14,结果表!H110,ROUND(B7*10000/$B$1,0))</f>
        <v>——</v>
      </c>
      <c r="D7" s="2299" t="e">
        <f>ROUND(B7*10000/$B$2,0)</f>
        <v>#DIV/0!</v>
      </c>
      <c r="E7" s="3154" t="s">
        <v>3416</v>
      </c>
      <c r="F7" s="3155"/>
      <c r="G7" s="2461"/>
      <c r="H7" s="2461"/>
      <c r="I7" s="2461"/>
      <c r="J7" s="2461"/>
      <c r="K7" s="2461"/>
    </row>
    <row r="8" spans="1:11" ht="16.5">
      <c r="A8" s="2299" t="s">
        <v>587</v>
      </c>
      <c r="B8" s="2299">
        <f>SUM(I14:I23)</f>
        <v>0</v>
      </c>
      <c r="C8" s="2299" t="str">
        <f>IF(B8=I14,结果表!H112,ROUND(B8*10000/$B$1,0))</f>
        <v>——</v>
      </c>
      <c r="D8" s="2299" t="e">
        <f>ROUND(B8*10000/$B$2,0)</f>
        <v>#DIV/0!</v>
      </c>
      <c r="E8" s="3154" t="s">
        <v>3414</v>
      </c>
      <c r="F8" s="3155">
        <v>24000</v>
      </c>
      <c r="G8" s="2461">
        <f>F8-F5</f>
        <v>-1400</v>
      </c>
      <c r="H8" s="2461">
        <f>G8/F5</f>
        <v>-5.5118110236220472E-2</v>
      </c>
      <c r="I8" s="2461"/>
      <c r="J8" s="2461"/>
      <c r="K8" s="2461"/>
    </row>
    <row r="9" spans="1:11" ht="16.5">
      <c r="A9" s="2299" t="s">
        <v>655</v>
      </c>
      <c r="B9" s="1244"/>
      <c r="C9" s="2460"/>
      <c r="D9" s="2460"/>
      <c r="E9" s="3154" t="s">
        <v>3415</v>
      </c>
      <c r="F9" s="3155">
        <f>ROUND(F8*B14/10000,0)</f>
        <v>756</v>
      </c>
      <c r="G9" s="2461">
        <f>F9*10000-F6</f>
        <v>-440746</v>
      </c>
      <c r="H9" s="2461">
        <f>G9/F6</f>
        <v>-5.5088113033459632E-2</v>
      </c>
      <c r="I9" s="2461"/>
      <c r="J9" s="2461"/>
      <c r="K9" s="2461"/>
    </row>
    <row r="10" spans="1:11" ht="16.5">
      <c r="A10" s="2299" t="s">
        <v>654</v>
      </c>
      <c r="B10" s="2299">
        <f>IF(E10="",0,ROUND(B1*(E10*365/G10)/10000,0))</f>
        <v>0</v>
      </c>
      <c r="C10" s="2299" t="s">
        <v>3356</v>
      </c>
      <c r="D10" s="2299" t="s">
        <v>3357</v>
      </c>
      <c r="E10" s="3135"/>
      <c r="F10" s="3139" t="s">
        <v>3358</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314.99</v>
      </c>
      <c r="C14" s="2305"/>
      <c r="D14" s="2305">
        <f>F9</f>
        <v>756</v>
      </c>
      <c r="E14" s="2305">
        <f>F8</f>
        <v>24000</v>
      </c>
      <c r="F14" s="2305" t="e">
        <f>ROUND(D14*10000/C14,0)</f>
        <v>#DIV/0!</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8" t="str">
        <f>项目基本情况!S2</f>
        <v>北京市昌平区龙域北街3号院1号楼20层2006房地产</v>
      </c>
      <c r="B2" s="3279"/>
      <c r="C2" s="3279"/>
      <c r="D2" s="3279"/>
      <c r="E2" s="3279"/>
      <c r="F2" s="3279"/>
      <c r="G2" s="3279"/>
      <c r="H2" s="3279"/>
      <c r="I2" s="3280"/>
    </row>
    <row r="3" spans="1:12" ht="12.75">
      <c r="A3" s="3282" t="s">
        <v>1264</v>
      </c>
      <c r="B3" s="3283"/>
      <c r="C3" s="3283"/>
      <c r="D3" s="3283"/>
      <c r="E3" s="3283"/>
      <c r="F3" s="3283"/>
      <c r="G3" s="3283"/>
      <c r="H3" s="3283"/>
      <c r="I3" s="3283"/>
    </row>
    <row r="4" spans="1:12" ht="14.25">
      <c r="A4" s="1624" t="s">
        <v>1265</v>
      </c>
      <c r="B4" s="1625" t="s">
        <v>1266</v>
      </c>
      <c r="C4" s="1626"/>
      <c r="D4" s="1626"/>
      <c r="E4" s="3284" t="s">
        <v>1267</v>
      </c>
      <c r="F4" s="3285"/>
      <c r="G4" s="3285"/>
      <c r="H4" s="3285"/>
      <c r="I4" s="328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8" t="s">
        <v>1268</v>
      </c>
      <c r="B5" s="3245">
        <v>25</v>
      </c>
      <c r="C5" s="3261"/>
      <c r="D5" s="3281"/>
      <c r="E5" s="123" t="s">
        <v>1269</v>
      </c>
      <c r="F5" s="1627"/>
      <c r="G5" s="1627"/>
      <c r="H5" s="1627"/>
      <c r="I5" s="1281"/>
    </row>
    <row r="6" spans="1:12" ht="12.75">
      <c r="A6" s="3258"/>
      <c r="B6" s="3245"/>
      <c r="C6" s="3262"/>
      <c r="D6" s="3281"/>
      <c r="E6" s="123" t="s">
        <v>1270</v>
      </c>
      <c r="F6" s="1627"/>
      <c r="G6" s="1627"/>
      <c r="H6" s="1627"/>
      <c r="I6" s="1281"/>
    </row>
    <row r="7" spans="1:12" ht="12.75">
      <c r="A7" s="3258"/>
      <c r="B7" s="3245"/>
      <c r="C7" s="3263"/>
      <c r="D7" s="3281"/>
      <c r="E7" s="123" t="s">
        <v>1271</v>
      </c>
      <c r="F7" s="1627"/>
      <c r="G7" s="1627"/>
      <c r="H7" s="1627"/>
      <c r="I7" s="1281"/>
    </row>
    <row r="8" spans="1:12" ht="12.75">
      <c r="A8" s="3258" t="s">
        <v>1272</v>
      </c>
      <c r="B8" s="3245">
        <v>15</v>
      </c>
      <c r="C8" s="3261"/>
      <c r="D8" s="3281"/>
      <c r="E8" s="123" t="s">
        <v>1273</v>
      </c>
      <c r="F8" s="1627"/>
      <c r="G8" s="1627"/>
      <c r="H8" s="1627"/>
      <c r="I8" s="1281"/>
    </row>
    <row r="9" spans="1:12" ht="12.75">
      <c r="A9" s="3258"/>
      <c r="B9" s="3245"/>
      <c r="C9" s="3263"/>
      <c r="D9" s="3281"/>
      <c r="E9" s="123" t="s">
        <v>1274</v>
      </c>
      <c r="F9" s="1627"/>
      <c r="G9" s="1627"/>
      <c r="H9" s="1627"/>
      <c r="I9" s="1281"/>
    </row>
    <row r="10" spans="1:12" ht="12.75">
      <c r="A10" s="3258" t="s">
        <v>1275</v>
      </c>
      <c r="B10" s="3245">
        <v>15</v>
      </c>
      <c r="C10" s="3261"/>
      <c r="D10" s="3281"/>
      <c r="E10" s="123" t="s">
        <v>1276</v>
      </c>
      <c r="F10" s="1627"/>
      <c r="G10" s="1627"/>
      <c r="H10" s="1627"/>
      <c r="I10" s="1281"/>
    </row>
    <row r="11" spans="1:12" ht="12.75">
      <c r="A11" s="3258"/>
      <c r="B11" s="3245"/>
      <c r="C11" s="3263"/>
      <c r="D11" s="3281"/>
      <c r="E11" s="123" t="s">
        <v>1277</v>
      </c>
      <c r="F11" s="1627"/>
      <c r="G11" s="1627"/>
      <c r="H11" s="1627"/>
      <c r="I11" s="1281"/>
    </row>
    <row r="12" spans="1:12" ht="12.75">
      <c r="A12" s="3258" t="s">
        <v>1278</v>
      </c>
      <c r="B12" s="3245">
        <v>15</v>
      </c>
      <c r="C12" s="3261"/>
      <c r="D12" s="3281"/>
      <c r="E12" s="123" t="s">
        <v>1279</v>
      </c>
      <c r="F12" s="1627"/>
      <c r="G12" s="1627"/>
      <c r="H12" s="1627"/>
      <c r="I12" s="1281"/>
    </row>
    <row r="13" spans="1:12" ht="12.75">
      <c r="A13" s="3258"/>
      <c r="B13" s="3245"/>
      <c r="C13" s="3263"/>
      <c r="D13" s="3281"/>
      <c r="E13" s="123" t="s">
        <v>1280</v>
      </c>
      <c r="F13" s="1627"/>
      <c r="G13" s="1627"/>
      <c r="H13" s="1627"/>
      <c r="I13" s="1281"/>
    </row>
    <row r="14" spans="1:12" ht="12.75">
      <c r="A14" s="3258" t="s">
        <v>1281</v>
      </c>
      <c r="B14" s="3245">
        <v>30</v>
      </c>
      <c r="C14" s="3261"/>
      <c r="D14" s="3281"/>
      <c r="E14" s="123" t="s">
        <v>1282</v>
      </c>
      <c r="F14" s="1627"/>
      <c r="G14" s="1627"/>
      <c r="H14" s="1627"/>
      <c r="I14" s="1281"/>
    </row>
    <row r="15" spans="1:12" ht="12.75">
      <c r="A15" s="3258"/>
      <c r="B15" s="3245"/>
      <c r="C15" s="3262"/>
      <c r="D15" s="3281"/>
      <c r="E15" s="123" t="s">
        <v>1283</v>
      </c>
      <c r="F15" s="1627"/>
      <c r="G15" s="1627"/>
      <c r="H15" s="1627"/>
      <c r="I15" s="1281"/>
    </row>
    <row r="16" spans="1:12" ht="12.75">
      <c r="A16" s="3258"/>
      <c r="B16" s="3245"/>
      <c r="C16" s="3263"/>
      <c r="D16" s="3281"/>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68" t="s">
        <v>2131</v>
      </c>
      <c r="F18" s="3269"/>
      <c r="G18" s="3269"/>
      <c r="H18" s="3269"/>
      <c r="I18" s="3269"/>
      <c r="K18" s="294" t="s">
        <v>1289</v>
      </c>
      <c r="L18" s="294">
        <f>IF(C1="",'数据-汇总表'!E3,SUMIF(项目类型,C1,'数据-汇总表'!E17:E26)+SUMIF(项目类型,C1,'数据-汇总表'!I17:I26))</f>
        <v>314.99</v>
      </c>
      <c r="M18" s="294">
        <f>IF(C1="",'数据-汇总表'!E3,SUMIF(项目类型,C1,'数据-汇总表'!E17:E26))</f>
        <v>314.99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52" t="s">
        <v>1299</v>
      </c>
      <c r="B24" s="1631" t="s">
        <v>1291</v>
      </c>
      <c r="C24" s="128">
        <f>IF(B30=0,0,D30)</f>
        <v>0</v>
      </c>
      <c r="D24" s="1637"/>
      <c r="E24" s="121"/>
      <c r="F24" s="121"/>
      <c r="G24" s="121"/>
      <c r="H24" s="121"/>
      <c r="I24" s="121"/>
    </row>
    <row r="25" spans="1:36" ht="14.25">
      <c r="A25" s="325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2" t="s">
        <v>1312</v>
      </c>
      <c r="B36" s="1652" t="s">
        <v>1313</v>
      </c>
      <c r="C36" s="137"/>
      <c r="D36" s="1653"/>
      <c r="E36" s="1567"/>
      <c r="F36" s="1654"/>
      <c r="G36" s="121"/>
      <c r="H36" s="121"/>
      <c r="I36" s="121"/>
    </row>
    <row r="37" spans="1:15" ht="15.75" thickBot="1">
      <c r="A37" s="3273"/>
      <c r="B37" s="1555" t="s">
        <v>1314</v>
      </c>
      <c r="C37" s="139"/>
      <c r="D37" s="1071"/>
      <c r="E37" s="1071"/>
      <c r="F37" s="1654"/>
      <c r="G37" s="121"/>
      <c r="H37" s="121"/>
      <c r="I37" s="121"/>
    </row>
    <row r="38" spans="1:15" ht="15.75" thickBot="1">
      <c r="A38" s="327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9" t="s">
        <v>1326</v>
      </c>
      <c r="B45" s="3250"/>
      <c r="C45" s="3251"/>
      <c r="D45" s="147" t="e">
        <f ca="1">ROUND(H101*F45,0)</f>
        <v>#REF!</v>
      </c>
      <c r="E45" s="148" t="s">
        <v>1327</v>
      </c>
      <c r="F45" s="149">
        <v>1</v>
      </c>
      <c r="G45" s="150" t="s">
        <v>1328</v>
      </c>
      <c r="H45" s="121"/>
      <c r="I45" s="121"/>
      <c r="J45" s="3327" t="s">
        <v>1329</v>
      </c>
      <c r="K45" s="3327"/>
      <c r="L45" s="3327"/>
      <c r="M45" s="3327"/>
      <c r="N45" s="3327"/>
      <c r="O45" s="3327"/>
    </row>
    <row r="46" spans="1:15" ht="14.25" customHeight="1">
      <c r="A46" s="3246" t="s">
        <v>1330</v>
      </c>
      <c r="B46" s="3247"/>
      <c r="C46" s="3247"/>
      <c r="D46" s="3247"/>
      <c r="E46" s="3247"/>
      <c r="F46" s="3247"/>
      <c r="G46" s="3248"/>
      <c r="H46" s="1668"/>
      <c r="I46" s="151"/>
      <c r="J46" s="2309">
        <v>1</v>
      </c>
      <c r="K46" s="3308" t="s">
        <v>1331</v>
      </c>
      <c r="L46" s="3308"/>
      <c r="M46" s="3328"/>
      <c r="N46" s="3328"/>
      <c r="O46" s="3328"/>
    </row>
    <row r="47" spans="1:15" ht="12" customHeight="1">
      <c r="A47" s="152" t="s">
        <v>1332</v>
      </c>
      <c r="B47" s="153"/>
      <c r="C47" s="154"/>
      <c r="D47" s="1024" t="s">
        <v>1333</v>
      </c>
      <c r="E47" s="294" t="s">
        <v>1334</v>
      </c>
      <c r="F47" s="155" t="s">
        <v>1335</v>
      </c>
      <c r="G47" s="2332" t="s">
        <v>1336</v>
      </c>
      <c r="H47" s="2333"/>
      <c r="I47" s="151"/>
      <c r="J47" s="2309">
        <v>2</v>
      </c>
      <c r="K47" s="3308" t="s">
        <v>1337</v>
      </c>
      <c r="L47" s="3308"/>
      <c r="M47" s="3329">
        <f>'数据-取费表'!B2</f>
        <v>45735</v>
      </c>
      <c r="N47" s="3329"/>
      <c r="O47" s="3329"/>
    </row>
    <row r="48" spans="1:15" ht="25.5">
      <c r="A48" s="3277" t="s">
        <v>1338</v>
      </c>
      <c r="B48" s="3260"/>
      <c r="C48" s="3260"/>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308" t="s">
        <v>1340</v>
      </c>
      <c r="L48" s="3308"/>
      <c r="M48" s="3330" t="e">
        <f ca="1">H101</f>
        <v>#REF!</v>
      </c>
      <c r="N48" s="3330"/>
      <c r="O48" s="3330"/>
    </row>
    <row r="49" spans="1:35" ht="25.5" customHeight="1">
      <c r="A49" s="2152" t="s">
        <v>1341</v>
      </c>
      <c r="B49" s="3244" t="s">
        <v>1342</v>
      </c>
      <c r="C49" s="3244"/>
      <c r="D49" s="1478">
        <v>0</v>
      </c>
      <c r="E49" s="316" t="s">
        <v>1343</v>
      </c>
      <c r="F49" s="2232" t="s">
        <v>28</v>
      </c>
      <c r="G49" s="3314"/>
      <c r="H49" s="2134" t="s">
        <v>2134</v>
      </c>
      <c r="I49" s="2135"/>
      <c r="J49" s="2309">
        <v>4</v>
      </c>
      <c r="K49" s="3308" t="str">
        <f>IF(项目基本情况!E8="房地产抵押价值","房地产抵押价值","抵押担保权已注销时的房地产抵押价值")</f>
        <v>房地产抵押价值</v>
      </c>
      <c r="L49" s="3308"/>
      <c r="M49" s="3330" t="str">
        <f ca="1">IF(项目基本情况!E8="房地产抵押价值",H107,H109)</f>
        <v>——</v>
      </c>
      <c r="N49" s="3330"/>
      <c r="O49" s="3330"/>
    </row>
    <row r="50" spans="1:35" ht="25.5" customHeight="1">
      <c r="A50" s="2337"/>
      <c r="B50" s="3244" t="s">
        <v>1344</v>
      </c>
      <c r="C50" s="3244"/>
      <c r="D50" s="2189"/>
      <c r="E50" s="323"/>
      <c r="F50" s="2232"/>
      <c r="G50" s="3315"/>
      <c r="H50" s="2136" t="s">
        <v>2135</v>
      </c>
      <c r="I50" s="2135"/>
      <c r="J50" s="3327" t="s">
        <v>1345</v>
      </c>
      <c r="K50" s="3327"/>
      <c r="L50" s="3327"/>
      <c r="M50" s="3327"/>
      <c r="N50" s="3327"/>
      <c r="O50" s="3327"/>
    </row>
    <row r="51" spans="1:35" ht="20.45" customHeight="1">
      <c r="A51" s="2338"/>
      <c r="B51" s="3244" t="s">
        <v>1346</v>
      </c>
      <c r="C51" s="3244"/>
      <c r="D51" s="1024"/>
      <c r="E51" s="319"/>
      <c r="F51" s="2232"/>
      <c r="G51" s="3316"/>
      <c r="H51" s="2136" t="s">
        <v>2136</v>
      </c>
      <c r="I51" s="2135"/>
      <c r="J51" s="2310" t="s">
        <v>1347</v>
      </c>
      <c r="K51" s="3308" t="s">
        <v>1348</v>
      </c>
      <c r="L51" s="3308"/>
      <c r="M51" s="2310" t="s">
        <v>1349</v>
      </c>
      <c r="N51" s="2310" t="s">
        <v>1350</v>
      </c>
      <c r="O51" s="2310" t="s">
        <v>1351</v>
      </c>
    </row>
    <row r="52" spans="1:35" ht="24" customHeight="1">
      <c r="A52" s="2153" t="s">
        <v>1352</v>
      </c>
      <c r="B52" s="3244" t="s">
        <v>1353</v>
      </c>
      <c r="C52" s="3244"/>
      <c r="D52" s="1024" t="e">
        <f ca="1">ROUND(D45*'数据-取费表'!B41/(1+'数据-取费表'!C42),0)</f>
        <v>#REF!</v>
      </c>
      <c r="E52" s="1256" t="s">
        <v>1354</v>
      </c>
      <c r="F52" s="2339">
        <f>'数据-取费表'!B41</f>
        <v>0</v>
      </c>
      <c r="G52" s="2340"/>
      <c r="H52" s="2330"/>
      <c r="I52" s="1669"/>
      <c r="J52" s="2309">
        <v>1</v>
      </c>
      <c r="K52" s="3309" t="s">
        <v>1355</v>
      </c>
      <c r="L52" s="3309"/>
      <c r="M52" s="2311" t="b">
        <f>D48</f>
        <v>0</v>
      </c>
      <c r="N52" s="2309" t="str">
        <f>E48</f>
        <v>销售额×税（费）率</v>
      </c>
      <c r="O52" s="2312">
        <f>F48</f>
        <v>0</v>
      </c>
    </row>
    <row r="53" spans="1:35" ht="12" customHeight="1">
      <c r="A53" s="2153" t="s">
        <v>1356</v>
      </c>
      <c r="B53" s="3270" t="s">
        <v>2291</v>
      </c>
      <c r="C53" s="3271"/>
      <c r="D53" s="1024" t="e">
        <f ca="1">ROUND(D45*'数据-取费表'!B41/(1+'数据-取费表'!C42),0)</f>
        <v>#REF!</v>
      </c>
      <c r="E53" s="1256" t="s">
        <v>1354</v>
      </c>
      <c r="F53" s="2339">
        <f>'数据-取费表'!B41</f>
        <v>0</v>
      </c>
      <c r="G53" s="2340"/>
      <c r="H53" s="2330"/>
      <c r="I53" s="1669"/>
      <c r="J53" s="2309">
        <v>2</v>
      </c>
      <c r="K53" s="3309" t="s">
        <v>1357</v>
      </c>
      <c r="L53" s="3309"/>
      <c r="M53" s="2311" t="e">
        <f t="shared" ref="M53:O54" ca="1" si="0">D55</f>
        <v>#REF!</v>
      </c>
      <c r="N53" s="2309" t="str">
        <f t="shared" si="0"/>
        <v>销售额×税（费）率</v>
      </c>
      <c r="O53" s="2312" t="str">
        <f t="shared" si="0"/>
        <v>免征</v>
      </c>
    </row>
    <row r="54" spans="1:35" ht="12" customHeight="1">
      <c r="A54" s="2153" t="s">
        <v>1358</v>
      </c>
      <c r="B54" s="3270" t="s">
        <v>2292</v>
      </c>
      <c r="C54" s="3271"/>
      <c r="D54" s="1024" t="e">
        <f ca="1">C68</f>
        <v>#REF!</v>
      </c>
      <c r="E54" s="319" t="s">
        <v>1359</v>
      </c>
      <c r="F54" s="2339">
        <f>'数据-取费表'!B41</f>
        <v>0</v>
      </c>
      <c r="G54" s="2340"/>
      <c r="H54" s="2341"/>
      <c r="I54" s="1669"/>
      <c r="J54" s="2309">
        <v>3</v>
      </c>
      <c r="K54" s="3309" t="s">
        <v>1360</v>
      </c>
      <c r="L54" s="3309"/>
      <c r="M54" s="2311" t="e">
        <f t="shared" ca="1" si="0"/>
        <v>#REF!</v>
      </c>
      <c r="N54" s="2309" t="str">
        <f t="shared" si="0"/>
        <v>增值额×税（费）率</v>
      </c>
      <c r="O54" s="2313" t="str">
        <f t="shared" si="0"/>
        <v>免征</v>
      </c>
    </row>
    <row r="55" spans="1:35" ht="24" customHeight="1">
      <c r="A55" s="3259" t="s">
        <v>1361</v>
      </c>
      <c r="B55" s="3260"/>
      <c r="C55" s="3260"/>
      <c r="D55" s="12" t="e">
        <f ca="1">IF(H55="个人住宅",0,ROUND(D45*I55,0))</f>
        <v>#REF!</v>
      </c>
      <c r="E55" s="1256" t="s">
        <v>1362</v>
      </c>
      <c r="F55" s="2339" t="str">
        <f>IF(H55="正常",I55,"免征")</f>
        <v>免征</v>
      </c>
      <c r="G55" s="2340"/>
      <c r="H55" s="2336"/>
      <c r="I55" s="157">
        <f>'数据-取费表'!B49</f>
        <v>0</v>
      </c>
      <c r="J55" s="2309">
        <f>IF(H59="非个人房产","",4)</f>
        <v>4</v>
      </c>
      <c r="K55" s="3309" t="str">
        <f>IF(H59="非个人房产","——","个人所得税")</f>
        <v>个人所得税</v>
      </c>
      <c r="L55" s="3309"/>
      <c r="M55" s="2314" t="e">
        <f ca="1">D59</f>
        <v>#REF!</v>
      </c>
      <c r="N55" s="1883" t="str">
        <f>E59</f>
        <v>差额计税</v>
      </c>
      <c r="O55" s="2315">
        <f>F59</f>
        <v>0.01</v>
      </c>
    </row>
    <row r="56" spans="1:35" ht="24.75">
      <c r="A56" s="3259" t="s">
        <v>1363</v>
      </c>
      <c r="B56" s="3260"/>
      <c r="C56" s="3260"/>
      <c r="D56" s="12" t="e">
        <f ca="1">IF(H56="个人住宅",D57,D58)</f>
        <v>#REF!</v>
      </c>
      <c r="E56" s="1256" t="s">
        <v>1364</v>
      </c>
      <c r="F56" s="2339" t="str">
        <f>IF(H56="正常",F58,"免征")</f>
        <v>免征</v>
      </c>
      <c r="G56" s="2342" t="s">
        <v>1365</v>
      </c>
      <c r="H56" s="2343"/>
      <c r="I56" s="1670"/>
      <c r="J56" s="2309" t="str">
        <f>IF(项目基本情况!K6="上海银行",IF(J55="",4,J55+1),"")</f>
        <v/>
      </c>
      <c r="K56" s="3332" t="str">
        <f>IF(项目基本情况!K6="上海银行","其他处置费用","")</f>
        <v/>
      </c>
      <c r="L56" s="3333"/>
      <c r="M56" s="2311" t="str">
        <f>IF(项目基本情况!K6="上海银行",M69,"")</f>
        <v/>
      </c>
      <c r="N56" s="3332" t="str">
        <f>IF(项目基本情况!K6="上海银行","包含处置中涉及的律师、诉讼、拍卖、评估等费用","")</f>
        <v/>
      </c>
      <c r="O56" s="3335"/>
    </row>
    <row r="57" spans="1:35" ht="12.75">
      <c r="A57" s="2153" t="s">
        <v>1341</v>
      </c>
      <c r="B57" s="3270" t="s">
        <v>1366</v>
      </c>
      <c r="C57" s="3271"/>
      <c r="D57" s="1478">
        <v>0</v>
      </c>
      <c r="E57" s="316" t="s">
        <v>1343</v>
      </c>
      <c r="F57" s="294"/>
      <c r="G57" s="2340"/>
      <c r="H57" s="2344"/>
      <c r="I57" s="1670"/>
      <c r="J57" s="3309">
        <f>IF(AND(J55="",J56=""),4,IF(项目基本情况!K6="上海银行",结果表!J56+1,结果表!J55+1))</f>
        <v>5</v>
      </c>
      <c r="K57" s="3309" t="s">
        <v>1367</v>
      </c>
      <c r="L57" s="2316" t="s">
        <v>1368</v>
      </c>
      <c r="M57" s="2317"/>
      <c r="N57" s="2318">
        <f ca="1">SUMIF(M52:M56,"&lt;9e307")</f>
        <v>0</v>
      </c>
      <c r="O57" s="2319"/>
      <c r="P57" s="2463" t="e">
        <f ca="1">N57/M49</f>
        <v>#VALUE!</v>
      </c>
    </row>
    <row r="58" spans="1:35" ht="24.75">
      <c r="A58" s="2153" t="s">
        <v>1352</v>
      </c>
      <c r="B58" s="3270" t="s">
        <v>1369</v>
      </c>
      <c r="C58" s="3244"/>
      <c r="D58" s="12" t="e">
        <f ca="1">IF(H58="转让取得",C81,C97)</f>
        <v>#REF!</v>
      </c>
      <c r="E58" s="1256" t="s">
        <v>1364</v>
      </c>
      <c r="F58" s="294" t="s">
        <v>28</v>
      </c>
      <c r="G58" s="2340"/>
      <c r="H58" s="2343"/>
      <c r="I58" s="1670"/>
      <c r="J58" s="3309"/>
      <c r="K58" s="3309"/>
      <c r="L58" s="2316" t="s">
        <v>1370</v>
      </c>
      <c r="M58" s="2320"/>
      <c r="N58" s="2321" t="str">
        <f ca="1">NUMBERSTRING(INT(N57*10000),2)&amp;"元整"</f>
        <v>零元整</v>
      </c>
      <c r="O58" s="2322"/>
    </row>
    <row r="59" spans="1:35" ht="24.75" thickBot="1">
      <c r="A59" s="3312" t="s">
        <v>1371</v>
      </c>
      <c r="B59" s="3313"/>
      <c r="C59" s="331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10">
        <f>J57+1</f>
        <v>6</v>
      </c>
      <c r="K59" s="3309" t="s">
        <v>1372</v>
      </c>
      <c r="L59" s="2309" t="s">
        <v>1368</v>
      </c>
      <c r="M59" s="2323"/>
      <c r="N59" s="2324" t="e">
        <f ca="1">M49-N57</f>
        <v>#VALUE!</v>
      </c>
      <c r="O59" s="2325"/>
    </row>
    <row r="60" spans="1:35" ht="12" customHeight="1">
      <c r="A60" s="1671"/>
      <c r="B60" s="646"/>
      <c r="C60" s="646"/>
      <c r="D60" s="646"/>
      <c r="E60" s="1466"/>
      <c r="F60" s="1670"/>
      <c r="G60" s="1670"/>
      <c r="H60" s="151"/>
      <c r="I60" s="121"/>
      <c r="J60" s="3311"/>
      <c r="K60" s="3309"/>
      <c r="L60" s="2316" t="s">
        <v>1370</v>
      </c>
      <c r="M60" s="2320"/>
      <c r="N60" s="2321" t="e">
        <f ca="1">NUMBERSTRING(INT(N59*10000),2)&amp;"元整"</f>
        <v>#VALUE!</v>
      </c>
      <c r="O60" s="2322"/>
    </row>
    <row r="61" spans="1:35" ht="13.5" thickBot="1">
      <c r="A61" s="3257" t="s">
        <v>1373</v>
      </c>
      <c r="B61" s="3257"/>
      <c r="C61" s="3257"/>
      <c r="D61" s="3257"/>
      <c r="E61" s="3257"/>
      <c r="F61" s="1670"/>
      <c r="G61" s="1670"/>
      <c r="H61" s="151"/>
      <c r="I61" s="121"/>
      <c r="J61" s="2309">
        <f>J59+1</f>
        <v>7</v>
      </c>
      <c r="K61" s="3309" t="s">
        <v>1374</v>
      </c>
      <c r="L61" s="3309"/>
      <c r="M61" s="2326"/>
      <c r="N61" s="2327" t="e">
        <f ca="1">ROUND(N59*10000/'数据-汇总表'!E3,0)</f>
        <v>#VALUE!</v>
      </c>
      <c r="O61" s="2328"/>
    </row>
    <row r="62" spans="1:35" ht="12.75">
      <c r="A62" s="3275" t="s">
        <v>1375</v>
      </c>
      <c r="B62" s="3276"/>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34"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334"/>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334"/>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334"/>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34"/>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34"/>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334"/>
      <c r="K69" s="1245" t="s">
        <v>1393</v>
      </c>
      <c r="L69" s="1245"/>
      <c r="M69" s="294" t="e">
        <f ca="1">ROUND(SUM(M63:M68),0)</f>
        <v>#VALUE!</v>
      </c>
      <c r="N69" s="2331" t="e">
        <f ca="1">M69/M49</f>
        <v>#VALUE!</v>
      </c>
      <c r="Z69" s="1623"/>
      <c r="AI69" s="1561"/>
    </row>
    <row r="70" spans="1:35" s="642" customFormat="1" ht="15" thickBot="1">
      <c r="A70" s="3296" t="s">
        <v>1394</v>
      </c>
      <c r="B70" s="3297"/>
      <c r="C70" s="3297"/>
      <c r="D70" s="3297"/>
      <c r="E70" s="3297"/>
      <c r="F70" s="3297"/>
      <c r="G70" s="3297"/>
      <c r="H70" s="329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5" t="s">
        <v>1375</v>
      </c>
      <c r="B71" s="327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0" t="s">
        <v>1402</v>
      </c>
      <c r="F76" s="3244"/>
      <c r="G76" s="3244"/>
      <c r="H76" s="329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54" t="s">
        <v>1406</v>
      </c>
      <c r="F78" s="3255"/>
      <c r="G78" s="3255"/>
      <c r="H78" s="326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6" t="s">
        <v>1410</v>
      </c>
      <c r="B83" s="3297"/>
      <c r="C83" s="3297"/>
      <c r="D83" s="3297"/>
      <c r="E83" s="3297"/>
      <c r="F83" s="3297"/>
      <c r="G83" s="3297"/>
      <c r="H83" s="329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5" t="s">
        <v>1375</v>
      </c>
      <c r="B84" s="327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36" t="s">
        <v>2129</v>
      </c>
      <c r="H90" s="3337"/>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4" t="s">
        <v>1419</v>
      </c>
      <c r="F91" s="3255"/>
      <c r="G91" s="325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4" t="s">
        <v>1422</v>
      </c>
      <c r="F92" s="3255"/>
      <c r="G92" s="3255"/>
      <c r="H92" s="3264"/>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54" t="s">
        <v>1406</v>
      </c>
      <c r="F93" s="3255"/>
      <c r="G93" s="3255"/>
      <c r="H93" s="326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65" t="s">
        <v>1426</v>
      </c>
      <c r="F94" s="3266"/>
      <c r="G94" s="3266"/>
      <c r="H94" s="326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8" t="s">
        <v>1428</v>
      </c>
      <c r="B100" s="3239"/>
      <c r="C100" s="3239"/>
      <c r="D100" s="3256"/>
      <c r="E100" s="3239" t="s">
        <v>1429</v>
      </c>
      <c r="F100" s="3239"/>
      <c r="G100" s="3239"/>
      <c r="H100" s="3256"/>
      <c r="I100" s="121"/>
    </row>
    <row r="101" spans="1:35" ht="18.75" customHeight="1">
      <c r="A101" s="3317" t="s">
        <v>1430</v>
      </c>
      <c r="B101" s="3318"/>
      <c r="C101" s="2370">
        <f>C4</f>
        <v>0</v>
      </c>
      <c r="D101" s="2371">
        <f>D4</f>
        <v>0</v>
      </c>
      <c r="E101" s="3331" t="s">
        <v>1431</v>
      </c>
      <c r="F101" s="3288"/>
      <c r="G101" s="1687" t="s">
        <v>1432</v>
      </c>
      <c r="H101" s="2380" t="e">
        <f ca="1">H118</f>
        <v>#REF!</v>
      </c>
      <c r="I101" s="121"/>
    </row>
    <row r="102" spans="1:35" ht="18.75" customHeight="1">
      <c r="A102" s="3290" t="s">
        <v>1433</v>
      </c>
      <c r="B102" s="2369" t="s">
        <v>1432</v>
      </c>
      <c r="C102" s="2370" t="e">
        <f ca="1">IF(D32="楼面单价",ROUND(C19,0),C19)</f>
        <v>#REF!</v>
      </c>
      <c r="D102" s="2371" t="e">
        <f ca="1">IF(D32="楼面单价",ROUND(D19,0),D19)</f>
        <v>#REF!</v>
      </c>
      <c r="E102" s="3331"/>
      <c r="F102" s="3288"/>
      <c r="G102" s="1687" t="s">
        <v>1434</v>
      </c>
      <c r="H102" s="2340" t="e">
        <f ca="1">I118</f>
        <v>#REF!</v>
      </c>
      <c r="I102" s="121"/>
    </row>
    <row r="103" spans="1:35" ht="42.75" customHeight="1">
      <c r="A103" s="3290"/>
      <c r="B103" s="2369" t="s">
        <v>1434</v>
      </c>
      <c r="C103" s="2372" t="e">
        <f ca="1">C20</f>
        <v>#REF!</v>
      </c>
      <c r="D103" s="2373" t="e">
        <f ca="1">D20</f>
        <v>#REF!</v>
      </c>
      <c r="E103" s="3325" t="s">
        <v>1435</v>
      </c>
      <c r="F103" s="3326"/>
      <c r="G103" s="1688" t="s">
        <v>1436</v>
      </c>
      <c r="H103" s="2380">
        <f>IF(D36="正常操作",H104+H105+H106,H105+H106)</f>
        <v>0</v>
      </c>
      <c r="I103" s="121"/>
    </row>
    <row r="104" spans="1:35" ht="18.75" customHeight="1">
      <c r="A104" s="3290"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291"/>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7" t="str">
        <f>IF(项目基本情况!E8="已注销","——","3.房地产抵押价值")</f>
        <v>3.房地产抵押价值</v>
      </c>
      <c r="F107" s="3288"/>
      <c r="G107" s="1687" t="s">
        <v>1432</v>
      </c>
      <c r="H107" s="2380" t="e">
        <f ca="1">IF(E107="——","——",H101-H103)</f>
        <v>#REF!</v>
      </c>
      <c r="I107" s="121"/>
    </row>
    <row r="108" spans="1:35" ht="18.75" customHeight="1">
      <c r="A108" s="121"/>
      <c r="B108" s="121"/>
      <c r="C108" s="121"/>
      <c r="D108" s="121"/>
      <c r="E108" s="3287"/>
      <c r="F108" s="3288"/>
      <c r="G108" s="1687" t="s">
        <v>1434</v>
      </c>
      <c r="H108" s="2340">
        <f ca="1">IF(H107=H101,H102,ROUND(H107*10000/'数据-汇总表'!E3,0))</f>
        <v>0</v>
      </c>
      <c r="I108" s="121"/>
    </row>
    <row r="109" spans="1:35" ht="18.75" customHeight="1">
      <c r="A109" s="121"/>
      <c r="B109" s="121"/>
      <c r="C109" s="121"/>
      <c r="D109" s="121"/>
      <c r="E109" s="3287" t="str">
        <f>IF(项目基本情况!E8="已注销及未注销","4.抵押担保权已注销时的房地产抵押价值",IF(项目基本情况!E8="已注销","3.抵押担保权已注销时的房地产抵押价值","——"))</f>
        <v>——</v>
      </c>
      <c r="F109" s="3288"/>
      <c r="G109" s="1687" t="s">
        <v>1432</v>
      </c>
      <c r="H109" s="2383" t="str">
        <f>IF(E109="——","——",H101-H105-H106)</f>
        <v>——</v>
      </c>
      <c r="I109" s="121"/>
    </row>
    <row r="110" spans="1:35" ht="18.75" customHeight="1">
      <c r="A110" s="121"/>
      <c r="B110" s="121"/>
      <c r="C110" s="121"/>
      <c r="D110" s="121"/>
      <c r="E110" s="3287"/>
      <c r="F110" s="3288"/>
      <c r="G110" s="1687" t="s">
        <v>1434</v>
      </c>
      <c r="H110" s="2340" t="str">
        <f>IF(H109="——","——",ROUND(H109*10000/'数据-汇总表'!E3,0))</f>
        <v>——</v>
      </c>
      <c r="I110" s="121"/>
    </row>
    <row r="111" spans="1:35" ht="18.75" customHeight="1">
      <c r="A111" s="121"/>
      <c r="B111" s="121"/>
      <c r="C111" s="121"/>
      <c r="D111" s="121"/>
      <c r="E111" s="3319"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20"/>
      <c r="F112" s="3321"/>
      <c r="G112" s="1690" t="s">
        <v>1434</v>
      </c>
      <c r="H112" s="2384" t="str">
        <f>IF(E111="——","——",N61)</f>
        <v>——</v>
      </c>
      <c r="I112" s="121"/>
    </row>
    <row r="113" spans="1:27" ht="18.75" customHeight="1">
      <c r="A113" s="121"/>
      <c r="B113" s="121"/>
      <c r="C113" s="121"/>
      <c r="D113" s="121"/>
      <c r="E113" s="3292" t="s">
        <v>1440</v>
      </c>
      <c r="F113" s="3292"/>
      <c r="G113" s="3292"/>
      <c r="H113" s="3292"/>
      <c r="I113" s="121"/>
    </row>
    <row r="114" spans="1:27" ht="3.75" customHeight="1">
      <c r="A114" s="646"/>
      <c r="B114" s="646"/>
      <c r="C114" s="646"/>
      <c r="D114" s="646"/>
      <c r="E114" s="1671"/>
      <c r="F114" s="1671"/>
      <c r="G114" s="1671"/>
      <c r="H114" s="1671"/>
      <c r="I114" s="646"/>
    </row>
    <row r="115" spans="1:27" ht="18.75" customHeight="1">
      <c r="A115" s="3302" t="s">
        <v>1442</v>
      </c>
      <c r="B115" s="3303"/>
      <c r="C115" s="3303"/>
      <c r="D115" s="3303"/>
      <c r="E115" s="3303"/>
      <c r="F115" s="3303"/>
      <c r="G115" s="3303"/>
      <c r="H115" s="3303"/>
      <c r="I115" s="3304"/>
    </row>
    <row r="116" spans="1:27" ht="27" customHeight="1">
      <c r="A116" s="3258" t="s">
        <v>1443</v>
      </c>
      <c r="B116" s="3293" t="s">
        <v>1444</v>
      </c>
      <c r="C116" s="3293" t="s">
        <v>1445</v>
      </c>
      <c r="D116" s="3306" t="s">
        <v>1446</v>
      </c>
      <c r="E116" s="3307"/>
      <c r="F116" s="3301" t="s">
        <v>1447</v>
      </c>
      <c r="G116" s="3301"/>
      <c r="H116" s="3258" t="s">
        <v>1448</v>
      </c>
      <c r="I116" s="3258"/>
    </row>
    <row r="117" spans="1:27" ht="18.75" customHeight="1">
      <c r="A117" s="3258"/>
      <c r="B117" s="3294"/>
      <c r="C117" s="3294"/>
      <c r="D117" s="2150" t="s">
        <v>1449</v>
      </c>
      <c r="E117" s="2150" t="s">
        <v>1450</v>
      </c>
      <c r="F117" s="2150" t="s">
        <v>1449</v>
      </c>
      <c r="G117" s="2150" t="s">
        <v>1451</v>
      </c>
      <c r="H117" s="2150" t="s">
        <v>1449</v>
      </c>
      <c r="I117" s="2150" t="s">
        <v>1451</v>
      </c>
    </row>
    <row r="118" spans="1:27" ht="24.75" customHeight="1">
      <c r="A118" s="2385" t="str">
        <f>项目基本情况!S2</f>
        <v>北京市昌平区龙域北街3号院1号楼20层2006房地产</v>
      </c>
      <c r="B118" s="2150">
        <f>M18</f>
        <v>314.99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8" t="s">
        <v>1452</v>
      </c>
      <c r="B119" s="3258"/>
      <c r="C119" s="3258"/>
      <c r="D119" s="3298" t="e">
        <f ca="1">NUMBERSTRING(INT(D118*10000),2)&amp;"元整"</f>
        <v>#REF!</v>
      </c>
      <c r="E119" s="3300"/>
      <c r="F119" s="3298" t="e">
        <f ca="1">NUMBERSTRING(INT(F118*10000),2)&amp;"元整"</f>
        <v>#REF!</v>
      </c>
      <c r="G119" s="3300"/>
      <c r="H119" s="3298" t="e">
        <f ca="1">NUMBERSTRING(INT(H118*10000),2)&amp;"元整"</f>
        <v>#REF!</v>
      </c>
      <c r="I119" s="3300"/>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299"/>
      <c r="C121" s="3300"/>
      <c r="D121" s="3298" t="str">
        <f>IF(D120=0,"零元整",NUMBERSTRING(INT(D120*10000),2)&amp;"元整")</f>
        <v>零元整</v>
      </c>
      <c r="E121" s="3299"/>
      <c r="F121" s="3299"/>
      <c r="G121" s="3299"/>
      <c r="H121" s="3299"/>
      <c r="I121" s="3300"/>
      <c r="AA121" s="684"/>
    </row>
    <row r="122" spans="1:27" ht="18.75" customHeight="1">
      <c r="A122" s="3289" t="str">
        <f>IF(项目基本情况!B9="房地产市场价值","",MID(E107,3,LEN(E107)-2))</f>
        <v>房地产抵押价值</v>
      </c>
      <c r="B122" s="3289"/>
      <c r="C122" s="3289"/>
      <c r="D122" s="3322" t="e">
        <f ca="1">H107</f>
        <v>#REF!</v>
      </c>
      <c r="E122" s="3323"/>
      <c r="F122" s="3323"/>
      <c r="G122" s="3323"/>
      <c r="H122" s="3323"/>
      <c r="I122" s="3324"/>
      <c r="AA122" s="684"/>
    </row>
    <row r="123" spans="1:27" ht="18.75" customHeight="1">
      <c r="A123" s="3258" t="s">
        <v>1452</v>
      </c>
      <c r="B123" s="3258"/>
      <c r="C123" s="3258"/>
      <c r="D123" s="3298" t="e">
        <f ca="1">NUMBERSTRING(INT(D122*10000),2)&amp;"元整"</f>
        <v>#REF!</v>
      </c>
      <c r="E123" s="3299"/>
      <c r="F123" s="3299"/>
      <c r="G123" s="3299"/>
      <c r="H123" s="3299"/>
      <c r="I123" s="3300"/>
      <c r="AA123" s="684"/>
    </row>
    <row r="124" spans="1:27" ht="18.75" customHeight="1">
      <c r="A124" s="3289" t="str">
        <f>IF(项目基本情况!B9="房地产市场价值","",MID(E109,3,LEN(E109)-2))</f>
        <v/>
      </c>
      <c r="B124" s="3289"/>
      <c r="C124" s="3289"/>
      <c r="D124" s="3322" t="str">
        <f>H109</f>
        <v>——</v>
      </c>
      <c r="E124" s="3323"/>
      <c r="F124" s="3323"/>
      <c r="G124" s="3323"/>
      <c r="H124" s="3323"/>
      <c r="I124" s="3324"/>
      <c r="AA124" s="684"/>
    </row>
    <row r="125" spans="1:27" ht="18.75" customHeight="1">
      <c r="A125" s="3258" t="s">
        <v>1452</v>
      </c>
      <c r="B125" s="3258"/>
      <c r="C125" s="3258"/>
      <c r="D125" s="3298" t="e">
        <f>NUMBERSTRING(INT(D124*10000),2)&amp;"元整"</f>
        <v>#VALUE!</v>
      </c>
      <c r="E125" s="3299"/>
      <c r="F125" s="3299"/>
      <c r="G125" s="3299"/>
      <c r="H125" s="3299"/>
      <c r="I125" s="3300"/>
      <c r="AA125" s="684"/>
    </row>
    <row r="126" spans="1:27" ht="18.75" customHeight="1">
      <c r="A126" s="3289" t="str">
        <f>IF(项目基本情况!B9="房地产市场价值","",MID(E111,3,LEN(E111)-2))</f>
        <v/>
      </c>
      <c r="B126" s="3289"/>
      <c r="C126" s="3289"/>
      <c r="D126" s="3322" t="str">
        <f>H111</f>
        <v>——</v>
      </c>
      <c r="E126" s="3323"/>
      <c r="F126" s="3323"/>
      <c r="G126" s="3323"/>
      <c r="H126" s="3323"/>
      <c r="I126" s="3324"/>
      <c r="AA126" s="684"/>
    </row>
    <row r="127" spans="1:27" ht="18.75" customHeight="1">
      <c r="A127" s="3258" t="s">
        <v>1452</v>
      </c>
      <c r="B127" s="3258"/>
      <c r="C127" s="3258"/>
      <c r="D127" s="3298" t="e">
        <f>NUMBERSTRING(INT(D126*10000),2)&amp;"元整"</f>
        <v>#VALUE!</v>
      </c>
      <c r="E127" s="3299"/>
      <c r="F127" s="3299"/>
      <c r="G127" s="3299"/>
      <c r="H127" s="3299"/>
      <c r="I127" s="3300"/>
      <c r="AA127" s="684"/>
    </row>
    <row r="128" spans="1:27" ht="21.75" customHeight="1">
      <c r="A128" s="3305" t="s">
        <v>1453</v>
      </c>
      <c r="B128" s="3305"/>
      <c r="C128" s="3305"/>
      <c r="D128" s="3305"/>
      <c r="E128" s="3305"/>
      <c r="F128" s="3305"/>
      <c r="G128" s="3305"/>
      <c r="H128" s="3305"/>
      <c r="I128" s="330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6" t="str">
        <f>项目基本情况!B1</f>
        <v>北京市昌平区龙域北街3号院1号楼20层2006房地产抵押价值预评估</v>
      </c>
      <c r="C37" s="3156"/>
      <c r="D37" s="3156"/>
      <c r="E37" s="3156"/>
      <c r="F37" s="3156"/>
      <c r="G37" s="3156"/>
      <c r="H37" s="3156"/>
      <c r="I37" s="31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314.99</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314.99</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314.99</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38" t="s">
        <v>1544</v>
      </c>
    </row>
    <row r="43" spans="1:7" ht="13.5" customHeight="1">
      <c r="A43" s="734" t="s">
        <v>347</v>
      </c>
      <c r="B43" s="207" t="s">
        <v>1545</v>
      </c>
      <c r="C43" s="230" t="e">
        <f ca="1">ROUND(IF('数据-取费表'!B22&lt;=1,C39*F22*'数据-取费表'!B21/2,C39*(POWER((1+F22),'数据-取费表'!B21/2)-1)),0)</f>
        <v>#VALUE!</v>
      </c>
      <c r="D43" s="230"/>
      <c r="E43" s="230"/>
      <c r="F43" s="231"/>
      <c r="G43" s="3339"/>
    </row>
    <row r="44" spans="1:7" ht="13.5" customHeight="1">
      <c r="A44" s="734" t="s">
        <v>348</v>
      </c>
      <c r="B44" s="207" t="s">
        <v>1546</v>
      </c>
      <c r="C44" s="230" t="e">
        <f ca="1">ROUND(IF('数据-取费表'!B22&lt;=1,C40*F22*'数据-取费表'!B21/2,C40*(POWER((1+F22),'数据-取费表'!B21/2)-1)),4)</f>
        <v>#VALUE!</v>
      </c>
      <c r="D44" s="230"/>
      <c r="E44" s="230"/>
      <c r="F44" s="231"/>
      <c r="G44" s="334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314.99</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314.99</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314.99</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38" t="s">
        <v>1591</v>
      </c>
    </row>
    <row r="43" spans="1:7" ht="13.5" customHeight="1">
      <c r="A43" s="734" t="s">
        <v>347</v>
      </c>
      <c r="B43" s="207" t="s">
        <v>1545</v>
      </c>
      <c r="C43" s="230" t="e">
        <f ca="1">ROUND(IF('数据-取费表'!B22&lt;=1,C39*F22*'数据-取费表'!B20/2,C39*(POWER((1+F22),'数据-取费表'!B20/2)-1)),0)</f>
        <v>#VALUE!</v>
      </c>
      <c r="D43" s="230"/>
      <c r="E43" s="230"/>
      <c r="F43" s="231"/>
      <c r="G43" s="3339"/>
    </row>
    <row r="44" spans="1:7" ht="13.5" customHeight="1">
      <c r="A44" s="734" t="s">
        <v>348</v>
      </c>
      <c r="B44" s="207" t="s">
        <v>1546</v>
      </c>
      <c r="C44" s="230" t="e">
        <f ca="1">ROUND(IF('数据-取费表'!B22&lt;=1,C40*F22*'数据-取费表'!B20/2,C40*(POWER((1+F22),'数据-取费表'!B20/2)-1)),4)</f>
        <v>#VALUE!</v>
      </c>
      <c r="D44" s="230"/>
      <c r="E44" s="230"/>
      <c r="F44" s="231"/>
      <c r="G44" s="334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314.99</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314.99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314.99</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3" t="s">
        <v>694</v>
      </c>
      <c r="C6" s="1011">
        <f ca="1">ROUND(F6*F8*F7*(1-F9)/10000,0)</f>
        <v>0</v>
      </c>
      <c r="D6" s="147" t="s">
        <v>2109</v>
      </c>
      <c r="E6" s="294" t="s">
        <v>696</v>
      </c>
      <c r="F6" s="295">
        <f ca="1">INDIRECT("'数据-取费表'!u"&amp;$G$1)</f>
        <v>0</v>
      </c>
      <c r="G6" s="1292"/>
      <c r="H6" s="1006" t="s">
        <v>398</v>
      </c>
      <c r="I6" s="3343" t="s">
        <v>694</v>
      </c>
      <c r="J6" s="293">
        <f ca="1">ROUND(M6*M8*M7*(1-M9)/10000,0)</f>
        <v>0</v>
      </c>
      <c r="K6" s="147" t="s">
        <v>2108</v>
      </c>
      <c r="L6" s="294" t="s">
        <v>696</v>
      </c>
      <c r="M6" s="295">
        <f ca="1">INDIRECT("'数据-取费表'!z"&amp;$G$1)</f>
        <v>0</v>
      </c>
    </row>
    <row r="7" spans="1:37" ht="18" customHeight="1">
      <c r="A7" s="1010"/>
      <c r="B7" s="3344"/>
      <c r="C7" s="1012"/>
      <c r="D7" s="299"/>
      <c r="E7" s="1013" t="s">
        <v>697</v>
      </c>
      <c r="F7" s="295">
        <f ca="1">IF(INDIRECT("'数据-取费表'!ah"&amp;$G$1)="",INDIRECT("'数据-取费表'!k"&amp;$G$1),INDIRECT("'数据-取费表'!ah"&amp;$G$1))</f>
        <v>0</v>
      </c>
      <c r="G7" s="1292"/>
      <c r="H7" s="296"/>
      <c r="I7" s="3344"/>
      <c r="J7" s="298"/>
      <c r="K7" s="299"/>
      <c r="L7" s="294" t="s">
        <v>697</v>
      </c>
      <c r="M7" s="295">
        <f ca="1">F7</f>
        <v>0</v>
      </c>
    </row>
    <row r="8" spans="1:37" ht="18" customHeight="1">
      <c r="A8" s="296"/>
      <c r="B8" s="3344"/>
      <c r="C8" s="298"/>
      <c r="D8" s="299"/>
      <c r="E8" s="294" t="s">
        <v>698</v>
      </c>
      <c r="F8" s="295">
        <f ca="1">INDIRECT("'数据-取费表'!ai"&amp;$G$1)</f>
        <v>0</v>
      </c>
      <c r="G8" s="1292"/>
      <c r="H8" s="296"/>
      <c r="I8" s="3344"/>
      <c r="J8" s="298"/>
      <c r="K8" s="299"/>
      <c r="L8" s="294" t="s">
        <v>698</v>
      </c>
      <c r="M8" s="295">
        <f ca="1">INDIRECT("'数据-取费表'!ai"&amp;$G$1)</f>
        <v>0</v>
      </c>
    </row>
    <row r="9" spans="1:37" ht="18" customHeight="1">
      <c r="A9" s="296"/>
      <c r="B9" s="3345"/>
      <c r="C9" s="298"/>
      <c r="D9" s="299"/>
      <c r="E9" s="294" t="s">
        <v>699</v>
      </c>
      <c r="F9" s="304">
        <f ca="1">INDIRECT("'数据-取费表'!w"&amp;$G$1)</f>
        <v>0</v>
      </c>
      <c r="G9" s="1292"/>
      <c r="H9" s="296"/>
      <c r="I9" s="334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1" t="s">
        <v>837</v>
      </c>
      <c r="L53" s="3342"/>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3" t="s">
        <v>694</v>
      </c>
      <c r="C6" s="1011">
        <f ca="1">ROUND(F6*F8*F7*(1-F9),0)</f>
        <v>0</v>
      </c>
      <c r="D6" s="147" t="s">
        <v>2106</v>
      </c>
      <c r="E6" s="294" t="s">
        <v>696</v>
      </c>
      <c r="F6" s="295">
        <f ca="1">INDIRECT("'数据-取费表'!u"&amp;$G$1)</f>
        <v>0</v>
      </c>
      <c r="G6" s="1292"/>
      <c r="H6" s="1006" t="s">
        <v>398</v>
      </c>
      <c r="I6" s="3343" t="s">
        <v>694</v>
      </c>
      <c r="J6" s="293">
        <f ca="1">ROUND(M6*M8*M7*(1-M9),0)</f>
        <v>0</v>
      </c>
      <c r="K6" s="1284" t="s">
        <v>2107</v>
      </c>
      <c r="L6" s="294" t="s">
        <v>696</v>
      </c>
      <c r="M6" s="295">
        <f ca="1">INDIRECT("'数据-取费表'!z"&amp;$G$1)</f>
        <v>0</v>
      </c>
    </row>
    <row r="7" spans="1:37" ht="18" customHeight="1">
      <c r="A7" s="1010"/>
      <c r="B7" s="3344"/>
      <c r="C7" s="1012"/>
      <c r="D7" s="299"/>
      <c r="E7" s="1013" t="s">
        <v>697</v>
      </c>
      <c r="F7" s="295">
        <f ca="1">IF(INDIRECT("'数据-取费表'!ah"&amp;$G$1)="",INDIRECT("'数据-取费表'!k"&amp;$G$1),INDIRECT("'数据-取费表'!ah"&amp;$G$1))</f>
        <v>0</v>
      </c>
      <c r="G7" s="1292"/>
      <c r="H7" s="296"/>
      <c r="I7" s="3344"/>
      <c r="J7" s="298"/>
      <c r="K7" s="299"/>
      <c r="L7" s="294" t="s">
        <v>697</v>
      </c>
      <c r="M7" s="295">
        <f ca="1">F7</f>
        <v>0</v>
      </c>
    </row>
    <row r="8" spans="1:37" ht="18" customHeight="1">
      <c r="A8" s="296"/>
      <c r="B8" s="3344"/>
      <c r="C8" s="298"/>
      <c r="D8" s="299"/>
      <c r="E8" s="294" t="s">
        <v>698</v>
      </c>
      <c r="F8" s="295">
        <f ca="1">INDIRECT("'数据-取费表'!ai"&amp;$G$1)</f>
        <v>0</v>
      </c>
      <c r="G8" s="1292"/>
      <c r="H8" s="296"/>
      <c r="I8" s="3344"/>
      <c r="J8" s="298"/>
      <c r="K8" s="299"/>
      <c r="L8" s="294" t="s">
        <v>698</v>
      </c>
      <c r="M8" s="295">
        <f ca="1">INDIRECT("'数据-取费表'!ai"&amp;$G$1)</f>
        <v>0</v>
      </c>
    </row>
    <row r="9" spans="1:37" ht="18" customHeight="1">
      <c r="A9" s="296"/>
      <c r="B9" s="3345"/>
      <c r="C9" s="298"/>
      <c r="D9" s="299"/>
      <c r="E9" s="294" t="s">
        <v>699</v>
      </c>
      <c r="F9" s="304">
        <f ca="1">INDIRECT("'数据-取费表'!w"&amp;$G$1)</f>
        <v>0</v>
      </c>
      <c r="G9" s="1292"/>
      <c r="H9" s="296"/>
      <c r="I9" s="334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1" t="s">
        <v>837</v>
      </c>
      <c r="L53" s="3342"/>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3359</v>
      </c>
      <c r="E2" s="3138"/>
      <c r="F2" s="2596"/>
      <c r="G2" s="2597"/>
      <c r="H2" s="2598"/>
      <c r="I2" s="2599"/>
      <c r="J2" s="3352" t="s">
        <v>2317</v>
      </c>
      <c r="K2" s="3353"/>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54" t="s">
        <v>2327</v>
      </c>
      <c r="K3" s="3355"/>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54" t="s">
        <v>2329</v>
      </c>
      <c r="K4" s="3355"/>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60" t="s">
        <v>2333</v>
      </c>
      <c r="B6" s="3361"/>
      <c r="C6" s="3362"/>
      <c r="D6" s="2620"/>
      <c r="E6" s="2621"/>
      <c r="F6" s="2622"/>
      <c r="G6" s="2623"/>
      <c r="H6" s="2598"/>
      <c r="I6" s="2599"/>
      <c r="J6" s="3346">
        <v>1</v>
      </c>
      <c r="K6" s="3347"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46"/>
      <c r="K7" s="3348"/>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63" t="s">
        <v>2347</v>
      </c>
      <c r="C8" s="3364"/>
      <c r="D8" s="2639" t="s">
        <v>2348</v>
      </c>
      <c r="E8" s="2640" t="s">
        <v>2349</v>
      </c>
      <c r="F8" s="2641" t="s">
        <v>2350</v>
      </c>
      <c r="G8" s="2642"/>
      <c r="H8" s="2598"/>
      <c r="I8" s="2599"/>
      <c r="J8" s="3346"/>
      <c r="K8" s="3348"/>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63" t="s">
        <v>2353</v>
      </c>
      <c r="C9" s="3364"/>
      <c r="D9" s="2639">
        <f>ROUND(D6*E9,0)</f>
        <v>0</v>
      </c>
      <c r="E9" s="2643"/>
      <c r="F9" s="2644" t="s">
        <v>2354</v>
      </c>
      <c r="G9" s="2623"/>
      <c r="H9" s="2598"/>
      <c r="I9" s="2599"/>
      <c r="J9" s="3346"/>
      <c r="K9" s="3348"/>
      <c r="L9" s="2633" t="s">
        <v>2355</v>
      </c>
      <c r="M9" s="2634"/>
      <c r="N9" s="2610"/>
      <c r="O9" s="2635"/>
      <c r="P9" s="2635"/>
      <c r="Q9" s="2636">
        <v>365</v>
      </c>
      <c r="R9" s="2637">
        <f t="shared" si="0"/>
        <v>0</v>
      </c>
      <c r="S9" s="2591"/>
      <c r="T9" s="2591"/>
      <c r="U9" s="2591"/>
      <c r="V9" s="2599"/>
    </row>
    <row r="10" spans="1:22" s="2603" customFormat="1" ht="13.15" customHeight="1">
      <c r="A10" s="2638">
        <v>2</v>
      </c>
      <c r="B10" s="3363" t="s">
        <v>2356</v>
      </c>
      <c r="C10" s="3364"/>
      <c r="D10" s="2639">
        <f>ROUND(D6*E10,0)</f>
        <v>0</v>
      </c>
      <c r="E10" s="2643"/>
      <c r="F10" s="2644" t="s">
        <v>2357</v>
      </c>
      <c r="G10" s="2623"/>
      <c r="H10" s="2598"/>
      <c r="I10" s="2599"/>
      <c r="J10" s="3346"/>
      <c r="K10" s="3348"/>
      <c r="L10" s="2633" t="s">
        <v>2358</v>
      </c>
      <c r="M10" s="2634"/>
      <c r="N10" s="2610"/>
      <c r="O10" s="2635"/>
      <c r="P10" s="2635"/>
      <c r="Q10" s="2636">
        <v>365</v>
      </c>
      <c r="R10" s="2637">
        <f t="shared" si="0"/>
        <v>0</v>
      </c>
      <c r="S10" s="2591"/>
      <c r="T10" s="2591"/>
      <c r="U10" s="2591"/>
      <c r="V10" s="2599"/>
    </row>
    <row r="11" spans="1:22" s="2603" customFormat="1" ht="13.15" customHeight="1">
      <c r="A11" s="2638">
        <v>3</v>
      </c>
      <c r="B11" s="3363" t="s">
        <v>2359</v>
      </c>
      <c r="C11" s="3364"/>
      <c r="D11" s="2639">
        <f>D12+D14+D15+D16</f>
        <v>0</v>
      </c>
      <c r="E11" s="2645" t="e">
        <f>D11/D6</f>
        <v>#DIV/0!</v>
      </c>
      <c r="F11" s="2641"/>
      <c r="G11" s="2642"/>
      <c r="H11" s="2598"/>
      <c r="I11" s="2599"/>
      <c r="J11" s="3346"/>
      <c r="K11" s="3348"/>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56" t="s">
        <v>2362</v>
      </c>
      <c r="C12" s="3357"/>
      <c r="D12" s="2647">
        <f>ROUND(D13*1.2%*(1-30%),0)</f>
        <v>0</v>
      </c>
      <c r="E12" s="2648">
        <v>1.2E-2</v>
      </c>
      <c r="F12" s="2641" t="s">
        <v>2363</v>
      </c>
      <c r="G12" s="2642"/>
      <c r="H12" s="2598"/>
      <c r="I12" s="2599"/>
      <c r="J12" s="3346"/>
      <c r="K12" s="3348"/>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46"/>
      <c r="K13" s="3348"/>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56" t="s">
        <v>2368</v>
      </c>
      <c r="C14" s="3357"/>
      <c r="D14" s="2647">
        <f>ROUND(E14*B5/10000,0)</f>
        <v>0</v>
      </c>
      <c r="E14" s="2636"/>
      <c r="F14" s="2641" t="s">
        <v>2369</v>
      </c>
      <c r="G14" s="2642"/>
      <c r="H14" s="2598"/>
      <c r="I14" s="2599"/>
      <c r="J14" s="3346"/>
      <c r="K14" s="3349"/>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56" t="s">
        <v>2372</v>
      </c>
      <c r="C15" s="3357"/>
      <c r="D15" s="2647">
        <f>ROUND(D6*E15,0)</f>
        <v>0</v>
      </c>
      <c r="E15" s="2648">
        <v>5.5E-2</v>
      </c>
      <c r="F15" s="2641" t="s">
        <v>2373</v>
      </c>
      <c r="G15" s="2623"/>
      <c r="H15" s="2598"/>
      <c r="I15" s="2599"/>
      <c r="J15" s="3346">
        <v>2</v>
      </c>
      <c r="K15" s="3347"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56" t="s">
        <v>2381</v>
      </c>
      <c r="C16" s="3357"/>
      <c r="D16" s="2658">
        <f>D6*E16</f>
        <v>0</v>
      </c>
      <c r="E16" s="2659"/>
      <c r="F16" s="2644" t="s">
        <v>2382</v>
      </c>
      <c r="G16" s="2623"/>
      <c r="H16" s="2598"/>
      <c r="I16" s="2599"/>
      <c r="J16" s="3346"/>
      <c r="K16" s="3348"/>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58" t="s">
        <v>2384</v>
      </c>
      <c r="C17" s="3359"/>
      <c r="D17" s="2661">
        <f>ROUND(D6*E17,0)</f>
        <v>0</v>
      </c>
      <c r="E17" s="2662"/>
      <c r="F17" s="2663" t="s">
        <v>2385</v>
      </c>
      <c r="G17" s="2623"/>
      <c r="H17" s="2598"/>
      <c r="I17" s="2599"/>
      <c r="J17" s="3346"/>
      <c r="K17" s="3348"/>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46"/>
      <c r="K18" s="3348"/>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46"/>
      <c r="K19" s="3349"/>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46">
        <v>3</v>
      </c>
      <c r="K20" s="3347"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46"/>
      <c r="K21" s="3348"/>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46"/>
      <c r="K22" s="3348"/>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46"/>
      <c r="K23" s="3348"/>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46"/>
      <c r="K24" s="3349"/>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50">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51"/>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52" t="s">
        <v>2317</v>
      </c>
      <c r="K32" s="3353"/>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54" t="s">
        <v>2327</v>
      </c>
      <c r="K33" s="3355"/>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54" t="s">
        <v>2329</v>
      </c>
      <c r="K34" s="3355"/>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46">
        <v>1</v>
      </c>
      <c r="K36" s="3347"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46"/>
      <c r="K37" s="3348"/>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46"/>
      <c r="K38" s="3348"/>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46"/>
      <c r="K39" s="3348"/>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46"/>
      <c r="K40" s="3349"/>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50">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51"/>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75">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365" t="s">
        <v>1654</v>
      </c>
      <c r="C5" s="3366"/>
      <c r="D5" s="2479"/>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314.99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85" t="s">
        <v>1667</v>
      </c>
      <c r="D4" s="3386"/>
      <c r="E4" s="3387" t="s">
        <v>1668</v>
      </c>
      <c r="F4" s="3388"/>
      <c r="G4" s="3385" t="s">
        <v>1669</v>
      </c>
      <c r="H4" s="3386"/>
      <c r="I4" s="3385" t="s">
        <v>1670</v>
      </c>
      <c r="J4" s="3386"/>
      <c r="K4" s="1744" t="s">
        <v>1671</v>
      </c>
      <c r="L4" s="2485"/>
      <c r="M4" s="2486"/>
      <c r="N4" s="2486"/>
      <c r="O4" s="2486"/>
      <c r="P4" s="3389" t="s">
        <v>1672</v>
      </c>
      <c r="Q4" s="3390"/>
      <c r="R4" s="3395" t="s">
        <v>1668</v>
      </c>
      <c r="S4" s="3396"/>
      <c r="T4" s="3395" t="s">
        <v>1669</v>
      </c>
      <c r="U4" s="3396"/>
      <c r="V4" s="3371" t="s">
        <v>1670</v>
      </c>
      <c r="W4" s="3371"/>
      <c r="X4" s="1265"/>
      <c r="Y4" s="3395" t="s">
        <v>1672</v>
      </c>
      <c r="Z4" s="3396"/>
      <c r="AA4" s="3382" t="s">
        <v>1668</v>
      </c>
      <c r="AB4" s="3382" t="s">
        <v>1669</v>
      </c>
      <c r="AC4" s="3382" t="s">
        <v>1670</v>
      </c>
    </row>
    <row r="5" spans="1:29" ht="15">
      <c r="A5" s="348"/>
      <c r="B5" s="349"/>
      <c r="C5" s="3403" t="s">
        <v>1673</v>
      </c>
      <c r="D5" s="3404"/>
      <c r="E5" s="3410" t="s">
        <v>1674</v>
      </c>
      <c r="F5" s="3411"/>
      <c r="G5" s="3403" t="s">
        <v>1675</v>
      </c>
      <c r="H5" s="3404"/>
      <c r="I5" s="3403" t="s">
        <v>1676</v>
      </c>
      <c r="J5" s="3404"/>
      <c r="K5" s="1745"/>
      <c r="L5" s="2485"/>
      <c r="M5" s="2486"/>
      <c r="N5" s="2486"/>
      <c r="O5" s="2486"/>
      <c r="P5" s="3391"/>
      <c r="Q5" s="3392"/>
      <c r="R5" s="3397"/>
      <c r="S5" s="3398"/>
      <c r="T5" s="3397"/>
      <c r="U5" s="3398"/>
      <c r="V5" s="3371"/>
      <c r="W5" s="3371"/>
      <c r="X5" s="1265"/>
      <c r="Y5" s="3397"/>
      <c r="Z5" s="3398"/>
      <c r="AA5" s="3383"/>
      <c r="AB5" s="3383"/>
      <c r="AC5" s="3383"/>
    </row>
    <row r="6" spans="1:29" ht="15.75" thickBot="1">
      <c r="A6" s="350"/>
      <c r="B6" s="351"/>
      <c r="C6" s="3401" t="s">
        <v>1677</v>
      </c>
      <c r="D6" s="3402"/>
      <c r="E6" s="3408" t="s">
        <v>1677</v>
      </c>
      <c r="F6" s="3409"/>
      <c r="G6" s="3401" t="s">
        <v>1677</v>
      </c>
      <c r="H6" s="3402"/>
      <c r="I6" s="3401" t="s">
        <v>1677</v>
      </c>
      <c r="J6" s="3402"/>
      <c r="K6" s="1745" t="s">
        <v>1678</v>
      </c>
      <c r="L6" s="2485"/>
      <c r="M6" s="2486"/>
      <c r="N6" s="2486"/>
      <c r="O6" s="2486"/>
      <c r="P6" s="3393"/>
      <c r="Q6" s="3394"/>
      <c r="R6" s="3397"/>
      <c r="S6" s="3398"/>
      <c r="T6" s="3399"/>
      <c r="U6" s="3400"/>
      <c r="V6" s="3371"/>
      <c r="W6" s="3371"/>
      <c r="X6" s="1265"/>
      <c r="Y6" s="3399"/>
      <c r="Z6" s="3400"/>
      <c r="AA6" s="3384"/>
      <c r="AB6" s="3384"/>
      <c r="AC6" s="3384"/>
    </row>
    <row r="7" spans="1:29" s="102" customFormat="1" ht="15.75" thickBot="1">
      <c r="A7" s="352" t="s">
        <v>1679</v>
      </c>
      <c r="B7" s="353"/>
      <c r="C7" s="354">
        <f>'数据-取费表'!B2</f>
        <v>45735</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5" t="s">
        <v>1680</v>
      </c>
      <c r="Q7" s="3407"/>
      <c r="R7" s="664" t="s">
        <v>20</v>
      </c>
      <c r="S7" s="665">
        <f t="shared" ref="S7:S15" si="0">F7</f>
        <v>0</v>
      </c>
      <c r="T7" s="664" t="s">
        <v>20</v>
      </c>
      <c r="U7" s="665">
        <f t="shared" ref="U7:U15" si="1">H7</f>
        <v>0</v>
      </c>
      <c r="V7" s="664" t="s">
        <v>20</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5" t="s">
        <v>1683</v>
      </c>
      <c r="Q8" s="3406"/>
      <c r="R8" s="664" t="s">
        <v>20</v>
      </c>
      <c r="S8" s="665">
        <f t="shared" si="0"/>
        <v>100</v>
      </c>
      <c r="T8" s="664" t="s">
        <v>20</v>
      </c>
      <c r="U8" s="665">
        <f t="shared" si="1"/>
        <v>100</v>
      </c>
      <c r="V8" s="664" t="s">
        <v>20</v>
      </c>
      <c r="W8" s="665">
        <f t="shared" si="2"/>
        <v>100</v>
      </c>
      <c r="X8" s="666"/>
      <c r="Y8" s="3405" t="s">
        <v>1683</v>
      </c>
      <c r="Z8" s="340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1"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1"/>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1"/>
      <c r="Q11" s="530" t="str">
        <f t="shared" si="6"/>
        <v>容积率</v>
      </c>
      <c r="R11" s="664" t="s">
        <v>18</v>
      </c>
      <c r="S11" s="665" t="e">
        <f t="shared" si="0"/>
        <v>#N/A</v>
      </c>
      <c r="T11" s="664" t="s">
        <v>18</v>
      </c>
      <c r="U11" s="665" t="e">
        <f t="shared" si="1"/>
        <v>#N/A</v>
      </c>
      <c r="V11" s="664" t="s">
        <v>18</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1"/>
      <c r="Q12" s="530">
        <f t="shared" si="6"/>
        <v>111</v>
      </c>
      <c r="R12" s="664" t="s">
        <v>18</v>
      </c>
      <c r="S12" s="665">
        <f t="shared" si="0"/>
        <v>100</v>
      </c>
      <c r="T12" s="664" t="s">
        <v>18</v>
      </c>
      <c r="U12" s="665">
        <f t="shared" si="1"/>
        <v>100</v>
      </c>
      <c r="V12" s="664" t="s">
        <v>18</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1"/>
      <c r="Q13" s="530">
        <f t="shared" si="6"/>
        <v>111</v>
      </c>
      <c r="R13" s="664" t="s">
        <v>18</v>
      </c>
      <c r="S13" s="665">
        <f t="shared" si="0"/>
        <v>100</v>
      </c>
      <c r="T13" s="664" t="s">
        <v>18</v>
      </c>
      <c r="U13" s="665">
        <f t="shared" si="1"/>
        <v>100</v>
      </c>
      <c r="V13" s="664" t="s">
        <v>18</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1"/>
      <c r="Q14" s="530">
        <f t="shared" si="6"/>
        <v>111</v>
      </c>
      <c r="R14" s="664" t="s">
        <v>18</v>
      </c>
      <c r="S14" s="665">
        <f t="shared" si="0"/>
        <v>100</v>
      </c>
      <c r="T14" s="664" t="s">
        <v>18</v>
      </c>
      <c r="U14" s="665">
        <f t="shared" si="1"/>
        <v>100</v>
      </c>
      <c r="V14" s="664" t="s">
        <v>18</v>
      </c>
      <c r="W14" s="665">
        <f t="shared" si="2"/>
        <v>100</v>
      </c>
      <c r="X14" s="666"/>
      <c r="Y14" s="324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9" t="s">
        <v>1691</v>
      </c>
      <c r="Q15" s="1263" t="str">
        <f t="shared" si="6"/>
        <v>居住社区成熟度</v>
      </c>
      <c r="R15" s="667" t="s">
        <v>18</v>
      </c>
      <c r="S15" s="668">
        <f t="shared" si="0"/>
        <v>100</v>
      </c>
      <c r="T15" s="667" t="s">
        <v>18</v>
      </c>
      <c r="U15" s="668">
        <f t="shared" si="1"/>
        <v>100</v>
      </c>
      <c r="V15" s="667" t="s">
        <v>18</v>
      </c>
      <c r="W15" s="668">
        <f t="shared" si="2"/>
        <v>100</v>
      </c>
      <c r="X15" s="1265"/>
      <c r="Y15" s="337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0"/>
      <c r="Q16" s="1263"/>
      <c r="R16" s="667"/>
      <c r="S16" s="668"/>
      <c r="T16" s="667"/>
      <c r="U16" s="668"/>
      <c r="V16" s="667"/>
      <c r="W16" s="668"/>
      <c r="X16" s="1265"/>
      <c r="Y16" s="337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0"/>
      <c r="Q17" s="1263" t="str">
        <f>B17</f>
        <v>交通便捷度</v>
      </c>
      <c r="R17" s="667" t="s">
        <v>18</v>
      </c>
      <c r="S17" s="668">
        <f>F17</f>
        <v>100</v>
      </c>
      <c r="T17" s="667" t="s">
        <v>18</v>
      </c>
      <c r="U17" s="668">
        <f>H17</f>
        <v>100</v>
      </c>
      <c r="V17" s="667" t="s">
        <v>18</v>
      </c>
      <c r="W17" s="668">
        <f>J17</f>
        <v>100</v>
      </c>
      <c r="X17" s="1265"/>
      <c r="Y17" s="337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0"/>
      <c r="Q18" s="1263"/>
      <c r="R18" s="667"/>
      <c r="S18" s="668"/>
      <c r="T18" s="667"/>
      <c r="U18" s="668"/>
      <c r="V18" s="667"/>
      <c r="W18" s="668"/>
      <c r="X18" s="1265"/>
      <c r="Y18" s="337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0"/>
      <c r="Q19" s="1263" t="str">
        <f>B19</f>
        <v>公共配套设施</v>
      </c>
      <c r="R19" s="667" t="s">
        <v>18</v>
      </c>
      <c r="S19" s="668">
        <f>F19</f>
        <v>100</v>
      </c>
      <c r="T19" s="667" t="s">
        <v>18</v>
      </c>
      <c r="U19" s="668">
        <f>H19</f>
        <v>100</v>
      </c>
      <c r="V19" s="667" t="s">
        <v>18</v>
      </c>
      <c r="W19" s="668">
        <f>J19</f>
        <v>100</v>
      </c>
      <c r="X19" s="1265"/>
      <c r="Y19" s="337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0"/>
      <c r="Q20" s="1263"/>
      <c r="R20" s="667"/>
      <c r="S20" s="668"/>
      <c r="T20" s="667"/>
      <c r="U20" s="668"/>
      <c r="V20" s="667"/>
      <c r="W20" s="668"/>
      <c r="X20" s="1265"/>
      <c r="Y20" s="337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0"/>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0"/>
      <c r="Q22" s="1263"/>
      <c r="R22" s="667"/>
      <c r="S22" s="668"/>
      <c r="T22" s="667"/>
      <c r="U22" s="668"/>
      <c r="V22" s="667"/>
      <c r="W22" s="668"/>
      <c r="X22" s="1265"/>
      <c r="Y22" s="337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0"/>
      <c r="Q23" s="1263" t="str">
        <f>B23</f>
        <v>自然及人文环境</v>
      </c>
      <c r="R23" s="667" t="s">
        <v>18</v>
      </c>
      <c r="S23" s="668">
        <f>F23</f>
        <v>100</v>
      </c>
      <c r="T23" s="667" t="s">
        <v>18</v>
      </c>
      <c r="U23" s="668">
        <f>H23</f>
        <v>100</v>
      </c>
      <c r="V23" s="667" t="s">
        <v>18</v>
      </c>
      <c r="W23" s="668">
        <f>J23</f>
        <v>100</v>
      </c>
      <c r="X23" s="1265"/>
      <c r="Y23" s="337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0"/>
      <c r="Q24" s="1263"/>
      <c r="R24" s="667"/>
      <c r="S24" s="668"/>
      <c r="T24" s="667"/>
      <c r="U24" s="668"/>
      <c r="V24" s="667"/>
      <c r="W24" s="668"/>
      <c r="X24" s="1265"/>
      <c r="Y24" s="337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0"/>
      <c r="Q26" s="1263" t="str">
        <f t="shared" si="11"/>
        <v>朝向</v>
      </c>
      <c r="R26" s="667" t="s">
        <v>18</v>
      </c>
      <c r="S26" s="668">
        <f t="shared" si="12"/>
        <v>100</v>
      </c>
      <c r="T26" s="667" t="s">
        <v>18</v>
      </c>
      <c r="U26" s="668">
        <f t="shared" si="13"/>
        <v>100</v>
      </c>
      <c r="V26" s="667" t="s">
        <v>18</v>
      </c>
      <c r="W26" s="668">
        <f t="shared" si="14"/>
        <v>100</v>
      </c>
      <c r="X26" s="1265"/>
      <c r="Y26" s="337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0"/>
      <c r="Q27" s="530">
        <f t="shared" si="11"/>
        <v>111</v>
      </c>
      <c r="R27" s="664" t="s">
        <v>18</v>
      </c>
      <c r="S27" s="665">
        <f t="shared" si="12"/>
        <v>100</v>
      </c>
      <c r="T27" s="664" t="s">
        <v>18</v>
      </c>
      <c r="U27" s="665">
        <f t="shared" si="13"/>
        <v>100</v>
      </c>
      <c r="V27" s="664" t="s">
        <v>18</v>
      </c>
      <c r="W27" s="665">
        <f t="shared" si="14"/>
        <v>100</v>
      </c>
      <c r="X27" s="666"/>
      <c r="Y27" s="337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0"/>
      <c r="Q28" s="1263">
        <f t="shared" si="11"/>
        <v>111</v>
      </c>
      <c r="R28" s="667" t="s">
        <v>18</v>
      </c>
      <c r="S28" s="668">
        <f t="shared" si="12"/>
        <v>100</v>
      </c>
      <c r="T28" s="667" t="s">
        <v>18</v>
      </c>
      <c r="U28" s="668">
        <f t="shared" si="13"/>
        <v>100</v>
      </c>
      <c r="V28" s="667" t="s">
        <v>18</v>
      </c>
      <c r="W28" s="668">
        <f t="shared" si="14"/>
        <v>100</v>
      </c>
      <c r="X28" s="1265"/>
      <c r="Y28" s="337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0"/>
      <c r="Q29" s="1263">
        <f t="shared" si="11"/>
        <v>111</v>
      </c>
      <c r="R29" s="667" t="s">
        <v>18</v>
      </c>
      <c r="S29" s="668">
        <f t="shared" si="12"/>
        <v>100</v>
      </c>
      <c r="T29" s="667" t="s">
        <v>18</v>
      </c>
      <c r="U29" s="668">
        <f t="shared" si="13"/>
        <v>100</v>
      </c>
      <c r="V29" s="667" t="s">
        <v>18</v>
      </c>
      <c r="W29" s="668">
        <f t="shared" si="14"/>
        <v>100</v>
      </c>
      <c r="X29" s="1265"/>
      <c r="Y29" s="337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0"/>
      <c r="Q30" s="1263">
        <f t="shared" si="11"/>
        <v>111</v>
      </c>
      <c r="R30" s="667" t="s">
        <v>18</v>
      </c>
      <c r="S30" s="668">
        <f t="shared" si="12"/>
        <v>100</v>
      </c>
      <c r="T30" s="667" t="s">
        <v>18</v>
      </c>
      <c r="U30" s="668">
        <f t="shared" si="13"/>
        <v>100</v>
      </c>
      <c r="V30" s="667" t="s">
        <v>18</v>
      </c>
      <c r="W30" s="668">
        <f t="shared" si="14"/>
        <v>100</v>
      </c>
      <c r="X30" s="1265"/>
      <c r="Y30" s="337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0"/>
      <c r="Q31" s="1263">
        <f t="shared" si="11"/>
        <v>111</v>
      </c>
      <c r="R31" s="667" t="s">
        <v>18</v>
      </c>
      <c r="S31" s="668">
        <f t="shared" si="12"/>
        <v>100</v>
      </c>
      <c r="T31" s="667" t="s">
        <v>18</v>
      </c>
      <c r="U31" s="668">
        <f t="shared" si="13"/>
        <v>100</v>
      </c>
      <c r="V31" s="667" t="s">
        <v>18</v>
      </c>
      <c r="W31" s="668">
        <f t="shared" si="14"/>
        <v>100</v>
      </c>
      <c r="X31" s="1265"/>
      <c r="Y31" s="337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4" t="s">
        <v>1696</v>
      </c>
      <c r="Q32" s="1263" t="str">
        <f t="shared" si="11"/>
        <v>建筑类型</v>
      </c>
      <c r="R32" s="667" t="s">
        <v>18</v>
      </c>
      <c r="S32" s="668">
        <f t="shared" si="12"/>
        <v>100</v>
      </c>
      <c r="T32" s="667" t="s">
        <v>18</v>
      </c>
      <c r="U32" s="668">
        <f t="shared" si="13"/>
        <v>100</v>
      </c>
      <c r="V32" s="667" t="s">
        <v>18</v>
      </c>
      <c r="W32" s="668">
        <f t="shared" si="14"/>
        <v>100</v>
      </c>
      <c r="X32" s="1265"/>
      <c r="Y32" s="337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75"/>
      <c r="Q33" s="531" t="str">
        <f t="shared" si="11"/>
        <v>项目建筑规模</v>
      </c>
      <c r="R33" s="669" t="s">
        <v>18</v>
      </c>
      <c r="S33" s="670" t="e">
        <f t="shared" si="12"/>
        <v>#N/A</v>
      </c>
      <c r="T33" s="669" t="s">
        <v>18</v>
      </c>
      <c r="U33" s="670" t="e">
        <f t="shared" si="13"/>
        <v>#N/A</v>
      </c>
      <c r="V33" s="669" t="s">
        <v>18</v>
      </c>
      <c r="W33" s="670" t="e">
        <f t="shared" si="14"/>
        <v>#N/A</v>
      </c>
      <c r="X33" s="671"/>
      <c r="Y33" s="337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75"/>
      <c r="Q34" s="1263" t="str">
        <f t="shared" si="11"/>
        <v>建筑结构</v>
      </c>
      <c r="R34" s="667" t="s">
        <v>18</v>
      </c>
      <c r="S34" s="668">
        <f t="shared" si="12"/>
        <v>100</v>
      </c>
      <c r="T34" s="667" t="s">
        <v>18</v>
      </c>
      <c r="U34" s="668">
        <f t="shared" si="13"/>
        <v>100</v>
      </c>
      <c r="V34" s="667" t="s">
        <v>18</v>
      </c>
      <c r="W34" s="668">
        <f t="shared" si="14"/>
        <v>100</v>
      </c>
      <c r="X34" s="1265"/>
      <c r="Y34" s="337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5"/>
      <c r="Q35" s="1263" t="str">
        <f t="shared" si="11"/>
        <v>建筑品质</v>
      </c>
      <c r="R35" s="667" t="s">
        <v>18</v>
      </c>
      <c r="S35" s="668">
        <f t="shared" si="12"/>
        <v>100</v>
      </c>
      <c r="T35" s="667" t="s">
        <v>18</v>
      </c>
      <c r="U35" s="668">
        <f t="shared" si="13"/>
        <v>100</v>
      </c>
      <c r="V35" s="667" t="s">
        <v>18</v>
      </c>
      <c r="W35" s="668">
        <f t="shared" si="14"/>
        <v>100</v>
      </c>
      <c r="X35" s="1265"/>
      <c r="Y35" s="337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5"/>
      <c r="Q36" s="1263" t="str">
        <f t="shared" si="11"/>
        <v>公共部分装修</v>
      </c>
      <c r="R36" s="667" t="s">
        <v>18</v>
      </c>
      <c r="S36" s="668">
        <f t="shared" si="12"/>
        <v>100</v>
      </c>
      <c r="T36" s="667" t="s">
        <v>18</v>
      </c>
      <c r="U36" s="668">
        <f t="shared" si="13"/>
        <v>100</v>
      </c>
      <c r="V36" s="667" t="s">
        <v>18</v>
      </c>
      <c r="W36" s="668">
        <f t="shared" si="14"/>
        <v>100</v>
      </c>
      <c r="X36" s="1265"/>
      <c r="Y36" s="337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75"/>
      <c r="Q37" s="530" t="str">
        <f t="shared" si="11"/>
        <v>成新度</v>
      </c>
      <c r="R37" s="664" t="s">
        <v>18</v>
      </c>
      <c r="S37" s="665" t="e">
        <f t="shared" si="12"/>
        <v>#N/A</v>
      </c>
      <c r="T37" s="664" t="s">
        <v>18</v>
      </c>
      <c r="U37" s="665" t="e">
        <f t="shared" si="13"/>
        <v>#N/A</v>
      </c>
      <c r="V37" s="664" t="s">
        <v>18</v>
      </c>
      <c r="W37" s="665" t="e">
        <f t="shared" si="14"/>
        <v>#N/A</v>
      </c>
      <c r="X37" s="666"/>
      <c r="Y37" s="337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75" t="s">
        <v>1696</v>
      </c>
      <c r="Q38" s="1263" t="str">
        <f t="shared" si="11"/>
        <v>物业管理</v>
      </c>
      <c r="R38" s="667" t="s">
        <v>18</v>
      </c>
      <c r="S38" s="668">
        <f t="shared" si="12"/>
        <v>100</v>
      </c>
      <c r="T38" s="667" t="s">
        <v>18</v>
      </c>
      <c r="U38" s="668">
        <f t="shared" si="13"/>
        <v>100</v>
      </c>
      <c r="V38" s="667" t="s">
        <v>18</v>
      </c>
      <c r="W38" s="668">
        <f t="shared" si="14"/>
        <v>100</v>
      </c>
      <c r="X38" s="1265"/>
      <c r="Y38" s="337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5"/>
      <c r="Q39" s="1263" t="str">
        <f t="shared" si="11"/>
        <v>市政基础设施</v>
      </c>
      <c r="R39" s="667" t="s">
        <v>18</v>
      </c>
      <c r="S39" s="668">
        <f t="shared" si="12"/>
        <v>100</v>
      </c>
      <c r="T39" s="667" t="s">
        <v>18</v>
      </c>
      <c r="U39" s="668">
        <f t="shared" si="13"/>
        <v>100</v>
      </c>
      <c r="V39" s="667" t="s">
        <v>18</v>
      </c>
      <c r="W39" s="668">
        <f t="shared" si="14"/>
        <v>100</v>
      </c>
      <c r="X39" s="1265"/>
      <c r="Y39" s="337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5"/>
      <c r="Q40" s="1263" t="str">
        <f t="shared" si="11"/>
        <v>房型</v>
      </c>
      <c r="R40" s="667" t="s">
        <v>18</v>
      </c>
      <c r="S40" s="668">
        <f t="shared" si="12"/>
        <v>100</v>
      </c>
      <c r="T40" s="667" t="s">
        <v>18</v>
      </c>
      <c r="U40" s="668">
        <f t="shared" si="13"/>
        <v>100</v>
      </c>
      <c r="V40" s="667" t="s">
        <v>18</v>
      </c>
      <c r="W40" s="668">
        <f t="shared" si="14"/>
        <v>100</v>
      </c>
      <c r="X40" s="1265"/>
      <c r="Y40" s="337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5"/>
      <c r="Q41" s="531" t="str">
        <f t="shared" si="11"/>
        <v>单套/主力户型建筑面积</v>
      </c>
      <c r="R41" s="669" t="s">
        <v>18</v>
      </c>
      <c r="S41" s="670">
        <f t="shared" si="12"/>
        <v>100</v>
      </c>
      <c r="T41" s="669" t="s">
        <v>18</v>
      </c>
      <c r="U41" s="670">
        <f t="shared" si="13"/>
        <v>100</v>
      </c>
      <c r="V41" s="669" t="s">
        <v>18</v>
      </c>
      <c r="W41" s="670">
        <f t="shared" si="14"/>
        <v>100</v>
      </c>
      <c r="X41" s="671"/>
      <c r="Y41" s="337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75"/>
      <c r="Q42" s="1263" t="str">
        <f t="shared" si="11"/>
        <v>内部装修</v>
      </c>
      <c r="R42" s="667" t="s">
        <v>18</v>
      </c>
      <c r="S42" s="668">
        <f t="shared" si="12"/>
        <v>100</v>
      </c>
      <c r="T42" s="667" t="s">
        <v>18</v>
      </c>
      <c r="U42" s="668">
        <f t="shared" si="13"/>
        <v>100</v>
      </c>
      <c r="V42" s="667" t="s">
        <v>18</v>
      </c>
      <c r="W42" s="668">
        <f t="shared" si="14"/>
        <v>100</v>
      </c>
      <c r="X42" s="1265"/>
      <c r="Y42" s="337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75"/>
      <c r="Q43" s="1263" t="str">
        <f t="shared" si="11"/>
        <v>内部装修维护情况</v>
      </c>
      <c r="R43" s="667" t="s">
        <v>18</v>
      </c>
      <c r="S43" s="668">
        <f t="shared" si="12"/>
        <v>100</v>
      </c>
      <c r="T43" s="667" t="s">
        <v>18</v>
      </c>
      <c r="U43" s="668">
        <f t="shared" si="13"/>
        <v>100</v>
      </c>
      <c r="V43" s="667" t="s">
        <v>18</v>
      </c>
      <c r="W43" s="668">
        <f t="shared" si="14"/>
        <v>100</v>
      </c>
      <c r="X43" s="1265"/>
      <c r="Y43" s="337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75"/>
      <c r="Q44" s="530">
        <f t="shared" si="11"/>
        <v>111</v>
      </c>
      <c r="R44" s="664" t="s">
        <v>18</v>
      </c>
      <c r="S44" s="665">
        <f t="shared" si="12"/>
        <v>100</v>
      </c>
      <c r="T44" s="664" t="s">
        <v>18</v>
      </c>
      <c r="U44" s="665">
        <f t="shared" si="13"/>
        <v>100</v>
      </c>
      <c r="V44" s="664" t="s">
        <v>18</v>
      </c>
      <c r="W44" s="665">
        <f t="shared" si="14"/>
        <v>100</v>
      </c>
      <c r="X44" s="666"/>
      <c r="Y44" s="337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5"/>
      <c r="Q45" s="1263">
        <f t="shared" si="11"/>
        <v>111</v>
      </c>
      <c r="R45" s="667" t="s">
        <v>18</v>
      </c>
      <c r="S45" s="668">
        <f t="shared" si="12"/>
        <v>100</v>
      </c>
      <c r="T45" s="667" t="s">
        <v>18</v>
      </c>
      <c r="U45" s="668">
        <f t="shared" si="13"/>
        <v>100</v>
      </c>
      <c r="V45" s="667" t="s">
        <v>18</v>
      </c>
      <c r="W45" s="668">
        <f t="shared" si="14"/>
        <v>100</v>
      </c>
      <c r="X45" s="1265"/>
      <c r="Y45" s="337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6"/>
      <c r="Q46" s="1263">
        <f t="shared" si="11"/>
        <v>111</v>
      </c>
      <c r="R46" s="667" t="s">
        <v>17</v>
      </c>
      <c r="S46" s="668">
        <f t="shared" si="12"/>
        <v>100</v>
      </c>
      <c r="T46" s="667" t="s">
        <v>17</v>
      </c>
      <c r="U46" s="668">
        <f t="shared" si="13"/>
        <v>100</v>
      </c>
      <c r="V46" s="667" t="s">
        <v>17</v>
      </c>
      <c r="W46" s="668">
        <f t="shared" si="14"/>
        <v>100</v>
      </c>
      <c r="X46" s="1265"/>
      <c r="Y46" s="337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370" t="str">
        <f>A47</f>
        <v>成交单价（元/平方米）</v>
      </c>
      <c r="Q47" s="3370"/>
      <c r="R47" s="3371">
        <f>E47</f>
        <v>0</v>
      </c>
      <c r="S47" s="3371"/>
      <c r="T47" s="3371">
        <f>G47</f>
        <v>0</v>
      </c>
      <c r="U47" s="3371"/>
      <c r="V47" s="3371">
        <f>I47</f>
        <v>0</v>
      </c>
      <c r="W47" s="337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314.99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95" t="s">
        <v>1771</v>
      </c>
      <c r="S4" s="3396"/>
      <c r="T4" s="3395" t="s">
        <v>1772</v>
      </c>
      <c r="U4" s="3396"/>
      <c r="V4" s="3371" t="s">
        <v>1773</v>
      </c>
      <c r="W4" s="3371"/>
      <c r="X4" s="1265"/>
      <c r="Y4" s="3395" t="s">
        <v>1775</v>
      </c>
      <c r="Z4" s="3396"/>
      <c r="AA4" s="3382" t="s">
        <v>1771</v>
      </c>
      <c r="AB4" s="3371" t="s">
        <v>1772</v>
      </c>
      <c r="AC4" s="3382" t="s">
        <v>1773</v>
      </c>
    </row>
    <row r="5" spans="1:29" ht="15">
      <c r="A5" s="348"/>
      <c r="B5" s="349"/>
      <c r="C5" s="3403" t="s">
        <v>1673</v>
      </c>
      <c r="D5" s="3404"/>
      <c r="E5" s="3410" t="s">
        <v>1674</v>
      </c>
      <c r="F5" s="3411"/>
      <c r="G5" s="3403" t="s">
        <v>1675</v>
      </c>
      <c r="H5" s="3404"/>
      <c r="I5" s="3403" t="s">
        <v>1676</v>
      </c>
      <c r="J5" s="3404"/>
      <c r="K5" s="537"/>
      <c r="L5" s="2485"/>
      <c r="M5" s="2486"/>
      <c r="N5" s="2486"/>
      <c r="O5" s="2486"/>
      <c r="P5" s="3391"/>
      <c r="Q5" s="3392"/>
      <c r="R5" s="3397"/>
      <c r="S5" s="3398"/>
      <c r="T5" s="3397"/>
      <c r="U5" s="3398"/>
      <c r="V5" s="3371"/>
      <c r="W5" s="3371"/>
      <c r="X5" s="1265"/>
      <c r="Y5" s="3397"/>
      <c r="Z5" s="3398"/>
      <c r="AA5" s="3383"/>
      <c r="AB5" s="3371"/>
      <c r="AC5" s="3383"/>
    </row>
    <row r="6" spans="1:29" ht="15.75" thickBot="1">
      <c r="A6" s="350"/>
      <c r="B6" s="351"/>
      <c r="C6" s="3401" t="s">
        <v>1677</v>
      </c>
      <c r="D6" s="3402"/>
      <c r="E6" s="3408" t="s">
        <v>1677</v>
      </c>
      <c r="F6" s="3409"/>
      <c r="G6" s="3401" t="s">
        <v>1677</v>
      </c>
      <c r="H6" s="3402"/>
      <c r="I6" s="3401" t="s">
        <v>1677</v>
      </c>
      <c r="J6" s="3402"/>
      <c r="K6" s="537" t="s">
        <v>1678</v>
      </c>
      <c r="L6" s="2485"/>
      <c r="M6" s="2486"/>
      <c r="N6" s="2486"/>
      <c r="O6" s="2486"/>
      <c r="P6" s="3393"/>
      <c r="Q6" s="3394"/>
      <c r="R6" s="3397"/>
      <c r="S6" s="3398"/>
      <c r="T6" s="3399"/>
      <c r="U6" s="3400"/>
      <c r="V6" s="3371"/>
      <c r="W6" s="3371"/>
      <c r="X6" s="1265"/>
      <c r="Y6" s="3399"/>
      <c r="Z6" s="3400"/>
      <c r="AA6" s="3384"/>
      <c r="AB6" s="3371"/>
      <c r="AC6" s="3384"/>
    </row>
    <row r="7" spans="1:29" s="102" customFormat="1" ht="15.75" thickBot="1">
      <c r="A7" s="352" t="s">
        <v>1679</v>
      </c>
      <c r="B7" s="353"/>
      <c r="C7" s="354">
        <f>'数据-取费表'!B2</f>
        <v>45735</v>
      </c>
      <c r="D7" s="355">
        <v>100</v>
      </c>
      <c r="E7" s="356"/>
      <c r="F7" s="357">
        <f>SUMIF(58:58,YEAR(E7)&amp;"-"&amp;MONTH(E7),59:59)</f>
        <v>0</v>
      </c>
      <c r="G7" s="356"/>
      <c r="H7" s="355">
        <f>SUMIF(58:58,YEAR(G7)&amp;"-"&amp;MONTH(G7),59:59)</f>
        <v>0</v>
      </c>
      <c r="I7" s="356"/>
      <c r="J7" s="355">
        <f>SUMIF(58:58,YEAR(I7)&amp;"-"&amp;MONTH(I7),59:59)</f>
        <v>0</v>
      </c>
      <c r="K7" s="38"/>
      <c r="L7" s="2487"/>
      <c r="M7" s="2439"/>
      <c r="N7" s="2439"/>
      <c r="O7" s="2439"/>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1"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1"/>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1"/>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1"/>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1"/>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1"/>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79" t="s">
        <v>1691</v>
      </c>
      <c r="Q15" s="1263" t="str">
        <f t="shared" si="6"/>
        <v>商业繁华度</v>
      </c>
      <c r="R15" s="667" t="s">
        <v>14</v>
      </c>
      <c r="S15" s="668">
        <f t="shared" si="0"/>
        <v>100</v>
      </c>
      <c r="T15" s="667" t="s">
        <v>14</v>
      </c>
      <c r="U15" s="668">
        <f t="shared" si="1"/>
        <v>100</v>
      </c>
      <c r="V15" s="667" t="s">
        <v>14</v>
      </c>
      <c r="W15" s="668">
        <f t="shared" si="2"/>
        <v>100</v>
      </c>
      <c r="X15" s="1265"/>
      <c r="Y15" s="337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0"/>
      <c r="Q16" s="1263"/>
      <c r="R16" s="667"/>
      <c r="S16" s="668"/>
      <c r="T16" s="667"/>
      <c r="U16" s="668"/>
      <c r="V16" s="667"/>
      <c r="W16" s="668"/>
      <c r="X16" s="1265"/>
      <c r="Y16" s="337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0"/>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80"/>
      <c r="Q18" s="1263"/>
      <c r="R18" s="667"/>
      <c r="S18" s="668"/>
      <c r="T18" s="667"/>
      <c r="U18" s="668"/>
      <c r="V18" s="667"/>
      <c r="W18" s="668"/>
      <c r="X18" s="1265"/>
      <c r="Y18" s="337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0"/>
      <c r="Q19" s="1263" t="str">
        <f>B19</f>
        <v>公共配套设施</v>
      </c>
      <c r="R19" s="667" t="s">
        <v>14</v>
      </c>
      <c r="S19" s="668">
        <f>F19</f>
        <v>100</v>
      </c>
      <c r="T19" s="667" t="s">
        <v>14</v>
      </c>
      <c r="U19" s="668">
        <f>H19</f>
        <v>100</v>
      </c>
      <c r="V19" s="667" t="s">
        <v>14</v>
      </c>
      <c r="W19" s="668">
        <f>J19</f>
        <v>100</v>
      </c>
      <c r="X19" s="1265"/>
      <c r="Y19" s="337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80"/>
      <c r="Q20" s="1263"/>
      <c r="R20" s="667"/>
      <c r="S20" s="668"/>
      <c r="T20" s="667"/>
      <c r="U20" s="668"/>
      <c r="V20" s="667"/>
      <c r="W20" s="668"/>
      <c r="X20" s="1265"/>
      <c r="Y20" s="337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0"/>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80"/>
      <c r="Q22" s="1263"/>
      <c r="R22" s="667"/>
      <c r="S22" s="668"/>
      <c r="T22" s="667"/>
      <c r="U22" s="668"/>
      <c r="V22" s="667"/>
      <c r="W22" s="668"/>
      <c r="X22" s="1265"/>
      <c r="Y22" s="337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0"/>
      <c r="Q23" s="1263" t="str">
        <f>B23</f>
        <v>自然及人文环境</v>
      </c>
      <c r="R23" s="667" t="s">
        <v>14</v>
      </c>
      <c r="S23" s="668">
        <f>F23</f>
        <v>100</v>
      </c>
      <c r="T23" s="667" t="s">
        <v>14</v>
      </c>
      <c r="U23" s="668">
        <f>H23</f>
        <v>100</v>
      </c>
      <c r="V23" s="667" t="s">
        <v>14</v>
      </c>
      <c r="W23" s="668">
        <f>J23</f>
        <v>100</v>
      </c>
      <c r="X23" s="1265"/>
      <c r="Y23" s="337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80"/>
      <c r="Q24" s="1263"/>
      <c r="R24" s="667"/>
      <c r="S24" s="668"/>
      <c r="T24" s="667"/>
      <c r="U24" s="668"/>
      <c r="V24" s="667"/>
      <c r="W24" s="668"/>
      <c r="X24" s="1265"/>
      <c r="Y24" s="337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0"/>
      <c r="Q25" s="1263" t="str">
        <f t="shared" ref="Q25:Q46" si="11">B25</f>
        <v>临街状况</v>
      </c>
      <c r="R25" s="667" t="s">
        <v>14</v>
      </c>
      <c r="S25" s="668">
        <f>F25</f>
        <v>100</v>
      </c>
      <c r="T25" s="667" t="s">
        <v>14</v>
      </c>
      <c r="U25" s="668">
        <f>H25</f>
        <v>100</v>
      </c>
      <c r="V25" s="667" t="s">
        <v>14</v>
      </c>
      <c r="W25" s="668">
        <f>J25</f>
        <v>100</v>
      </c>
      <c r="X25" s="1265"/>
      <c r="Y25" s="337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0"/>
      <c r="Q26" s="1263" t="str">
        <f t="shared" si="11"/>
        <v>平面位置/可视性</v>
      </c>
      <c r="R26" s="667" t="s">
        <v>14</v>
      </c>
      <c r="S26" s="668">
        <f>F26</f>
        <v>100</v>
      </c>
      <c r="T26" s="667" t="s">
        <v>14</v>
      </c>
      <c r="U26" s="668">
        <f>H26</f>
        <v>100</v>
      </c>
      <c r="V26" s="667" t="s">
        <v>14</v>
      </c>
      <c r="W26" s="668">
        <f>J26</f>
        <v>100</v>
      </c>
      <c r="X26" s="1265"/>
      <c r="Y26" s="337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80"/>
      <c r="Q27" s="530" t="str">
        <f t="shared" si="11"/>
        <v>人流量</v>
      </c>
      <c r="R27" s="664" t="s">
        <v>14</v>
      </c>
      <c r="S27" s="665">
        <f>F27</f>
        <v>100</v>
      </c>
      <c r="T27" s="664" t="s">
        <v>14</v>
      </c>
      <c r="U27" s="665">
        <f>H27</f>
        <v>100</v>
      </c>
      <c r="V27" s="664" t="s">
        <v>14</v>
      </c>
      <c r="W27" s="665">
        <f>J27</f>
        <v>100</v>
      </c>
      <c r="X27" s="666"/>
      <c r="Y27" s="337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0"/>
      <c r="Q29" s="1263">
        <f t="shared" si="11"/>
        <v>111</v>
      </c>
      <c r="R29" s="667" t="s">
        <v>14</v>
      </c>
      <c r="S29" s="668">
        <f t="shared" si="12"/>
        <v>100</v>
      </c>
      <c r="T29" s="667" t="s">
        <v>14</v>
      </c>
      <c r="U29" s="668">
        <f t="shared" si="13"/>
        <v>100</v>
      </c>
      <c r="V29" s="667" t="s">
        <v>14</v>
      </c>
      <c r="W29" s="668">
        <f t="shared" si="14"/>
        <v>100</v>
      </c>
      <c r="X29" s="1265"/>
      <c r="Y29" s="337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0"/>
      <c r="Q30" s="1263">
        <f t="shared" si="11"/>
        <v>111</v>
      </c>
      <c r="R30" s="667" t="s">
        <v>14</v>
      </c>
      <c r="S30" s="668">
        <f t="shared" si="12"/>
        <v>100</v>
      </c>
      <c r="T30" s="667" t="s">
        <v>14</v>
      </c>
      <c r="U30" s="668">
        <f t="shared" si="13"/>
        <v>100</v>
      </c>
      <c r="V30" s="667" t="s">
        <v>14</v>
      </c>
      <c r="W30" s="668">
        <f t="shared" si="14"/>
        <v>100</v>
      </c>
      <c r="X30" s="1265"/>
      <c r="Y30" s="337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0"/>
      <c r="Q31" s="1263">
        <f t="shared" si="11"/>
        <v>111</v>
      </c>
      <c r="R31" s="667" t="s">
        <v>14</v>
      </c>
      <c r="S31" s="668">
        <f t="shared" si="12"/>
        <v>100</v>
      </c>
      <c r="T31" s="667" t="s">
        <v>14</v>
      </c>
      <c r="U31" s="668">
        <f t="shared" si="13"/>
        <v>100</v>
      </c>
      <c r="V31" s="667" t="s">
        <v>14</v>
      </c>
      <c r="W31" s="668">
        <f t="shared" si="14"/>
        <v>100</v>
      </c>
      <c r="X31" s="1265"/>
      <c r="Y31" s="337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4" t="s">
        <v>1696</v>
      </c>
      <c r="Q32" s="1263" t="str">
        <f t="shared" si="11"/>
        <v>商业类型</v>
      </c>
      <c r="R32" s="667" t="s">
        <v>14</v>
      </c>
      <c r="S32" s="668">
        <f t="shared" si="12"/>
        <v>100</v>
      </c>
      <c r="T32" s="667" t="s">
        <v>14</v>
      </c>
      <c r="U32" s="668">
        <f t="shared" si="13"/>
        <v>100</v>
      </c>
      <c r="V32" s="667" t="s">
        <v>14</v>
      </c>
      <c r="W32" s="668">
        <f t="shared" si="14"/>
        <v>100</v>
      </c>
      <c r="X32" s="1265"/>
      <c r="Y32" s="337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75"/>
      <c r="Q33" s="531" t="str">
        <f t="shared" si="11"/>
        <v>项目建筑规模</v>
      </c>
      <c r="R33" s="669" t="s">
        <v>14</v>
      </c>
      <c r="S33" s="670" t="e">
        <f t="shared" si="12"/>
        <v>#N/A</v>
      </c>
      <c r="T33" s="669" t="s">
        <v>14</v>
      </c>
      <c r="U33" s="670" t="e">
        <f t="shared" si="13"/>
        <v>#N/A</v>
      </c>
      <c r="V33" s="669" t="s">
        <v>14</v>
      </c>
      <c r="W33" s="670" t="e">
        <f t="shared" si="14"/>
        <v>#N/A</v>
      </c>
      <c r="X33" s="671"/>
      <c r="Y33" s="337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5"/>
      <c r="Q34" s="1263" t="str">
        <f t="shared" si="11"/>
        <v>建筑结构</v>
      </c>
      <c r="R34" s="667" t="s">
        <v>14</v>
      </c>
      <c r="S34" s="668">
        <f t="shared" si="12"/>
        <v>100</v>
      </c>
      <c r="T34" s="667" t="s">
        <v>14</v>
      </c>
      <c r="U34" s="668">
        <f t="shared" si="13"/>
        <v>100</v>
      </c>
      <c r="V34" s="667" t="s">
        <v>14</v>
      </c>
      <c r="W34" s="668">
        <f t="shared" si="14"/>
        <v>100</v>
      </c>
      <c r="X34" s="1265"/>
      <c r="Y34" s="337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5"/>
      <c r="Q35" s="1263" t="str">
        <f t="shared" si="11"/>
        <v>公共部分装修</v>
      </c>
      <c r="R35" s="667" t="s">
        <v>14</v>
      </c>
      <c r="S35" s="668">
        <f t="shared" si="12"/>
        <v>100</v>
      </c>
      <c r="T35" s="667" t="s">
        <v>14</v>
      </c>
      <c r="U35" s="668">
        <f t="shared" si="13"/>
        <v>100</v>
      </c>
      <c r="V35" s="667" t="s">
        <v>14</v>
      </c>
      <c r="W35" s="668">
        <f t="shared" si="14"/>
        <v>100</v>
      </c>
      <c r="X35" s="1265"/>
      <c r="Y35" s="337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75"/>
      <c r="Q36" s="1263" t="str">
        <f t="shared" si="11"/>
        <v>成新度</v>
      </c>
      <c r="R36" s="667" t="s">
        <v>14</v>
      </c>
      <c r="S36" s="668" t="e">
        <f t="shared" si="12"/>
        <v>#N/A</v>
      </c>
      <c r="T36" s="667" t="s">
        <v>14</v>
      </c>
      <c r="U36" s="668" t="e">
        <f t="shared" si="13"/>
        <v>#N/A</v>
      </c>
      <c r="V36" s="667" t="s">
        <v>14</v>
      </c>
      <c r="W36" s="668" t="e">
        <f t="shared" si="14"/>
        <v>#N/A</v>
      </c>
      <c r="X36" s="1265"/>
      <c r="Y36" s="337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75"/>
      <c r="Q37" s="530" t="str">
        <f t="shared" si="11"/>
        <v>市政基础设施</v>
      </c>
      <c r="R37" s="664" t="s">
        <v>14</v>
      </c>
      <c r="S37" s="665">
        <f t="shared" si="12"/>
        <v>100</v>
      </c>
      <c r="T37" s="664" t="s">
        <v>14</v>
      </c>
      <c r="U37" s="665">
        <f t="shared" si="13"/>
        <v>100</v>
      </c>
      <c r="V37" s="664" t="s">
        <v>14</v>
      </c>
      <c r="W37" s="665">
        <f t="shared" si="14"/>
        <v>100</v>
      </c>
      <c r="X37" s="666"/>
      <c r="Y37" s="337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75" t="s">
        <v>1696</v>
      </c>
      <c r="Q38" s="1263" t="str">
        <f t="shared" si="11"/>
        <v>业态</v>
      </c>
      <c r="R38" s="667" t="s">
        <v>14</v>
      </c>
      <c r="S38" s="668">
        <f t="shared" si="12"/>
        <v>100</v>
      </c>
      <c r="T38" s="667" t="s">
        <v>14</v>
      </c>
      <c r="U38" s="668">
        <f t="shared" si="13"/>
        <v>100</v>
      </c>
      <c r="V38" s="667" t="s">
        <v>14</v>
      </c>
      <c r="W38" s="668">
        <f t="shared" si="14"/>
        <v>100</v>
      </c>
      <c r="X38" s="1265"/>
      <c r="Y38" s="337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5"/>
      <c r="Q39" s="1263" t="str">
        <f t="shared" si="11"/>
        <v>层高</v>
      </c>
      <c r="R39" s="667" t="s">
        <v>14</v>
      </c>
      <c r="S39" s="668">
        <f t="shared" si="12"/>
        <v>100</v>
      </c>
      <c r="T39" s="667" t="s">
        <v>14</v>
      </c>
      <c r="U39" s="668">
        <f t="shared" si="13"/>
        <v>100</v>
      </c>
      <c r="V39" s="667" t="s">
        <v>14</v>
      </c>
      <c r="W39" s="668">
        <f t="shared" si="14"/>
        <v>100</v>
      </c>
      <c r="X39" s="1265"/>
      <c r="Y39" s="337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5"/>
      <c r="Q40" s="1263" t="str">
        <f t="shared" si="11"/>
        <v>单套建筑面积</v>
      </c>
      <c r="R40" s="667" t="s">
        <v>14</v>
      </c>
      <c r="S40" s="668">
        <f t="shared" si="12"/>
        <v>100</v>
      </c>
      <c r="T40" s="667" t="s">
        <v>14</v>
      </c>
      <c r="U40" s="668">
        <f t="shared" si="13"/>
        <v>100</v>
      </c>
      <c r="V40" s="667" t="s">
        <v>14</v>
      </c>
      <c r="W40" s="668">
        <f t="shared" si="14"/>
        <v>100</v>
      </c>
      <c r="X40" s="1265"/>
      <c r="Y40" s="337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5"/>
      <c r="Q41" s="531" t="str">
        <f t="shared" si="11"/>
        <v>进深比</v>
      </c>
      <c r="R41" s="669" t="s">
        <v>14</v>
      </c>
      <c r="S41" s="670">
        <f t="shared" si="12"/>
        <v>100</v>
      </c>
      <c r="T41" s="669" t="s">
        <v>14</v>
      </c>
      <c r="U41" s="670">
        <f t="shared" si="13"/>
        <v>100</v>
      </c>
      <c r="V41" s="669" t="s">
        <v>14</v>
      </c>
      <c r="W41" s="670">
        <f t="shared" si="14"/>
        <v>100</v>
      </c>
      <c r="X41" s="671"/>
      <c r="Y41" s="337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75"/>
      <c r="Q42" s="1263" t="str">
        <f t="shared" si="11"/>
        <v>内部装修</v>
      </c>
      <c r="R42" s="667" t="s">
        <v>14</v>
      </c>
      <c r="S42" s="668">
        <f t="shared" si="12"/>
        <v>100</v>
      </c>
      <c r="T42" s="667" t="s">
        <v>14</v>
      </c>
      <c r="U42" s="668">
        <f t="shared" si="13"/>
        <v>100</v>
      </c>
      <c r="V42" s="667" t="s">
        <v>14</v>
      </c>
      <c r="W42" s="668">
        <f t="shared" si="14"/>
        <v>100</v>
      </c>
      <c r="X42" s="1265"/>
      <c r="Y42" s="337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5"/>
      <c r="Q43" s="1263" t="str">
        <f t="shared" si="11"/>
        <v>内部装修维护情况</v>
      </c>
      <c r="R43" s="667" t="s">
        <v>14</v>
      </c>
      <c r="S43" s="668">
        <f t="shared" si="12"/>
        <v>100</v>
      </c>
      <c r="T43" s="667" t="s">
        <v>14</v>
      </c>
      <c r="U43" s="668">
        <f t="shared" si="13"/>
        <v>100</v>
      </c>
      <c r="V43" s="667" t="s">
        <v>14</v>
      </c>
      <c r="W43" s="668">
        <f t="shared" si="14"/>
        <v>100</v>
      </c>
      <c r="X43" s="1265"/>
      <c r="Y43" s="337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5"/>
      <c r="Q44" s="530">
        <f t="shared" si="11"/>
        <v>111</v>
      </c>
      <c r="R44" s="664" t="s">
        <v>14</v>
      </c>
      <c r="S44" s="665">
        <f t="shared" si="12"/>
        <v>100</v>
      </c>
      <c r="T44" s="664" t="s">
        <v>14</v>
      </c>
      <c r="U44" s="665">
        <f t="shared" si="13"/>
        <v>100</v>
      </c>
      <c r="V44" s="664" t="s">
        <v>14</v>
      </c>
      <c r="W44" s="665">
        <f t="shared" si="14"/>
        <v>100</v>
      </c>
      <c r="X44" s="666"/>
      <c r="Y44" s="337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5"/>
      <c r="Q45" s="1263">
        <f t="shared" si="11"/>
        <v>111</v>
      </c>
      <c r="R45" s="667" t="s">
        <v>14</v>
      </c>
      <c r="S45" s="668">
        <f t="shared" si="12"/>
        <v>100</v>
      </c>
      <c r="T45" s="667" t="s">
        <v>14</v>
      </c>
      <c r="U45" s="668">
        <f t="shared" si="13"/>
        <v>100</v>
      </c>
      <c r="V45" s="667" t="s">
        <v>14</v>
      </c>
      <c r="W45" s="668">
        <f t="shared" si="14"/>
        <v>100</v>
      </c>
      <c r="X45" s="1265"/>
      <c r="Y45" s="337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6"/>
      <c r="Q46" s="1263">
        <f t="shared" si="11"/>
        <v>111</v>
      </c>
      <c r="R46" s="667" t="s">
        <v>14</v>
      </c>
      <c r="S46" s="668">
        <f t="shared" si="12"/>
        <v>100</v>
      </c>
      <c r="T46" s="667" t="s">
        <v>14</v>
      </c>
      <c r="U46" s="668">
        <f t="shared" si="13"/>
        <v>100</v>
      </c>
      <c r="V46" s="667" t="s">
        <v>14</v>
      </c>
      <c r="W46" s="668">
        <f t="shared" si="14"/>
        <v>100</v>
      </c>
      <c r="X46" s="1265"/>
      <c r="Y46" s="337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70" t="str">
        <f>A47</f>
        <v>成交单价（元/平方米）</v>
      </c>
      <c r="Q47" s="3370"/>
      <c r="R47" s="3371">
        <f>E47</f>
        <v>0</v>
      </c>
      <c r="S47" s="3371"/>
      <c r="T47" s="3371">
        <f>G47</f>
        <v>0</v>
      </c>
      <c r="U47" s="3371"/>
      <c r="V47" s="3371">
        <f>I47</f>
        <v>0</v>
      </c>
      <c r="W47" s="337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314.99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418" t="s">
        <v>1775</v>
      </c>
      <c r="Q4" s="3419"/>
      <c r="R4" s="3422" t="s">
        <v>1771</v>
      </c>
      <c r="S4" s="3423"/>
      <c r="T4" s="3422" t="s">
        <v>1772</v>
      </c>
      <c r="U4" s="3423"/>
      <c r="V4" s="3424" t="s">
        <v>1773</v>
      </c>
      <c r="W4" s="3424"/>
      <c r="X4" s="1809"/>
      <c r="Y4" s="3422" t="s">
        <v>1775</v>
      </c>
      <c r="Z4" s="3423"/>
      <c r="AA4" s="3426" t="s">
        <v>1771</v>
      </c>
      <c r="AB4" s="3426" t="s">
        <v>1772</v>
      </c>
      <c r="AC4" s="3415" t="s">
        <v>1773</v>
      </c>
    </row>
    <row r="5" spans="1:29" ht="15">
      <c r="A5" s="348"/>
      <c r="B5" s="349"/>
      <c r="C5" s="3403" t="s">
        <v>1673</v>
      </c>
      <c r="D5" s="3404"/>
      <c r="E5" s="3410" t="s">
        <v>1674</v>
      </c>
      <c r="F5" s="3411"/>
      <c r="G5" s="3403" t="s">
        <v>1675</v>
      </c>
      <c r="H5" s="3404"/>
      <c r="I5" s="3403" t="s">
        <v>1676</v>
      </c>
      <c r="J5" s="3404"/>
      <c r="K5" s="537"/>
      <c r="L5" s="2485"/>
      <c r="M5" s="2486"/>
      <c r="N5" s="2486"/>
      <c r="O5" s="2486"/>
      <c r="P5" s="3420"/>
      <c r="Q5" s="3392"/>
      <c r="R5" s="3397"/>
      <c r="S5" s="3398"/>
      <c r="T5" s="3397"/>
      <c r="U5" s="3398"/>
      <c r="V5" s="3371"/>
      <c r="W5" s="3371"/>
      <c r="X5" s="1265"/>
      <c r="Y5" s="3397"/>
      <c r="Z5" s="3398"/>
      <c r="AA5" s="3383"/>
      <c r="AB5" s="3383"/>
      <c r="AC5" s="3416"/>
    </row>
    <row r="6" spans="1:29" ht="15.75" thickBot="1">
      <c r="A6" s="350"/>
      <c r="B6" s="351"/>
      <c r="C6" s="3401" t="s">
        <v>1677</v>
      </c>
      <c r="D6" s="3402"/>
      <c r="E6" s="3408" t="s">
        <v>1677</v>
      </c>
      <c r="F6" s="3409"/>
      <c r="G6" s="3401" t="s">
        <v>1677</v>
      </c>
      <c r="H6" s="3402"/>
      <c r="I6" s="3401" t="s">
        <v>1677</v>
      </c>
      <c r="J6" s="3402"/>
      <c r="K6" s="537" t="s">
        <v>1678</v>
      </c>
      <c r="L6" s="2485"/>
      <c r="M6" s="2486"/>
      <c r="N6" s="2486"/>
      <c r="O6" s="2486"/>
      <c r="P6" s="3421"/>
      <c r="Q6" s="3394"/>
      <c r="R6" s="3397"/>
      <c r="S6" s="3398"/>
      <c r="T6" s="3399"/>
      <c r="U6" s="3400"/>
      <c r="V6" s="3371"/>
      <c r="W6" s="3371"/>
      <c r="X6" s="1265"/>
      <c r="Y6" s="3399"/>
      <c r="Z6" s="3400"/>
      <c r="AA6" s="3384"/>
      <c r="AB6" s="3384"/>
      <c r="AC6" s="3417"/>
    </row>
    <row r="7" spans="1:29" s="102" customFormat="1" ht="15.75" thickBot="1">
      <c r="A7" s="352" t="s">
        <v>1679</v>
      </c>
      <c r="B7" s="353"/>
      <c r="C7" s="354">
        <f>'数据-取费表'!B2</f>
        <v>45735</v>
      </c>
      <c r="D7" s="355">
        <v>100</v>
      </c>
      <c r="E7" s="356"/>
      <c r="F7" s="357">
        <f>SUMIF(59:59,YEAR(E7)&amp;"-"&amp;MONTH(E7),60:60)</f>
        <v>0</v>
      </c>
      <c r="G7" s="356"/>
      <c r="H7" s="355">
        <f>SUMIF(59:59,YEAR(G7)&amp;"-"&amp;MONTH(G7),60:60)</f>
        <v>0</v>
      </c>
      <c r="I7" s="356"/>
      <c r="J7" s="355">
        <f>SUMIF(59:59,YEAR(I7)&amp;"-"&amp;MONTH(I7),60:60)</f>
        <v>0</v>
      </c>
      <c r="K7" s="38"/>
      <c r="L7" s="2487"/>
      <c r="M7" s="2439"/>
      <c r="N7" s="2439"/>
      <c r="O7" s="2439"/>
      <c r="P7" s="342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25" t="s">
        <v>1683</v>
      </c>
      <c r="Q8" s="3406"/>
      <c r="R8" s="664" t="s">
        <v>14</v>
      </c>
      <c r="S8" s="665">
        <f t="shared" si="0"/>
        <v>100</v>
      </c>
      <c r="T8" s="664" t="s">
        <v>14</v>
      </c>
      <c r="U8" s="665">
        <f t="shared" si="1"/>
        <v>100</v>
      </c>
      <c r="V8" s="664" t="s">
        <v>14</v>
      </c>
      <c r="W8" s="665">
        <f t="shared" si="2"/>
        <v>100</v>
      </c>
      <c r="X8" s="666"/>
      <c r="Y8" s="3405" t="s">
        <v>1683</v>
      </c>
      <c r="Z8" s="340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1"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1"/>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1"/>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1"/>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1"/>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1"/>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79" t="s">
        <v>1691</v>
      </c>
      <c r="Q15" s="1263" t="str">
        <f t="shared" si="6"/>
        <v>办公集聚程度</v>
      </c>
      <c r="R15" s="667" t="s">
        <v>14</v>
      </c>
      <c r="S15" s="668">
        <f t="shared" si="0"/>
        <v>100</v>
      </c>
      <c r="T15" s="667" t="s">
        <v>14</v>
      </c>
      <c r="U15" s="668">
        <f t="shared" si="1"/>
        <v>100</v>
      </c>
      <c r="V15" s="667" t="s">
        <v>14</v>
      </c>
      <c r="W15" s="668">
        <f t="shared" si="2"/>
        <v>100</v>
      </c>
      <c r="X15" s="1265"/>
      <c r="Y15" s="337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80"/>
      <c r="Q16" s="1263"/>
      <c r="R16" s="667"/>
      <c r="S16" s="668"/>
      <c r="T16" s="667"/>
      <c r="U16" s="668"/>
      <c r="V16" s="667"/>
      <c r="W16" s="668"/>
      <c r="X16" s="1265"/>
      <c r="Y16" s="3373"/>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0"/>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80"/>
      <c r="Q18" s="1263"/>
      <c r="R18" s="667"/>
      <c r="S18" s="668"/>
      <c r="T18" s="667"/>
      <c r="U18" s="668"/>
      <c r="V18" s="667"/>
      <c r="W18" s="668"/>
      <c r="X18" s="1265"/>
      <c r="Y18" s="3373"/>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0"/>
      <c r="Q19" s="1263" t="str">
        <f>B19</f>
        <v>公共配套设施</v>
      </c>
      <c r="R19" s="667" t="s">
        <v>14</v>
      </c>
      <c r="S19" s="668">
        <f>F19</f>
        <v>100</v>
      </c>
      <c r="T19" s="667" t="s">
        <v>14</v>
      </c>
      <c r="U19" s="668">
        <f>H19</f>
        <v>100</v>
      </c>
      <c r="V19" s="667" t="s">
        <v>14</v>
      </c>
      <c r="W19" s="668">
        <f>J19</f>
        <v>100</v>
      </c>
      <c r="X19" s="1265"/>
      <c r="Y19" s="337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80"/>
      <c r="Q20" s="1263"/>
      <c r="R20" s="667"/>
      <c r="S20" s="668"/>
      <c r="T20" s="667"/>
      <c r="U20" s="668"/>
      <c r="V20" s="667"/>
      <c r="W20" s="668"/>
      <c r="X20" s="1265"/>
      <c r="Y20" s="337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0"/>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80"/>
      <c r="Q22" s="1263"/>
      <c r="R22" s="667"/>
      <c r="S22" s="668"/>
      <c r="T22" s="667"/>
      <c r="U22" s="668"/>
      <c r="V22" s="667"/>
      <c r="W22" s="668"/>
      <c r="X22" s="1265"/>
      <c r="Y22" s="3373"/>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0"/>
      <c r="Q23" s="1263" t="str">
        <f>B23</f>
        <v>环境质量</v>
      </c>
      <c r="R23" s="667" t="s">
        <v>14</v>
      </c>
      <c r="S23" s="668">
        <f>F23</f>
        <v>100</v>
      </c>
      <c r="T23" s="667" t="s">
        <v>14</v>
      </c>
      <c r="U23" s="668">
        <f>H23</f>
        <v>100</v>
      </c>
      <c r="V23" s="667" t="s">
        <v>14</v>
      </c>
      <c r="W23" s="668">
        <f>J23</f>
        <v>100</v>
      </c>
      <c r="X23" s="1265"/>
      <c r="Y23" s="337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80"/>
      <c r="Q24" s="1263"/>
      <c r="R24" s="667"/>
      <c r="S24" s="668"/>
      <c r="T24" s="667"/>
      <c r="U24" s="668"/>
      <c r="V24" s="667"/>
      <c r="W24" s="668"/>
      <c r="X24" s="1265"/>
      <c r="Y24" s="337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0"/>
      <c r="Q25" s="1263" t="str">
        <f>B25</f>
        <v>毗邻道路的类型与等级</v>
      </c>
      <c r="R25" s="667" t="s">
        <v>14</v>
      </c>
      <c r="S25" s="668">
        <f>F25</f>
        <v>100</v>
      </c>
      <c r="T25" s="667" t="s">
        <v>14</v>
      </c>
      <c r="U25" s="668">
        <f>H25</f>
        <v>100</v>
      </c>
      <c r="V25" s="667" t="s">
        <v>14</v>
      </c>
      <c r="W25" s="668">
        <f>J25</f>
        <v>100</v>
      </c>
      <c r="X25" s="1265"/>
      <c r="Y25" s="337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0"/>
      <c r="Q26" s="1263"/>
      <c r="R26" s="667"/>
      <c r="S26" s="668"/>
      <c r="T26" s="667"/>
      <c r="U26" s="668"/>
      <c r="V26" s="667"/>
      <c r="W26" s="668"/>
      <c r="X26" s="1265"/>
      <c r="Y26" s="337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0"/>
      <c r="Q27" s="1263" t="str">
        <f t="shared" ref="Q27:Q47" si="11">B27</f>
        <v>楼层</v>
      </c>
      <c r="R27" s="667" t="s">
        <v>14</v>
      </c>
      <c r="S27" s="668">
        <f>F27</f>
        <v>100</v>
      </c>
      <c r="T27" s="667" t="s">
        <v>14</v>
      </c>
      <c r="U27" s="668">
        <f>H27</f>
        <v>100</v>
      </c>
      <c r="V27" s="667" t="s">
        <v>14</v>
      </c>
      <c r="W27" s="668">
        <f>J27</f>
        <v>100</v>
      </c>
      <c r="X27" s="1265"/>
      <c r="Y27" s="337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0"/>
      <c r="Q28" s="530" t="str">
        <f t="shared" si="11"/>
        <v>朝向</v>
      </c>
      <c r="R28" s="664" t="s">
        <v>14</v>
      </c>
      <c r="S28" s="665">
        <f>F28</f>
        <v>100</v>
      </c>
      <c r="T28" s="664" t="s">
        <v>14</v>
      </c>
      <c r="U28" s="665">
        <f>H28</f>
        <v>100</v>
      </c>
      <c r="V28" s="664" t="s">
        <v>14</v>
      </c>
      <c r="W28" s="665">
        <f>J28</f>
        <v>100</v>
      </c>
      <c r="X28" s="666"/>
      <c r="Y28" s="337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0"/>
      <c r="Q29" s="1263">
        <f t="shared" si="11"/>
        <v>111</v>
      </c>
      <c r="R29" s="667" t="s">
        <v>14</v>
      </c>
      <c r="S29" s="668">
        <f t="shared" ref="S29:S47" si="12">F29</f>
        <v>100</v>
      </c>
      <c r="T29" s="667" t="s">
        <v>14</v>
      </c>
      <c r="U29" s="668">
        <f t="shared" ref="U29:U47" si="13">H29</f>
        <v>100</v>
      </c>
      <c r="V29" s="667" t="s">
        <v>14</v>
      </c>
      <c r="W29" s="668">
        <f t="shared" ref="W29:W47" si="14">J29</f>
        <v>100</v>
      </c>
      <c r="X29" s="1265"/>
      <c r="Y29" s="337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0"/>
      <c r="Q30" s="1263">
        <f t="shared" si="11"/>
        <v>111</v>
      </c>
      <c r="R30" s="667" t="s">
        <v>14</v>
      </c>
      <c r="S30" s="668">
        <f t="shared" si="12"/>
        <v>100</v>
      </c>
      <c r="T30" s="667" t="s">
        <v>14</v>
      </c>
      <c r="U30" s="668">
        <f t="shared" si="13"/>
        <v>100</v>
      </c>
      <c r="V30" s="667" t="s">
        <v>14</v>
      </c>
      <c r="W30" s="668">
        <f t="shared" si="14"/>
        <v>100</v>
      </c>
      <c r="X30" s="1265"/>
      <c r="Y30" s="337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0"/>
      <c r="Q31" s="1263">
        <f t="shared" si="11"/>
        <v>111</v>
      </c>
      <c r="R31" s="667" t="s">
        <v>14</v>
      </c>
      <c r="S31" s="668">
        <f t="shared" si="12"/>
        <v>100</v>
      </c>
      <c r="T31" s="667" t="s">
        <v>14</v>
      </c>
      <c r="U31" s="668">
        <f t="shared" si="13"/>
        <v>100</v>
      </c>
      <c r="V31" s="667" t="s">
        <v>14</v>
      </c>
      <c r="W31" s="668">
        <f t="shared" si="14"/>
        <v>100</v>
      </c>
      <c r="X31" s="1265"/>
      <c r="Y31" s="337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0"/>
      <c r="Q32" s="1263">
        <f t="shared" si="11"/>
        <v>111</v>
      </c>
      <c r="R32" s="667" t="s">
        <v>14</v>
      </c>
      <c r="S32" s="668">
        <f t="shared" si="12"/>
        <v>100</v>
      </c>
      <c r="T32" s="667" t="s">
        <v>14</v>
      </c>
      <c r="U32" s="668">
        <f t="shared" si="13"/>
        <v>100</v>
      </c>
      <c r="V32" s="667" t="s">
        <v>14</v>
      </c>
      <c r="W32" s="668">
        <f t="shared" si="14"/>
        <v>100</v>
      </c>
      <c r="X32" s="1265"/>
      <c r="Y32" s="337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74" t="s">
        <v>1696</v>
      </c>
      <c r="Q33" s="1263" t="str">
        <f t="shared" si="11"/>
        <v>建筑类型</v>
      </c>
      <c r="R33" s="667" t="s">
        <v>14</v>
      </c>
      <c r="S33" s="668">
        <f t="shared" si="12"/>
        <v>100</v>
      </c>
      <c r="T33" s="667" t="s">
        <v>14</v>
      </c>
      <c r="U33" s="668">
        <f t="shared" si="13"/>
        <v>100</v>
      </c>
      <c r="V33" s="667" t="s">
        <v>14</v>
      </c>
      <c r="W33" s="668">
        <f t="shared" si="14"/>
        <v>100</v>
      </c>
      <c r="X33" s="1265"/>
      <c r="Y33" s="337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75"/>
      <c r="Q34" s="531" t="str">
        <f t="shared" si="11"/>
        <v>项目建筑规模</v>
      </c>
      <c r="R34" s="669" t="s">
        <v>14</v>
      </c>
      <c r="S34" s="670" t="e">
        <f t="shared" si="12"/>
        <v>#N/A</v>
      </c>
      <c r="T34" s="669" t="s">
        <v>14</v>
      </c>
      <c r="U34" s="670" t="e">
        <f t="shared" si="13"/>
        <v>#N/A</v>
      </c>
      <c r="V34" s="669" t="s">
        <v>14</v>
      </c>
      <c r="W34" s="670" t="e">
        <f t="shared" si="14"/>
        <v>#N/A</v>
      </c>
      <c r="X34" s="671"/>
      <c r="Y34" s="337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75"/>
      <c r="Q35" s="1263" t="str">
        <f t="shared" si="11"/>
        <v>建筑结构</v>
      </c>
      <c r="R35" s="667" t="s">
        <v>14</v>
      </c>
      <c r="S35" s="668">
        <f t="shared" si="12"/>
        <v>100</v>
      </c>
      <c r="T35" s="667" t="s">
        <v>14</v>
      </c>
      <c r="U35" s="668">
        <f t="shared" si="13"/>
        <v>100</v>
      </c>
      <c r="V35" s="667" t="s">
        <v>14</v>
      </c>
      <c r="W35" s="668">
        <f t="shared" si="14"/>
        <v>100</v>
      </c>
      <c r="X35" s="1265"/>
      <c r="Y35" s="337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5"/>
      <c r="Q36" s="1263" t="str">
        <f t="shared" si="11"/>
        <v>公共部分装修</v>
      </c>
      <c r="R36" s="667" t="s">
        <v>14</v>
      </c>
      <c r="S36" s="668">
        <f t="shared" si="12"/>
        <v>100</v>
      </c>
      <c r="T36" s="667" t="s">
        <v>14</v>
      </c>
      <c r="U36" s="668">
        <f t="shared" si="13"/>
        <v>100</v>
      </c>
      <c r="V36" s="667" t="s">
        <v>14</v>
      </c>
      <c r="W36" s="668">
        <f t="shared" si="14"/>
        <v>100</v>
      </c>
      <c r="X36" s="1265"/>
      <c r="Y36" s="337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75"/>
      <c r="Q37" s="1263" t="str">
        <f t="shared" si="11"/>
        <v>成新度</v>
      </c>
      <c r="R37" s="667" t="s">
        <v>14</v>
      </c>
      <c r="S37" s="668" t="e">
        <f t="shared" si="12"/>
        <v>#N/A</v>
      </c>
      <c r="T37" s="667" t="s">
        <v>14</v>
      </c>
      <c r="U37" s="668" t="e">
        <f t="shared" si="13"/>
        <v>#N/A</v>
      </c>
      <c r="V37" s="667" t="s">
        <v>14</v>
      </c>
      <c r="W37" s="668" t="e">
        <f t="shared" si="14"/>
        <v>#N/A</v>
      </c>
      <c r="X37" s="1265"/>
      <c r="Y37" s="337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75"/>
      <c r="Q38" s="530" t="str">
        <f t="shared" si="11"/>
        <v>写字楼等级</v>
      </c>
      <c r="R38" s="664" t="s">
        <v>14</v>
      </c>
      <c r="S38" s="665">
        <f t="shared" si="12"/>
        <v>100</v>
      </c>
      <c r="T38" s="664" t="s">
        <v>14</v>
      </c>
      <c r="U38" s="665">
        <f t="shared" si="13"/>
        <v>100</v>
      </c>
      <c r="V38" s="664" t="s">
        <v>14</v>
      </c>
      <c r="W38" s="665">
        <f t="shared" si="14"/>
        <v>100</v>
      </c>
      <c r="X38" s="666"/>
      <c r="Y38" s="337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5" t="s">
        <v>1696</v>
      </c>
      <c r="Q39" s="1263" t="str">
        <f t="shared" si="11"/>
        <v>物业管理</v>
      </c>
      <c r="R39" s="667" t="s">
        <v>14</v>
      </c>
      <c r="S39" s="668">
        <f t="shared" si="12"/>
        <v>100</v>
      </c>
      <c r="T39" s="667" t="s">
        <v>14</v>
      </c>
      <c r="U39" s="668">
        <f t="shared" si="13"/>
        <v>100</v>
      </c>
      <c r="V39" s="667" t="s">
        <v>14</v>
      </c>
      <c r="W39" s="668">
        <f t="shared" si="14"/>
        <v>100</v>
      </c>
      <c r="X39" s="1265"/>
      <c r="Y39" s="337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75"/>
      <c r="Q40" s="1263" t="str">
        <f t="shared" si="11"/>
        <v>市政基础设施</v>
      </c>
      <c r="R40" s="667" t="s">
        <v>14</v>
      </c>
      <c r="S40" s="668">
        <f t="shared" si="12"/>
        <v>100</v>
      </c>
      <c r="T40" s="667" t="s">
        <v>14</v>
      </c>
      <c r="U40" s="668">
        <f t="shared" si="13"/>
        <v>100</v>
      </c>
      <c r="V40" s="667" t="s">
        <v>14</v>
      </c>
      <c r="W40" s="668">
        <f t="shared" si="14"/>
        <v>100</v>
      </c>
      <c r="X40" s="1265"/>
      <c r="Y40" s="337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75"/>
      <c r="Q41" s="1263" t="str">
        <f t="shared" si="11"/>
        <v>层高</v>
      </c>
      <c r="R41" s="667" t="s">
        <v>14</v>
      </c>
      <c r="S41" s="668">
        <f t="shared" si="12"/>
        <v>100</v>
      </c>
      <c r="T41" s="667" t="s">
        <v>14</v>
      </c>
      <c r="U41" s="668">
        <f t="shared" si="13"/>
        <v>100</v>
      </c>
      <c r="V41" s="667" t="s">
        <v>14</v>
      </c>
      <c r="W41" s="668">
        <f t="shared" si="14"/>
        <v>100</v>
      </c>
      <c r="X41" s="1265"/>
      <c r="Y41" s="337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5"/>
      <c r="Q42" s="531" t="str">
        <f t="shared" si="11"/>
        <v>单套建筑面积</v>
      </c>
      <c r="R42" s="669" t="s">
        <v>14</v>
      </c>
      <c r="S42" s="670">
        <f t="shared" si="12"/>
        <v>100</v>
      </c>
      <c r="T42" s="669" t="s">
        <v>14</v>
      </c>
      <c r="U42" s="670">
        <f t="shared" si="13"/>
        <v>100</v>
      </c>
      <c r="V42" s="669" t="s">
        <v>14</v>
      </c>
      <c r="W42" s="670">
        <f t="shared" si="14"/>
        <v>100</v>
      </c>
      <c r="X42" s="671"/>
      <c r="Y42" s="337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75"/>
      <c r="Q43" s="1263" t="str">
        <f t="shared" si="11"/>
        <v>内部装修</v>
      </c>
      <c r="R43" s="667" t="s">
        <v>14</v>
      </c>
      <c r="S43" s="668">
        <f t="shared" si="12"/>
        <v>100</v>
      </c>
      <c r="T43" s="667" t="s">
        <v>14</v>
      </c>
      <c r="U43" s="668">
        <f t="shared" si="13"/>
        <v>100</v>
      </c>
      <c r="V43" s="667" t="s">
        <v>14</v>
      </c>
      <c r="W43" s="668">
        <f t="shared" si="14"/>
        <v>100</v>
      </c>
      <c r="X43" s="1265"/>
      <c r="Y43" s="337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75"/>
      <c r="Q44" s="1263" t="str">
        <f t="shared" si="11"/>
        <v>内部装修维护情况</v>
      </c>
      <c r="R44" s="667" t="s">
        <v>14</v>
      </c>
      <c r="S44" s="668">
        <f t="shared" si="12"/>
        <v>100</v>
      </c>
      <c r="T44" s="667" t="s">
        <v>14</v>
      </c>
      <c r="U44" s="668">
        <f t="shared" si="13"/>
        <v>100</v>
      </c>
      <c r="V44" s="667" t="s">
        <v>14</v>
      </c>
      <c r="W44" s="668">
        <f t="shared" si="14"/>
        <v>100</v>
      </c>
      <c r="X44" s="1265"/>
      <c r="Y44" s="337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75"/>
      <c r="Q45" s="530">
        <f t="shared" si="11"/>
        <v>111</v>
      </c>
      <c r="R45" s="664" t="s">
        <v>14</v>
      </c>
      <c r="S45" s="665">
        <f t="shared" si="12"/>
        <v>100</v>
      </c>
      <c r="T45" s="664" t="s">
        <v>14</v>
      </c>
      <c r="U45" s="665">
        <f t="shared" si="13"/>
        <v>100</v>
      </c>
      <c r="V45" s="664" t="s">
        <v>14</v>
      </c>
      <c r="W45" s="665">
        <f t="shared" si="14"/>
        <v>100</v>
      </c>
      <c r="X45" s="666"/>
      <c r="Y45" s="337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5"/>
      <c r="Q46" s="1263">
        <f t="shared" si="11"/>
        <v>111</v>
      </c>
      <c r="R46" s="667" t="s">
        <v>14</v>
      </c>
      <c r="S46" s="668">
        <f t="shared" si="12"/>
        <v>100</v>
      </c>
      <c r="T46" s="667" t="s">
        <v>14</v>
      </c>
      <c r="U46" s="668">
        <f t="shared" si="13"/>
        <v>100</v>
      </c>
      <c r="V46" s="667" t="s">
        <v>14</v>
      </c>
      <c r="W46" s="668">
        <f t="shared" si="14"/>
        <v>100</v>
      </c>
      <c r="X46" s="1265"/>
      <c r="Y46" s="337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6"/>
      <c r="Q47" s="1263">
        <f t="shared" si="11"/>
        <v>111</v>
      </c>
      <c r="R47" s="667" t="s">
        <v>14</v>
      </c>
      <c r="S47" s="668">
        <f t="shared" si="12"/>
        <v>100</v>
      </c>
      <c r="T47" s="667" t="s">
        <v>14</v>
      </c>
      <c r="U47" s="668">
        <f t="shared" si="13"/>
        <v>100</v>
      </c>
      <c r="V47" s="667" t="s">
        <v>14</v>
      </c>
      <c r="W47" s="668">
        <f t="shared" si="14"/>
        <v>100</v>
      </c>
      <c r="X47" s="1265"/>
      <c r="Y47" s="337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381" t="str">
        <f>A48</f>
        <v>成交单价（元/平方米）</v>
      </c>
      <c r="Q48" s="3370"/>
      <c r="R48" s="3371">
        <f>E48</f>
        <v>0</v>
      </c>
      <c r="S48" s="3371"/>
      <c r="T48" s="3371">
        <f>G48</f>
        <v>0</v>
      </c>
      <c r="U48" s="3371"/>
      <c r="V48" s="3371">
        <f>I48</f>
        <v>0</v>
      </c>
      <c r="W48" s="337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81" t="str">
        <f>A49</f>
        <v>比较价值（元/平方米）</v>
      </c>
      <c r="Q49" s="3370"/>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受贵公司委托，我公司对北京市昌平区龙域北街3号院1号楼20层2006房地产抵押价值进行了预评估。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龙域北街3号院1号楼20层2006房地产，为爱阅宝（北京）科技有限公司所有。根据《国有土地使用证》[]，估价对象（分摊）出让国有建设用地使用权面积为0平方米，建筑面积为314.99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龙域北街3号院1号楼20层2006房地产,属爱阅宝（北京）科技有限公司开发建设的，该项目尚在开发建设中。根据《国有土地使用证》[]，估价对象（分摊）出让国有建设用地使用权面积为0平方米，规划建筑面积为314.99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昌平区龙域北街3号院1号楼20层2006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2025年3月19日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314.99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860"/>
      <c r="M4" s="861"/>
      <c r="N4" s="861"/>
      <c r="O4" s="861"/>
      <c r="P4" s="3389" t="s">
        <v>1775</v>
      </c>
      <c r="Q4" s="3390"/>
      <c r="R4" s="3395" t="s">
        <v>1771</v>
      </c>
      <c r="S4" s="3396"/>
      <c r="T4" s="3395" t="s">
        <v>1772</v>
      </c>
      <c r="U4" s="3396"/>
      <c r="V4" s="3371" t="s">
        <v>1773</v>
      </c>
      <c r="W4" s="3371"/>
      <c r="X4" s="1265"/>
      <c r="Y4" s="3395" t="s">
        <v>1775</v>
      </c>
      <c r="Z4" s="3396"/>
      <c r="AA4" s="3382" t="s">
        <v>1771</v>
      </c>
      <c r="AB4" s="3383" t="s">
        <v>1772</v>
      </c>
      <c r="AC4" s="3382" t="s">
        <v>1773</v>
      </c>
    </row>
    <row r="5" spans="1:29" ht="15">
      <c r="A5" s="348"/>
      <c r="B5" s="349"/>
      <c r="C5" s="3403" t="s">
        <v>1673</v>
      </c>
      <c r="D5" s="3404"/>
      <c r="E5" s="3410" t="s">
        <v>1674</v>
      </c>
      <c r="F5" s="3411"/>
      <c r="G5" s="3403" t="s">
        <v>1675</v>
      </c>
      <c r="H5" s="3404"/>
      <c r="I5" s="3403" t="s">
        <v>1676</v>
      </c>
      <c r="J5" s="3404"/>
      <c r="K5" s="537"/>
      <c r="L5" s="860"/>
      <c r="M5" s="861"/>
      <c r="N5" s="861"/>
      <c r="O5" s="861"/>
      <c r="P5" s="3391"/>
      <c r="Q5" s="3392"/>
      <c r="R5" s="3397"/>
      <c r="S5" s="3398"/>
      <c r="T5" s="3397"/>
      <c r="U5" s="3398"/>
      <c r="V5" s="3371"/>
      <c r="W5" s="3371"/>
      <c r="X5" s="1265"/>
      <c r="Y5" s="3397"/>
      <c r="Z5" s="3398"/>
      <c r="AA5" s="3383"/>
      <c r="AB5" s="3383"/>
      <c r="AC5" s="3383"/>
    </row>
    <row r="6" spans="1:29" ht="15.75" thickBot="1">
      <c r="A6" s="350"/>
      <c r="B6" s="351"/>
      <c r="C6" s="3401" t="s">
        <v>1677</v>
      </c>
      <c r="D6" s="3402"/>
      <c r="E6" s="3408" t="s">
        <v>1677</v>
      </c>
      <c r="F6" s="3409"/>
      <c r="G6" s="3401" t="s">
        <v>1677</v>
      </c>
      <c r="H6" s="3402"/>
      <c r="I6" s="3401" t="s">
        <v>1677</v>
      </c>
      <c r="J6" s="3402"/>
      <c r="K6" s="537" t="s">
        <v>1678</v>
      </c>
      <c r="L6" s="860"/>
      <c r="M6" s="861"/>
      <c r="N6" s="861"/>
      <c r="O6" s="861"/>
      <c r="P6" s="3393"/>
      <c r="Q6" s="3394"/>
      <c r="R6" s="3397"/>
      <c r="S6" s="3398"/>
      <c r="T6" s="3399"/>
      <c r="U6" s="3400"/>
      <c r="V6" s="3371"/>
      <c r="W6" s="3371"/>
      <c r="X6" s="1265"/>
      <c r="Y6" s="3399"/>
      <c r="Z6" s="3400"/>
      <c r="AA6" s="3384"/>
      <c r="AB6" s="3384"/>
      <c r="AC6" s="3384"/>
    </row>
    <row r="7" spans="1:29" s="102" customFormat="1" ht="15.75" thickBot="1">
      <c r="A7" s="352" t="s">
        <v>1679</v>
      </c>
      <c r="B7" s="353"/>
      <c r="C7" s="354">
        <f>'数据-取费表'!B2</f>
        <v>45735</v>
      </c>
      <c r="D7" s="355">
        <v>100</v>
      </c>
      <c r="E7" s="356"/>
      <c r="F7" s="357">
        <f>SUMIF(52:52,YEAR(E7)&amp;"-"&amp;MONTH(E7),53:53)</f>
        <v>0</v>
      </c>
      <c r="G7" s="356"/>
      <c r="H7" s="355">
        <f>SUMIF(52:52,YEAR(G7)&amp;"-"&amp;MONTH(G7),53:53)</f>
        <v>0</v>
      </c>
      <c r="I7" s="356"/>
      <c r="J7" s="355">
        <f>SUMIF(52:52,YEAR(I7)&amp;"-"&amp;MONTH(I7),53:53)</f>
        <v>0</v>
      </c>
      <c r="K7" s="38"/>
      <c r="L7" s="862"/>
      <c r="M7" s="863"/>
      <c r="N7" s="863"/>
      <c r="O7" s="863"/>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5" t="s">
        <v>1683</v>
      </c>
      <c r="Q8" s="3406"/>
      <c r="R8" s="664" t="s">
        <v>14</v>
      </c>
      <c r="S8" s="665">
        <f t="shared" si="0"/>
        <v>100</v>
      </c>
      <c r="T8" s="664" t="s">
        <v>14</v>
      </c>
      <c r="U8" s="665">
        <f t="shared" si="1"/>
        <v>100</v>
      </c>
      <c r="V8" s="664" t="s">
        <v>14</v>
      </c>
      <c r="W8" s="665">
        <f t="shared" si="2"/>
        <v>100</v>
      </c>
      <c r="X8" s="666"/>
      <c r="Y8" s="3405" t="s">
        <v>1683</v>
      </c>
      <c r="Z8" s="340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0"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0"/>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0"/>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0"/>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0"/>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0"/>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2" t="s">
        <v>1691</v>
      </c>
      <c r="Q15" s="1263" t="str">
        <f t="shared" si="6"/>
        <v>产业集聚程度</v>
      </c>
      <c r="R15" s="667" t="s">
        <v>14</v>
      </c>
      <c r="S15" s="668">
        <f t="shared" si="0"/>
        <v>100</v>
      </c>
      <c r="T15" s="667" t="s">
        <v>14</v>
      </c>
      <c r="U15" s="668">
        <f t="shared" si="1"/>
        <v>100</v>
      </c>
      <c r="V15" s="667" t="s">
        <v>14</v>
      </c>
      <c r="W15" s="668">
        <f t="shared" si="2"/>
        <v>100</v>
      </c>
      <c r="X15" s="1265"/>
      <c r="Y15" s="337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3"/>
      <c r="Q16" s="1263"/>
      <c r="R16" s="667"/>
      <c r="S16" s="668"/>
      <c r="T16" s="667"/>
      <c r="U16" s="668"/>
      <c r="V16" s="667"/>
      <c r="W16" s="668"/>
      <c r="X16" s="1265"/>
      <c r="Y16" s="337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3"/>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3"/>
      <c r="Q18" s="1263"/>
      <c r="R18" s="667"/>
      <c r="S18" s="668"/>
      <c r="T18" s="667"/>
      <c r="U18" s="668"/>
      <c r="V18" s="667"/>
      <c r="W18" s="668"/>
      <c r="X18" s="1265"/>
      <c r="Y18" s="337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3"/>
      <c r="Q19" s="1263" t="str">
        <f>B19</f>
        <v>公共配套设施</v>
      </c>
      <c r="R19" s="667" t="s">
        <v>14</v>
      </c>
      <c r="S19" s="668">
        <f>F19</f>
        <v>100</v>
      </c>
      <c r="T19" s="667" t="s">
        <v>14</v>
      </c>
      <c r="U19" s="668">
        <f>H19</f>
        <v>100</v>
      </c>
      <c r="V19" s="667" t="s">
        <v>14</v>
      </c>
      <c r="W19" s="668">
        <f>J19</f>
        <v>100</v>
      </c>
      <c r="X19" s="1265"/>
      <c r="Y19" s="337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3"/>
      <c r="Q20" s="1263"/>
      <c r="R20" s="667"/>
      <c r="S20" s="668"/>
      <c r="T20" s="667"/>
      <c r="U20" s="668"/>
      <c r="V20" s="667"/>
      <c r="W20" s="668"/>
      <c r="X20" s="1265"/>
      <c r="Y20" s="337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3"/>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3"/>
      <c r="Q22" s="1263"/>
      <c r="R22" s="667"/>
      <c r="S22" s="668"/>
      <c r="T22" s="667"/>
      <c r="U22" s="668"/>
      <c r="V22" s="667"/>
      <c r="W22" s="668"/>
      <c r="X22" s="1265"/>
      <c r="Y22" s="337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3"/>
      <c r="Q23" s="1263" t="str">
        <f>B23</f>
        <v>环境质量</v>
      </c>
      <c r="R23" s="667" t="s">
        <v>14</v>
      </c>
      <c r="S23" s="668">
        <f>F23</f>
        <v>100</v>
      </c>
      <c r="T23" s="667" t="s">
        <v>14</v>
      </c>
      <c r="U23" s="668">
        <f>H23</f>
        <v>100</v>
      </c>
      <c r="V23" s="667" t="s">
        <v>14</v>
      </c>
      <c r="W23" s="668">
        <f>J23</f>
        <v>100</v>
      </c>
      <c r="X23" s="1265"/>
      <c r="Y23" s="337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3"/>
      <c r="Q24" s="1263"/>
      <c r="R24" s="667"/>
      <c r="S24" s="668"/>
      <c r="T24" s="667"/>
      <c r="U24" s="668"/>
      <c r="V24" s="667"/>
      <c r="W24" s="668"/>
      <c r="X24" s="1265"/>
      <c r="Y24" s="337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3"/>
      <c r="Q25" s="1263">
        <f>B25</f>
        <v>111</v>
      </c>
      <c r="R25" s="667" t="s">
        <v>14</v>
      </c>
      <c r="S25" s="668">
        <f>F25</f>
        <v>100</v>
      </c>
      <c r="T25" s="667" t="s">
        <v>14</v>
      </c>
      <c r="U25" s="668">
        <f>H25</f>
        <v>100</v>
      </c>
      <c r="V25" s="667" t="s">
        <v>14</v>
      </c>
      <c r="W25" s="668">
        <f>J25</f>
        <v>100</v>
      </c>
      <c r="X25" s="1265"/>
      <c r="Y25" s="337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3"/>
      <c r="Q26" s="1263">
        <f t="shared" ref="Q26:Q40" si="11">B26</f>
        <v>111</v>
      </c>
      <c r="R26" s="667" t="s">
        <v>14</v>
      </c>
      <c r="S26" s="668">
        <f>F26</f>
        <v>100</v>
      </c>
      <c r="T26" s="667" t="s">
        <v>14</v>
      </c>
      <c r="U26" s="668">
        <f>H26</f>
        <v>100</v>
      </c>
      <c r="V26" s="667" t="s">
        <v>14</v>
      </c>
      <c r="W26" s="668">
        <f>J26</f>
        <v>100</v>
      </c>
      <c r="X26" s="1265"/>
      <c r="Y26" s="337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3"/>
      <c r="Q27" s="530">
        <f t="shared" si="11"/>
        <v>111</v>
      </c>
      <c r="R27" s="664" t="s">
        <v>14</v>
      </c>
      <c r="S27" s="665">
        <f>F27</f>
        <v>100</v>
      </c>
      <c r="T27" s="664" t="s">
        <v>14</v>
      </c>
      <c r="U27" s="665">
        <f>H27</f>
        <v>100</v>
      </c>
      <c r="V27" s="664" t="s">
        <v>14</v>
      </c>
      <c r="W27" s="665">
        <f>J27</f>
        <v>100</v>
      </c>
      <c r="X27" s="666"/>
      <c r="Y27" s="337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3"/>
      <c r="Q28" s="1263">
        <f t="shared" si="11"/>
        <v>111</v>
      </c>
      <c r="R28" s="667" t="s">
        <v>14</v>
      </c>
      <c r="S28" s="668">
        <f t="shared" ref="S28:S40" si="12">F28</f>
        <v>100</v>
      </c>
      <c r="T28" s="667" t="s">
        <v>14</v>
      </c>
      <c r="U28" s="668">
        <f t="shared" ref="U28:U40" si="13">H28</f>
        <v>100</v>
      </c>
      <c r="V28" s="667" t="s">
        <v>14</v>
      </c>
      <c r="W28" s="668">
        <f t="shared" ref="W28:W40" si="14">J28</f>
        <v>100</v>
      </c>
      <c r="X28" s="1265"/>
      <c r="Y28" s="337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7" t="s">
        <v>1696</v>
      </c>
      <c r="Q29" s="1263" t="str">
        <f t="shared" si="11"/>
        <v>建筑类型</v>
      </c>
      <c r="R29" s="667" t="s">
        <v>14</v>
      </c>
      <c r="S29" s="668">
        <f t="shared" si="12"/>
        <v>100</v>
      </c>
      <c r="T29" s="667" t="s">
        <v>14</v>
      </c>
      <c r="U29" s="668">
        <f t="shared" si="13"/>
        <v>100</v>
      </c>
      <c r="V29" s="667" t="s">
        <v>14</v>
      </c>
      <c r="W29" s="668">
        <f t="shared" si="14"/>
        <v>100</v>
      </c>
      <c r="X29" s="1265"/>
      <c r="Y29" s="337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7"/>
      <c r="Q30" s="531" t="str">
        <f t="shared" si="11"/>
        <v>项目建筑规模</v>
      </c>
      <c r="R30" s="669" t="s">
        <v>14</v>
      </c>
      <c r="S30" s="670" t="e">
        <f t="shared" si="12"/>
        <v>#N/A</v>
      </c>
      <c r="T30" s="669" t="s">
        <v>14</v>
      </c>
      <c r="U30" s="670" t="e">
        <f t="shared" si="13"/>
        <v>#N/A</v>
      </c>
      <c r="V30" s="669" t="s">
        <v>14</v>
      </c>
      <c r="W30" s="670" t="e">
        <f t="shared" si="14"/>
        <v>#N/A</v>
      </c>
      <c r="X30" s="671"/>
      <c r="Y30" s="337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7"/>
      <c r="Q31" s="1263" t="str">
        <f t="shared" si="11"/>
        <v>建筑结构</v>
      </c>
      <c r="R31" s="667" t="s">
        <v>14</v>
      </c>
      <c r="S31" s="668">
        <f t="shared" si="12"/>
        <v>100</v>
      </c>
      <c r="T31" s="667" t="s">
        <v>14</v>
      </c>
      <c r="U31" s="668">
        <f t="shared" si="13"/>
        <v>100</v>
      </c>
      <c r="V31" s="667" t="s">
        <v>14</v>
      </c>
      <c r="W31" s="668">
        <f t="shared" si="14"/>
        <v>100</v>
      </c>
      <c r="X31" s="1265"/>
      <c r="Y31" s="337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7"/>
      <c r="Q32" s="1263" t="str">
        <f t="shared" si="11"/>
        <v>公共部分装修</v>
      </c>
      <c r="R32" s="667" t="s">
        <v>14</v>
      </c>
      <c r="S32" s="668">
        <f t="shared" si="12"/>
        <v>100</v>
      </c>
      <c r="T32" s="667" t="s">
        <v>14</v>
      </c>
      <c r="U32" s="668">
        <f t="shared" si="13"/>
        <v>100</v>
      </c>
      <c r="V32" s="667" t="s">
        <v>14</v>
      </c>
      <c r="W32" s="668">
        <f t="shared" si="14"/>
        <v>100</v>
      </c>
      <c r="X32" s="1265"/>
      <c r="Y32" s="337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7"/>
      <c r="Q33" s="1263" t="str">
        <f t="shared" si="11"/>
        <v>成新度</v>
      </c>
      <c r="R33" s="667" t="s">
        <v>14</v>
      </c>
      <c r="S33" s="668" t="e">
        <f t="shared" si="12"/>
        <v>#N/A</v>
      </c>
      <c r="T33" s="667" t="s">
        <v>14</v>
      </c>
      <c r="U33" s="668" t="e">
        <f t="shared" si="13"/>
        <v>#N/A</v>
      </c>
      <c r="V33" s="667" t="s">
        <v>14</v>
      </c>
      <c r="W33" s="668" t="e">
        <f t="shared" si="14"/>
        <v>#N/A</v>
      </c>
      <c r="X33" s="1265"/>
      <c r="Y33" s="337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7"/>
      <c r="Q34" s="530" t="str">
        <f t="shared" si="11"/>
        <v>物业管理</v>
      </c>
      <c r="R34" s="664" t="s">
        <v>14</v>
      </c>
      <c r="S34" s="665">
        <f t="shared" si="12"/>
        <v>100</v>
      </c>
      <c r="T34" s="664" t="s">
        <v>14</v>
      </c>
      <c r="U34" s="665">
        <f t="shared" si="13"/>
        <v>100</v>
      </c>
      <c r="V34" s="664" t="s">
        <v>14</v>
      </c>
      <c r="W34" s="665">
        <f t="shared" si="14"/>
        <v>100</v>
      </c>
      <c r="X34" s="666"/>
      <c r="Y34" s="337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7" t="s">
        <v>1696</v>
      </c>
      <c r="Q35" s="1263" t="str">
        <f t="shared" si="11"/>
        <v>市政基础设施</v>
      </c>
      <c r="R35" s="667" t="s">
        <v>14</v>
      </c>
      <c r="S35" s="668">
        <f t="shared" si="12"/>
        <v>100</v>
      </c>
      <c r="T35" s="667" t="s">
        <v>14</v>
      </c>
      <c r="U35" s="668">
        <f t="shared" si="13"/>
        <v>100</v>
      </c>
      <c r="V35" s="667" t="s">
        <v>14</v>
      </c>
      <c r="W35" s="668">
        <f t="shared" si="14"/>
        <v>100</v>
      </c>
      <c r="X35" s="1265"/>
      <c r="Y35" s="337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7"/>
      <c r="Q36" s="1263" t="str">
        <f t="shared" si="11"/>
        <v>内部装修</v>
      </c>
      <c r="R36" s="667" t="s">
        <v>14</v>
      </c>
      <c r="S36" s="668">
        <f t="shared" si="12"/>
        <v>100</v>
      </c>
      <c r="T36" s="667" t="s">
        <v>14</v>
      </c>
      <c r="U36" s="668">
        <f t="shared" si="13"/>
        <v>100</v>
      </c>
      <c r="V36" s="667" t="s">
        <v>14</v>
      </c>
      <c r="W36" s="668">
        <f t="shared" si="14"/>
        <v>100</v>
      </c>
      <c r="X36" s="1265"/>
      <c r="Y36" s="337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7"/>
      <c r="Q37" s="1263" t="str">
        <f t="shared" si="11"/>
        <v>内部装修状况</v>
      </c>
      <c r="R37" s="667" t="s">
        <v>14</v>
      </c>
      <c r="S37" s="668">
        <f t="shared" si="12"/>
        <v>100</v>
      </c>
      <c r="T37" s="667" t="s">
        <v>14</v>
      </c>
      <c r="U37" s="668">
        <f t="shared" si="13"/>
        <v>100</v>
      </c>
      <c r="V37" s="667" t="s">
        <v>14</v>
      </c>
      <c r="W37" s="668">
        <f t="shared" si="14"/>
        <v>100</v>
      </c>
      <c r="X37" s="1265"/>
      <c r="Y37" s="337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7"/>
      <c r="Q38" s="531">
        <f t="shared" si="11"/>
        <v>111</v>
      </c>
      <c r="R38" s="669" t="s">
        <v>14</v>
      </c>
      <c r="S38" s="670">
        <f t="shared" si="12"/>
        <v>100</v>
      </c>
      <c r="T38" s="669" t="s">
        <v>14</v>
      </c>
      <c r="U38" s="670">
        <f t="shared" si="13"/>
        <v>100</v>
      </c>
      <c r="V38" s="669" t="s">
        <v>14</v>
      </c>
      <c r="W38" s="670">
        <f t="shared" si="14"/>
        <v>100</v>
      </c>
      <c r="X38" s="671"/>
      <c r="Y38" s="337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7"/>
      <c r="Q39" s="1263">
        <f t="shared" si="11"/>
        <v>111</v>
      </c>
      <c r="R39" s="667" t="s">
        <v>14</v>
      </c>
      <c r="S39" s="668">
        <f t="shared" si="12"/>
        <v>100</v>
      </c>
      <c r="T39" s="667" t="s">
        <v>14</v>
      </c>
      <c r="U39" s="668">
        <f t="shared" si="13"/>
        <v>100</v>
      </c>
      <c r="V39" s="667" t="s">
        <v>14</v>
      </c>
      <c r="W39" s="668">
        <f t="shared" si="14"/>
        <v>100</v>
      </c>
      <c r="X39" s="1265"/>
      <c r="Y39" s="337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8"/>
      <c r="Q40" s="1263">
        <f t="shared" si="11"/>
        <v>111</v>
      </c>
      <c r="R40" s="667" t="s">
        <v>14</v>
      </c>
      <c r="S40" s="668">
        <f t="shared" si="12"/>
        <v>100</v>
      </c>
      <c r="T40" s="667" t="s">
        <v>14</v>
      </c>
      <c r="U40" s="668">
        <f t="shared" si="13"/>
        <v>100</v>
      </c>
      <c r="V40" s="667" t="s">
        <v>14</v>
      </c>
      <c r="W40" s="668">
        <f t="shared" si="14"/>
        <v>100</v>
      </c>
      <c r="X40" s="1265"/>
      <c r="Y40" s="337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0" t="str">
        <f>A41</f>
        <v>成交单价（元/平方米）</v>
      </c>
      <c r="Q41" s="3370"/>
      <c r="R41" s="3371">
        <f>E41</f>
        <v>0</v>
      </c>
      <c r="S41" s="3371"/>
      <c r="T41" s="3371">
        <f>G41</f>
        <v>0</v>
      </c>
      <c r="U41" s="3371"/>
      <c r="V41" s="3371">
        <f>I41</f>
        <v>0</v>
      </c>
      <c r="W41" s="337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7" t="str">
        <f>A43</f>
        <v>估价对象XX用房的比较价值（楼面单价，元/平方米）</v>
      </c>
      <c r="Q43" s="3368"/>
      <c r="R43" s="3369" t="e">
        <f>IF(F1="售价",ROUND(IF(D42="简单平均",AVERAGE(R42:V42),R42*F42+T42*H42+V42*J42),0),ROUND(IF(D42="简单平均",AVERAGE(R42:V42),R42*F42+T42*H42+V42*J42),1))</f>
        <v>#DIV/0!</v>
      </c>
      <c r="S43" s="3369"/>
      <c r="T43" s="3369"/>
      <c r="U43" s="3369"/>
      <c r="V43" s="3369"/>
      <c r="W43" s="336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95" t="s">
        <v>1771</v>
      </c>
      <c r="S4" s="3396"/>
      <c r="T4" s="3395" t="s">
        <v>1772</v>
      </c>
      <c r="U4" s="3396"/>
      <c r="V4" s="3371" t="s">
        <v>1773</v>
      </c>
      <c r="W4" s="3371"/>
      <c r="X4" s="1265"/>
      <c r="Y4" s="3395" t="s">
        <v>1775</v>
      </c>
      <c r="Z4" s="3396"/>
      <c r="AA4" s="3382" t="s">
        <v>1771</v>
      </c>
      <c r="AB4" s="3383" t="s">
        <v>1772</v>
      </c>
      <c r="AC4" s="3382" t="s">
        <v>1773</v>
      </c>
    </row>
    <row r="5" spans="1:29" ht="15">
      <c r="A5" s="348"/>
      <c r="B5" s="349"/>
      <c r="C5" s="3403" t="s">
        <v>1673</v>
      </c>
      <c r="D5" s="3404"/>
      <c r="E5" s="3410" t="s">
        <v>1674</v>
      </c>
      <c r="F5" s="3411"/>
      <c r="G5" s="3403" t="s">
        <v>1675</v>
      </c>
      <c r="H5" s="3404"/>
      <c r="I5" s="3403" t="s">
        <v>1676</v>
      </c>
      <c r="J5" s="3404"/>
      <c r="K5" s="537"/>
      <c r="L5" s="2485"/>
      <c r="M5" s="2486"/>
      <c r="N5" s="2486"/>
      <c r="O5" s="2486"/>
      <c r="P5" s="3391"/>
      <c r="Q5" s="3392"/>
      <c r="R5" s="3397"/>
      <c r="S5" s="3398"/>
      <c r="T5" s="3397"/>
      <c r="U5" s="3398"/>
      <c r="V5" s="3371"/>
      <c r="W5" s="3371"/>
      <c r="X5" s="1265"/>
      <c r="Y5" s="3397"/>
      <c r="Z5" s="3398"/>
      <c r="AA5" s="3383"/>
      <c r="AB5" s="3383"/>
      <c r="AC5" s="3383"/>
    </row>
    <row r="6" spans="1:29" ht="15.75" thickBot="1">
      <c r="A6" s="350"/>
      <c r="B6" s="351"/>
      <c r="C6" s="3401" t="s">
        <v>1677</v>
      </c>
      <c r="D6" s="3402"/>
      <c r="E6" s="3408" t="s">
        <v>1677</v>
      </c>
      <c r="F6" s="3409"/>
      <c r="G6" s="3401" t="s">
        <v>1677</v>
      </c>
      <c r="H6" s="3402"/>
      <c r="I6" s="3401" t="s">
        <v>1677</v>
      </c>
      <c r="J6" s="3402"/>
      <c r="K6" s="537" t="s">
        <v>1678</v>
      </c>
      <c r="L6" s="2485"/>
      <c r="M6" s="2486"/>
      <c r="N6" s="2486"/>
      <c r="O6" s="2486"/>
      <c r="P6" s="3393"/>
      <c r="Q6" s="3394"/>
      <c r="R6" s="3397"/>
      <c r="S6" s="3398"/>
      <c r="T6" s="3399"/>
      <c r="U6" s="3400"/>
      <c r="V6" s="3371"/>
      <c r="W6" s="3371"/>
      <c r="X6" s="1265"/>
      <c r="Y6" s="3399"/>
      <c r="Z6" s="3400"/>
      <c r="AA6" s="3384"/>
      <c r="AB6" s="3384"/>
      <c r="AC6" s="3384"/>
    </row>
    <row r="7" spans="1:29" s="102" customFormat="1" ht="15.75" thickBot="1">
      <c r="A7" s="352" t="s">
        <v>1679</v>
      </c>
      <c r="B7" s="353"/>
      <c r="C7" s="354">
        <f>'数据-取费表'!B2</f>
        <v>45735</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5" t="s">
        <v>1680</v>
      </c>
      <c r="Q7" s="3407"/>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0"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0"/>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0"/>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0"/>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0"/>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2" t="s">
        <v>1691</v>
      </c>
      <c r="Q14" s="1263" t="str">
        <f t="shared" si="6"/>
        <v>交通便捷度</v>
      </c>
      <c r="R14" s="667" t="s">
        <v>14</v>
      </c>
      <c r="S14" s="668">
        <f t="shared" si="0"/>
        <v>100</v>
      </c>
      <c r="T14" s="667" t="s">
        <v>14</v>
      </c>
      <c r="U14" s="668">
        <f t="shared" si="1"/>
        <v>100</v>
      </c>
      <c r="V14" s="667" t="s">
        <v>14</v>
      </c>
      <c r="W14" s="668">
        <f t="shared" si="2"/>
        <v>100</v>
      </c>
      <c r="X14" s="1265"/>
      <c r="Y14" s="337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3"/>
      <c r="Q15" s="1263"/>
      <c r="R15" s="667"/>
      <c r="S15" s="668"/>
      <c r="T15" s="667"/>
      <c r="U15" s="668"/>
      <c r="V15" s="667"/>
      <c r="W15" s="668"/>
      <c r="X15" s="1265"/>
      <c r="Y15" s="337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3"/>
      <c r="Q16" s="1263" t="str">
        <f>B16</f>
        <v>公共配套设施</v>
      </c>
      <c r="R16" s="667" t="s">
        <v>14</v>
      </c>
      <c r="S16" s="668">
        <f>F16</f>
        <v>100</v>
      </c>
      <c r="T16" s="667" t="s">
        <v>14</v>
      </c>
      <c r="U16" s="668">
        <f>H16</f>
        <v>100</v>
      </c>
      <c r="V16" s="667" t="s">
        <v>14</v>
      </c>
      <c r="W16" s="668">
        <f>J16</f>
        <v>100</v>
      </c>
      <c r="X16" s="1265"/>
      <c r="Y16" s="337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3"/>
      <c r="Q17" s="1263"/>
      <c r="R17" s="667"/>
      <c r="S17" s="668"/>
      <c r="T17" s="667"/>
      <c r="U17" s="668"/>
      <c r="V17" s="667"/>
      <c r="W17" s="668"/>
      <c r="X17" s="1265"/>
      <c r="Y17" s="337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3"/>
      <c r="Q18" s="1263" t="str">
        <f>B18</f>
        <v>基础设施水平</v>
      </c>
      <c r="R18" s="667" t="s">
        <v>14</v>
      </c>
      <c r="S18" s="668">
        <f>F18</f>
        <v>100</v>
      </c>
      <c r="T18" s="667" t="s">
        <v>14</v>
      </c>
      <c r="U18" s="668">
        <f>H18</f>
        <v>100</v>
      </c>
      <c r="V18" s="667" t="s">
        <v>14</v>
      </c>
      <c r="W18" s="668">
        <f>J18</f>
        <v>100</v>
      </c>
      <c r="X18" s="1265"/>
      <c r="Y18" s="337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3"/>
      <c r="Q19" s="1263"/>
      <c r="R19" s="667"/>
      <c r="S19" s="668"/>
      <c r="T19" s="667"/>
      <c r="U19" s="668"/>
      <c r="V19" s="667"/>
      <c r="W19" s="668"/>
      <c r="X19" s="1265"/>
      <c r="Y19" s="337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3"/>
      <c r="Q20" s="1263" t="str">
        <f>B20</f>
        <v>自然及人文环境</v>
      </c>
      <c r="R20" s="667" t="s">
        <v>14</v>
      </c>
      <c r="S20" s="668">
        <f>F20</f>
        <v>100</v>
      </c>
      <c r="T20" s="667" t="s">
        <v>14</v>
      </c>
      <c r="U20" s="668">
        <f>H20</f>
        <v>100</v>
      </c>
      <c r="V20" s="667" t="s">
        <v>14</v>
      </c>
      <c r="W20" s="668">
        <f>J20</f>
        <v>100</v>
      </c>
      <c r="X20" s="1265"/>
      <c r="Y20" s="337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3"/>
      <c r="Q21" s="1263"/>
      <c r="R21" s="667"/>
      <c r="S21" s="668"/>
      <c r="T21" s="667"/>
      <c r="U21" s="668"/>
      <c r="V21" s="667"/>
      <c r="W21" s="668"/>
      <c r="X21" s="1265"/>
      <c r="Y21" s="337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3"/>
      <c r="Q22" s="1263" t="str">
        <f>B22</f>
        <v>楼层</v>
      </c>
      <c r="R22" s="667" t="s">
        <v>14</v>
      </c>
      <c r="S22" s="668">
        <f>F22</f>
        <v>100</v>
      </c>
      <c r="T22" s="667" t="s">
        <v>14</v>
      </c>
      <c r="U22" s="668">
        <f>H22</f>
        <v>100</v>
      </c>
      <c r="V22" s="667" t="s">
        <v>14</v>
      </c>
      <c r="W22" s="668">
        <f>J22</f>
        <v>100</v>
      </c>
      <c r="X22" s="1265"/>
      <c r="Y22" s="337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3"/>
      <c r="Q23" s="1263">
        <f>B23</f>
        <v>111</v>
      </c>
      <c r="R23" s="667" t="s">
        <v>14</v>
      </c>
      <c r="S23" s="668">
        <f>F23</f>
        <v>100</v>
      </c>
      <c r="T23" s="667" t="s">
        <v>14</v>
      </c>
      <c r="U23" s="668">
        <f>H23</f>
        <v>100</v>
      </c>
      <c r="V23" s="667" t="s">
        <v>14</v>
      </c>
      <c r="W23" s="668">
        <f>J23</f>
        <v>100</v>
      </c>
      <c r="X23" s="1265"/>
      <c r="Y23" s="337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3"/>
      <c r="Q24" s="1263">
        <f t="shared" ref="Q24:Q36" si="11">B24</f>
        <v>111</v>
      </c>
      <c r="R24" s="667" t="s">
        <v>14</v>
      </c>
      <c r="S24" s="668">
        <f>F24</f>
        <v>100</v>
      </c>
      <c r="T24" s="667" t="s">
        <v>14</v>
      </c>
      <c r="U24" s="668">
        <f>H24</f>
        <v>100</v>
      </c>
      <c r="V24" s="667" t="s">
        <v>14</v>
      </c>
      <c r="W24" s="668">
        <f>J24</f>
        <v>100</v>
      </c>
      <c r="X24" s="1265"/>
      <c r="Y24" s="337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3"/>
      <c r="Q25" s="530">
        <f t="shared" si="11"/>
        <v>111</v>
      </c>
      <c r="R25" s="664" t="s">
        <v>14</v>
      </c>
      <c r="S25" s="665">
        <f>F25</f>
        <v>100</v>
      </c>
      <c r="T25" s="664" t="s">
        <v>14</v>
      </c>
      <c r="U25" s="665">
        <f>H25</f>
        <v>100</v>
      </c>
      <c r="V25" s="664" t="s">
        <v>14</v>
      </c>
      <c r="W25" s="665">
        <f>J25</f>
        <v>100</v>
      </c>
      <c r="X25" s="666"/>
      <c r="Y25" s="337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7"/>
      <c r="Q27" s="531" t="str">
        <f t="shared" si="11"/>
        <v>项目停车位配比</v>
      </c>
      <c r="R27" s="669" t="s">
        <v>14</v>
      </c>
      <c r="S27" s="670">
        <f t="shared" si="12"/>
        <v>100</v>
      </c>
      <c r="T27" s="669" t="s">
        <v>14</v>
      </c>
      <c r="U27" s="670">
        <f t="shared" si="13"/>
        <v>100</v>
      </c>
      <c r="V27" s="669" t="s">
        <v>14</v>
      </c>
      <c r="W27" s="670">
        <f t="shared" si="14"/>
        <v>100</v>
      </c>
      <c r="X27" s="671"/>
      <c r="Y27" s="337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7"/>
      <c r="Q28" s="1263" t="str">
        <f t="shared" si="11"/>
        <v>公共部分装修</v>
      </c>
      <c r="R28" s="667" t="s">
        <v>14</v>
      </c>
      <c r="S28" s="668">
        <f t="shared" si="12"/>
        <v>100</v>
      </c>
      <c r="T28" s="667" t="s">
        <v>14</v>
      </c>
      <c r="U28" s="668">
        <f t="shared" si="13"/>
        <v>100</v>
      </c>
      <c r="V28" s="667" t="s">
        <v>14</v>
      </c>
      <c r="W28" s="668">
        <f t="shared" si="14"/>
        <v>100</v>
      </c>
      <c r="X28" s="1265"/>
      <c r="Y28" s="337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7"/>
      <c r="Q29" s="1263" t="str">
        <f t="shared" si="11"/>
        <v>成新率</v>
      </c>
      <c r="R29" s="667" t="s">
        <v>14</v>
      </c>
      <c r="S29" s="668" t="e">
        <f t="shared" si="12"/>
        <v>#N/A</v>
      </c>
      <c r="T29" s="667" t="s">
        <v>14</v>
      </c>
      <c r="U29" s="668" t="e">
        <f t="shared" si="13"/>
        <v>#N/A</v>
      </c>
      <c r="V29" s="667" t="s">
        <v>14</v>
      </c>
      <c r="W29" s="668" t="e">
        <f t="shared" si="14"/>
        <v>#N/A</v>
      </c>
      <c r="X29" s="1265"/>
      <c r="Y29" s="337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7"/>
      <c r="Q30" s="1263" t="str">
        <f t="shared" si="11"/>
        <v>物业等级</v>
      </c>
      <c r="R30" s="667" t="s">
        <v>14</v>
      </c>
      <c r="S30" s="668">
        <f t="shared" si="12"/>
        <v>100</v>
      </c>
      <c r="T30" s="667" t="s">
        <v>14</v>
      </c>
      <c r="U30" s="668">
        <f t="shared" si="13"/>
        <v>100</v>
      </c>
      <c r="V30" s="667" t="s">
        <v>14</v>
      </c>
      <c r="W30" s="668">
        <f t="shared" si="14"/>
        <v>100</v>
      </c>
      <c r="X30" s="1265"/>
      <c r="Y30" s="337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77"/>
      <c r="Q31" s="530" t="str">
        <f t="shared" si="11"/>
        <v>停车位面积</v>
      </c>
      <c r="R31" s="664" t="s">
        <v>14</v>
      </c>
      <c r="S31" s="665" t="e">
        <f t="shared" si="12"/>
        <v>#N/A</v>
      </c>
      <c r="T31" s="664" t="s">
        <v>14</v>
      </c>
      <c r="U31" s="665" t="e">
        <f t="shared" si="13"/>
        <v>#N/A</v>
      </c>
      <c r="V31" s="664" t="s">
        <v>14</v>
      </c>
      <c r="W31" s="665" t="e">
        <f t="shared" si="14"/>
        <v>#N/A</v>
      </c>
      <c r="X31" s="666"/>
      <c r="Y31" s="337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7" t="s">
        <v>1696</v>
      </c>
      <c r="Q32" s="1263" t="str">
        <f t="shared" si="11"/>
        <v>车位类型</v>
      </c>
      <c r="R32" s="667" t="s">
        <v>14</v>
      </c>
      <c r="S32" s="668">
        <f t="shared" si="12"/>
        <v>100</v>
      </c>
      <c r="T32" s="667" t="s">
        <v>14</v>
      </c>
      <c r="U32" s="668">
        <f t="shared" si="13"/>
        <v>100</v>
      </c>
      <c r="V32" s="667" t="s">
        <v>14</v>
      </c>
      <c r="W32" s="668">
        <f t="shared" si="14"/>
        <v>100</v>
      </c>
      <c r="X32" s="1265"/>
      <c r="Y32" s="337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7"/>
      <c r="Q33" s="1263" t="str">
        <f t="shared" si="11"/>
        <v>是否直接入户</v>
      </c>
      <c r="R33" s="667" t="s">
        <v>14</v>
      </c>
      <c r="S33" s="668">
        <f t="shared" si="12"/>
        <v>100</v>
      </c>
      <c r="T33" s="667" t="s">
        <v>14</v>
      </c>
      <c r="U33" s="668">
        <f t="shared" si="13"/>
        <v>100</v>
      </c>
      <c r="V33" s="667" t="s">
        <v>14</v>
      </c>
      <c r="W33" s="668">
        <f t="shared" si="14"/>
        <v>100</v>
      </c>
      <c r="X33" s="1265"/>
      <c r="Y33" s="337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7"/>
      <c r="Q34" s="1263">
        <f t="shared" si="11"/>
        <v>111</v>
      </c>
      <c r="R34" s="667" t="s">
        <v>14</v>
      </c>
      <c r="S34" s="668">
        <f t="shared" si="12"/>
        <v>100</v>
      </c>
      <c r="T34" s="667" t="s">
        <v>14</v>
      </c>
      <c r="U34" s="668">
        <f t="shared" si="13"/>
        <v>100</v>
      </c>
      <c r="V34" s="667" t="s">
        <v>14</v>
      </c>
      <c r="W34" s="668">
        <f t="shared" si="14"/>
        <v>100</v>
      </c>
      <c r="X34" s="1265"/>
      <c r="Y34" s="337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7"/>
      <c r="Q35" s="531">
        <f t="shared" si="11"/>
        <v>111</v>
      </c>
      <c r="R35" s="669" t="s">
        <v>14</v>
      </c>
      <c r="S35" s="670">
        <f t="shared" si="12"/>
        <v>100</v>
      </c>
      <c r="T35" s="669" t="s">
        <v>14</v>
      </c>
      <c r="U35" s="670">
        <f t="shared" si="13"/>
        <v>100</v>
      </c>
      <c r="V35" s="669" t="s">
        <v>14</v>
      </c>
      <c r="W35" s="670">
        <f t="shared" si="14"/>
        <v>100</v>
      </c>
      <c r="X35" s="671"/>
      <c r="Y35" s="337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7"/>
      <c r="Q36" s="1263">
        <f t="shared" si="11"/>
        <v>111</v>
      </c>
      <c r="R36" s="667" t="s">
        <v>14</v>
      </c>
      <c r="S36" s="668">
        <f t="shared" si="12"/>
        <v>100</v>
      </c>
      <c r="T36" s="667" t="s">
        <v>14</v>
      </c>
      <c r="U36" s="668">
        <f t="shared" si="13"/>
        <v>100</v>
      </c>
      <c r="V36" s="667" t="s">
        <v>14</v>
      </c>
      <c r="W36" s="668">
        <f t="shared" si="14"/>
        <v>100</v>
      </c>
      <c r="X36" s="1265"/>
      <c r="Y36" s="3377"/>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3"/>
      <c r="M37" s="2486"/>
      <c r="N37" s="2486"/>
      <c r="O37" s="2486"/>
      <c r="P37" s="3370" t="str">
        <f>A37</f>
        <v>成交单价</v>
      </c>
      <c r="Q37" s="3370"/>
      <c r="R37" s="3371">
        <f>E37</f>
        <v>0</v>
      </c>
      <c r="S37" s="3371"/>
      <c r="T37" s="3371">
        <f>G37</f>
        <v>0</v>
      </c>
      <c r="U37" s="3371"/>
      <c r="V37" s="3371">
        <f>I37</f>
        <v>0</v>
      </c>
      <c r="W37" s="337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67" t="str">
        <f>A39</f>
        <v>估价对象XX用房的比较价值（楼面单价，元/平方米）</v>
      </c>
      <c r="Q39" s="3368"/>
      <c r="R39" s="3428" t="e">
        <f>IF(F1="售价",ROUND(IF(D38="简单平均",AVERAGE(R38:W38),R38*F38+T38*H38+V38*J38),0),ROUND(IF(D38="简单平均",AVERAGE(R38:V38),R38*F38+T38*H38+V38*J38),1))</f>
        <v>#DIV/0!</v>
      </c>
      <c r="S39" s="3428"/>
      <c r="T39" s="3428"/>
      <c r="U39" s="3428"/>
      <c r="V39" s="3428"/>
      <c r="W39" s="342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95" t="s">
        <v>1771</v>
      </c>
      <c r="S4" s="3396"/>
      <c r="T4" s="3395" t="s">
        <v>1772</v>
      </c>
      <c r="U4" s="3396"/>
      <c r="V4" s="3371" t="s">
        <v>1773</v>
      </c>
      <c r="W4" s="3371"/>
      <c r="X4" s="1265"/>
      <c r="Y4" s="3395" t="s">
        <v>1775</v>
      </c>
      <c r="Z4" s="3396"/>
      <c r="AA4" s="3382" t="s">
        <v>1771</v>
      </c>
      <c r="AB4" s="3383" t="s">
        <v>1772</v>
      </c>
      <c r="AC4" s="3382" t="s">
        <v>1773</v>
      </c>
    </row>
    <row r="5" spans="1:29" ht="15">
      <c r="A5" s="348"/>
      <c r="B5" s="349"/>
      <c r="C5" s="3403" t="s">
        <v>1673</v>
      </c>
      <c r="D5" s="3404"/>
      <c r="E5" s="3410" t="s">
        <v>1674</v>
      </c>
      <c r="F5" s="3411"/>
      <c r="G5" s="3403" t="s">
        <v>1675</v>
      </c>
      <c r="H5" s="3404"/>
      <c r="I5" s="3403" t="s">
        <v>1676</v>
      </c>
      <c r="J5" s="3404"/>
      <c r="K5" s="537"/>
      <c r="L5" s="2485"/>
      <c r="M5" s="2486"/>
      <c r="N5" s="2486"/>
      <c r="O5" s="2486"/>
      <c r="P5" s="3391"/>
      <c r="Q5" s="3392"/>
      <c r="R5" s="3397"/>
      <c r="S5" s="3398"/>
      <c r="T5" s="3397"/>
      <c r="U5" s="3398"/>
      <c r="V5" s="3371"/>
      <c r="W5" s="3371"/>
      <c r="X5" s="1265"/>
      <c r="Y5" s="3397"/>
      <c r="Z5" s="3398"/>
      <c r="AA5" s="3383"/>
      <c r="AB5" s="3383"/>
      <c r="AC5" s="3383"/>
    </row>
    <row r="6" spans="1:29" ht="15.75" thickBot="1">
      <c r="A6" s="350"/>
      <c r="B6" s="351"/>
      <c r="C6" s="3401" t="s">
        <v>1677</v>
      </c>
      <c r="D6" s="3402"/>
      <c r="E6" s="3408" t="s">
        <v>1677</v>
      </c>
      <c r="F6" s="3409"/>
      <c r="G6" s="3401" t="s">
        <v>1677</v>
      </c>
      <c r="H6" s="3402"/>
      <c r="I6" s="3401" t="s">
        <v>1677</v>
      </c>
      <c r="J6" s="3402"/>
      <c r="K6" s="537" t="s">
        <v>1678</v>
      </c>
      <c r="L6" s="2485"/>
      <c r="M6" s="2486"/>
      <c r="N6" s="2486"/>
      <c r="O6" s="2486"/>
      <c r="P6" s="3393"/>
      <c r="Q6" s="3394"/>
      <c r="R6" s="3397"/>
      <c r="S6" s="3398"/>
      <c r="T6" s="3399"/>
      <c r="U6" s="3400"/>
      <c r="V6" s="3371"/>
      <c r="W6" s="3371"/>
      <c r="X6" s="1265"/>
      <c r="Y6" s="3399"/>
      <c r="Z6" s="3400"/>
      <c r="AA6" s="3384"/>
      <c r="AB6" s="3384"/>
      <c r="AC6" s="3384"/>
    </row>
    <row r="7" spans="1:29" s="102" customFormat="1" ht="15.75" thickBot="1">
      <c r="A7" s="352" t="s">
        <v>1679</v>
      </c>
      <c r="B7" s="353"/>
      <c r="C7" s="354">
        <f>'数据-取费表'!B2</f>
        <v>45735</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5" t="s">
        <v>1680</v>
      </c>
      <c r="Q7" s="3407"/>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0"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0"/>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0"/>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0"/>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0"/>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2" t="s">
        <v>1691</v>
      </c>
      <c r="Q14" s="1263" t="str">
        <f t="shared" si="6"/>
        <v>交通便捷度</v>
      </c>
      <c r="R14" s="667" t="s">
        <v>14</v>
      </c>
      <c r="S14" s="668">
        <f t="shared" si="0"/>
        <v>100</v>
      </c>
      <c r="T14" s="667" t="s">
        <v>14</v>
      </c>
      <c r="U14" s="668">
        <f t="shared" si="1"/>
        <v>100</v>
      </c>
      <c r="V14" s="667" t="s">
        <v>14</v>
      </c>
      <c r="W14" s="668">
        <f t="shared" si="2"/>
        <v>100</v>
      </c>
      <c r="X14" s="1265"/>
      <c r="Y14" s="337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3"/>
      <c r="Q15" s="1263"/>
      <c r="R15" s="667"/>
      <c r="S15" s="668"/>
      <c r="T15" s="667"/>
      <c r="U15" s="668"/>
      <c r="V15" s="667"/>
      <c r="W15" s="668"/>
      <c r="X15" s="1265"/>
      <c r="Y15" s="337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3"/>
      <c r="Q16" s="1263" t="str">
        <f>B16</f>
        <v>公共配套设施</v>
      </c>
      <c r="R16" s="667" t="s">
        <v>14</v>
      </c>
      <c r="S16" s="668">
        <f>F16</f>
        <v>100</v>
      </c>
      <c r="T16" s="667" t="s">
        <v>14</v>
      </c>
      <c r="U16" s="668">
        <f>H16</f>
        <v>100</v>
      </c>
      <c r="V16" s="667" t="s">
        <v>14</v>
      </c>
      <c r="W16" s="668">
        <f>J16</f>
        <v>100</v>
      </c>
      <c r="X16" s="1265"/>
      <c r="Y16" s="337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3"/>
      <c r="Q17" s="1263"/>
      <c r="R17" s="667"/>
      <c r="S17" s="668"/>
      <c r="T17" s="667"/>
      <c r="U17" s="668"/>
      <c r="V17" s="667"/>
      <c r="W17" s="668"/>
      <c r="X17" s="1265"/>
      <c r="Y17" s="337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3"/>
      <c r="Q18" s="1263" t="str">
        <f>B18</f>
        <v>基础设施水平</v>
      </c>
      <c r="R18" s="667" t="s">
        <v>14</v>
      </c>
      <c r="S18" s="668">
        <f>F18</f>
        <v>100</v>
      </c>
      <c r="T18" s="667" t="s">
        <v>14</v>
      </c>
      <c r="U18" s="668">
        <f>H18</f>
        <v>100</v>
      </c>
      <c r="V18" s="667" t="s">
        <v>14</v>
      </c>
      <c r="W18" s="668">
        <f>J18</f>
        <v>100</v>
      </c>
      <c r="X18" s="1265"/>
      <c r="Y18" s="337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3"/>
      <c r="Q19" s="1263"/>
      <c r="R19" s="667"/>
      <c r="S19" s="668"/>
      <c r="T19" s="667"/>
      <c r="U19" s="668"/>
      <c r="V19" s="667"/>
      <c r="W19" s="668"/>
      <c r="X19" s="1265"/>
      <c r="Y19" s="337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3"/>
      <c r="Q20" s="1263" t="str">
        <f>B20</f>
        <v>自然及人文环境</v>
      </c>
      <c r="R20" s="667" t="s">
        <v>14</v>
      </c>
      <c r="S20" s="668">
        <f>F20</f>
        <v>100</v>
      </c>
      <c r="T20" s="667" t="s">
        <v>14</v>
      </c>
      <c r="U20" s="668">
        <f>H20</f>
        <v>100</v>
      </c>
      <c r="V20" s="667" t="s">
        <v>14</v>
      </c>
      <c r="W20" s="668">
        <f>J20</f>
        <v>100</v>
      </c>
      <c r="X20" s="1265"/>
      <c r="Y20" s="337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3"/>
      <c r="Q21" s="1263"/>
      <c r="R21" s="667"/>
      <c r="S21" s="668"/>
      <c r="T21" s="667"/>
      <c r="U21" s="668"/>
      <c r="V21" s="667"/>
      <c r="W21" s="668"/>
      <c r="X21" s="1265"/>
      <c r="Y21" s="337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3"/>
      <c r="Q22" s="1263" t="str">
        <f>B22</f>
        <v>楼层</v>
      </c>
      <c r="R22" s="667" t="s">
        <v>14</v>
      </c>
      <c r="S22" s="668">
        <f>F22</f>
        <v>100</v>
      </c>
      <c r="T22" s="667" t="s">
        <v>14</v>
      </c>
      <c r="U22" s="668">
        <f>H22</f>
        <v>100</v>
      </c>
      <c r="V22" s="667" t="s">
        <v>14</v>
      </c>
      <c r="W22" s="668">
        <f>J22</f>
        <v>100</v>
      </c>
      <c r="X22" s="1265"/>
      <c r="Y22" s="337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3"/>
      <c r="Q23" s="1263">
        <f>B23</f>
        <v>111</v>
      </c>
      <c r="R23" s="667" t="s">
        <v>14</v>
      </c>
      <c r="S23" s="668">
        <f>F23</f>
        <v>100</v>
      </c>
      <c r="T23" s="667" t="s">
        <v>14</v>
      </c>
      <c r="U23" s="668">
        <f>H23</f>
        <v>100</v>
      </c>
      <c r="V23" s="667" t="s">
        <v>14</v>
      </c>
      <c r="W23" s="668">
        <f>J23</f>
        <v>100</v>
      </c>
      <c r="X23" s="1265"/>
      <c r="Y23" s="337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3"/>
      <c r="Q24" s="1263">
        <f t="shared" ref="Q24:Q34" si="11">B24</f>
        <v>111</v>
      </c>
      <c r="R24" s="667" t="s">
        <v>14</v>
      </c>
      <c r="S24" s="668">
        <f>F24</f>
        <v>100</v>
      </c>
      <c r="T24" s="667" t="s">
        <v>14</v>
      </c>
      <c r="U24" s="668">
        <f>H24</f>
        <v>100</v>
      </c>
      <c r="V24" s="667" t="s">
        <v>14</v>
      </c>
      <c r="W24" s="668">
        <f>J24</f>
        <v>100</v>
      </c>
      <c r="X24" s="1265"/>
      <c r="Y24" s="337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3"/>
      <c r="Q25" s="530">
        <f t="shared" si="11"/>
        <v>111</v>
      </c>
      <c r="R25" s="664" t="s">
        <v>14</v>
      </c>
      <c r="S25" s="665">
        <f>F25</f>
        <v>100</v>
      </c>
      <c r="T25" s="664" t="s">
        <v>14</v>
      </c>
      <c r="U25" s="665">
        <f>H25</f>
        <v>100</v>
      </c>
      <c r="V25" s="664" t="s">
        <v>14</v>
      </c>
      <c r="W25" s="665">
        <f>J25</f>
        <v>100</v>
      </c>
      <c r="X25" s="666"/>
      <c r="Y25" s="337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2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7"/>
      <c r="Q27" s="531" t="str">
        <f t="shared" si="11"/>
        <v>成新率</v>
      </c>
      <c r="R27" s="669" t="s">
        <v>14</v>
      </c>
      <c r="S27" s="670" t="e">
        <f t="shared" si="12"/>
        <v>#N/A</v>
      </c>
      <c r="T27" s="669" t="s">
        <v>14</v>
      </c>
      <c r="U27" s="670" t="e">
        <f t="shared" si="13"/>
        <v>#N/A</v>
      </c>
      <c r="V27" s="669" t="s">
        <v>14</v>
      </c>
      <c r="W27" s="670" t="e">
        <f t="shared" si="14"/>
        <v>#N/A</v>
      </c>
      <c r="X27" s="671"/>
      <c r="Y27" s="337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7"/>
      <c r="Q28" s="1263" t="str">
        <f t="shared" si="11"/>
        <v>物业等级</v>
      </c>
      <c r="R28" s="667" t="s">
        <v>14</v>
      </c>
      <c r="S28" s="668">
        <f t="shared" si="12"/>
        <v>100</v>
      </c>
      <c r="T28" s="667" t="s">
        <v>14</v>
      </c>
      <c r="U28" s="668">
        <f t="shared" si="13"/>
        <v>100</v>
      </c>
      <c r="V28" s="667" t="s">
        <v>14</v>
      </c>
      <c r="W28" s="668">
        <f t="shared" si="14"/>
        <v>100</v>
      </c>
      <c r="X28" s="1265"/>
      <c r="Y28" s="337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7"/>
      <c r="Q29" s="1263" t="str">
        <f t="shared" si="11"/>
        <v>有无电梯</v>
      </c>
      <c r="R29" s="667" t="s">
        <v>14</v>
      </c>
      <c r="S29" s="668">
        <f t="shared" si="12"/>
        <v>100</v>
      </c>
      <c r="T29" s="667" t="s">
        <v>14</v>
      </c>
      <c r="U29" s="668">
        <f t="shared" si="13"/>
        <v>100</v>
      </c>
      <c r="V29" s="667" t="s">
        <v>14</v>
      </c>
      <c r="W29" s="668">
        <f t="shared" si="14"/>
        <v>100</v>
      </c>
      <c r="X29" s="1265"/>
      <c r="Y29" s="337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7"/>
      <c r="Q30" s="1263" t="str">
        <f t="shared" si="11"/>
        <v>建筑面积</v>
      </c>
      <c r="R30" s="667" t="s">
        <v>14</v>
      </c>
      <c r="S30" s="668" t="e">
        <f t="shared" si="12"/>
        <v>#N/A</v>
      </c>
      <c r="T30" s="667" t="s">
        <v>14</v>
      </c>
      <c r="U30" s="668" t="e">
        <f t="shared" si="13"/>
        <v>#N/A</v>
      </c>
      <c r="V30" s="667" t="s">
        <v>14</v>
      </c>
      <c r="W30" s="668" t="e">
        <f t="shared" si="14"/>
        <v>#N/A</v>
      </c>
      <c r="X30" s="1265"/>
      <c r="Y30" s="337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77"/>
      <c r="Q31" s="530" t="str">
        <f t="shared" si="11"/>
        <v>是否封闭</v>
      </c>
      <c r="R31" s="664" t="s">
        <v>14</v>
      </c>
      <c r="S31" s="665">
        <f t="shared" si="12"/>
        <v>100</v>
      </c>
      <c r="T31" s="664" t="s">
        <v>14</v>
      </c>
      <c r="U31" s="665">
        <f t="shared" si="13"/>
        <v>100</v>
      </c>
      <c r="V31" s="664" t="s">
        <v>14</v>
      </c>
      <c r="W31" s="665">
        <f t="shared" si="14"/>
        <v>100</v>
      </c>
      <c r="X31" s="666"/>
      <c r="Y31" s="337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7" t="s">
        <v>1696</v>
      </c>
      <c r="Q32" s="1263">
        <f t="shared" si="11"/>
        <v>111</v>
      </c>
      <c r="R32" s="667" t="s">
        <v>14</v>
      </c>
      <c r="S32" s="668">
        <f t="shared" si="12"/>
        <v>100</v>
      </c>
      <c r="T32" s="667" t="s">
        <v>14</v>
      </c>
      <c r="U32" s="668">
        <f t="shared" si="13"/>
        <v>100</v>
      </c>
      <c r="V32" s="667" t="s">
        <v>14</v>
      </c>
      <c r="W32" s="668">
        <f t="shared" si="14"/>
        <v>100</v>
      </c>
      <c r="X32" s="1265"/>
      <c r="Y32" s="337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7"/>
      <c r="Q33" s="1263">
        <f t="shared" si="11"/>
        <v>111</v>
      </c>
      <c r="R33" s="667" t="s">
        <v>14</v>
      </c>
      <c r="S33" s="668">
        <f t="shared" si="12"/>
        <v>100</v>
      </c>
      <c r="T33" s="667" t="s">
        <v>14</v>
      </c>
      <c r="U33" s="668">
        <f t="shared" si="13"/>
        <v>100</v>
      </c>
      <c r="V33" s="667" t="s">
        <v>14</v>
      </c>
      <c r="W33" s="668">
        <f t="shared" si="14"/>
        <v>100</v>
      </c>
      <c r="X33" s="1265"/>
      <c r="Y33" s="337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77"/>
      <c r="Q34" s="1263">
        <f t="shared" si="11"/>
        <v>111</v>
      </c>
      <c r="R34" s="667" t="s">
        <v>14</v>
      </c>
      <c r="S34" s="668">
        <f t="shared" si="12"/>
        <v>100</v>
      </c>
      <c r="T34" s="667" t="s">
        <v>14</v>
      </c>
      <c r="U34" s="668">
        <f t="shared" si="13"/>
        <v>100</v>
      </c>
      <c r="V34" s="667" t="s">
        <v>14</v>
      </c>
      <c r="W34" s="668">
        <f t="shared" si="14"/>
        <v>100</v>
      </c>
      <c r="X34" s="1265"/>
      <c r="Y34" s="337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70" t="str">
        <f>A35</f>
        <v>成交单价（元/平方米）</v>
      </c>
      <c r="Q35" s="3370"/>
      <c r="R35" s="3371">
        <f>E35</f>
        <v>0</v>
      </c>
      <c r="S35" s="3371"/>
      <c r="T35" s="3371">
        <f>G35</f>
        <v>0</v>
      </c>
      <c r="U35" s="3371"/>
      <c r="V35" s="3371">
        <f>I35</f>
        <v>0</v>
      </c>
      <c r="W35" s="337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67" t="str">
        <f>A37</f>
        <v>估价对象XX用房的比较价值（楼面单价，元/平方米）</v>
      </c>
      <c r="Q37" s="3368"/>
      <c r="R37" s="3428" t="e">
        <f>IF(F1="售价",ROUND(IF(D36="简单平均",AVERAGE(R36:W36),R36*F36+T36*H36+V36*J36),0),ROUND(IF(D36="简单平均",AVERAGE(R36:V36),R36*F36+T36*H36+V36*J36),1))</f>
        <v>#DIV/0!</v>
      </c>
      <c r="S37" s="3428"/>
      <c r="T37" s="3428"/>
      <c r="U37" s="3428"/>
      <c r="V37" s="3428"/>
      <c r="W37" s="342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95" t="s">
        <v>1771</v>
      </c>
      <c r="S4" s="3396"/>
      <c r="T4" s="3395" t="s">
        <v>1772</v>
      </c>
      <c r="U4" s="3396"/>
      <c r="V4" s="3371" t="s">
        <v>1773</v>
      </c>
      <c r="W4" s="3371"/>
      <c r="X4" s="1265"/>
      <c r="Y4" s="3395" t="s">
        <v>1775</v>
      </c>
      <c r="Z4" s="3396"/>
      <c r="AA4" s="3382" t="s">
        <v>1771</v>
      </c>
      <c r="AB4" s="3383" t="s">
        <v>1772</v>
      </c>
      <c r="AC4" s="3382" t="s">
        <v>1773</v>
      </c>
    </row>
    <row r="5" spans="1:29" ht="15">
      <c r="A5" s="348"/>
      <c r="B5" s="349"/>
      <c r="C5" s="3403" t="s">
        <v>1673</v>
      </c>
      <c r="D5" s="3404"/>
      <c r="E5" s="3410" t="s">
        <v>1674</v>
      </c>
      <c r="F5" s="3411"/>
      <c r="G5" s="3403" t="s">
        <v>1675</v>
      </c>
      <c r="H5" s="3404"/>
      <c r="I5" s="3403" t="s">
        <v>1676</v>
      </c>
      <c r="J5" s="3404"/>
      <c r="K5" s="537"/>
      <c r="L5" s="2485"/>
      <c r="M5" s="2486"/>
      <c r="N5" s="2486"/>
      <c r="O5" s="2486"/>
      <c r="P5" s="3391"/>
      <c r="Q5" s="3392"/>
      <c r="R5" s="3397"/>
      <c r="S5" s="3398"/>
      <c r="T5" s="3397"/>
      <c r="U5" s="3398"/>
      <c r="V5" s="3371"/>
      <c r="W5" s="3371"/>
      <c r="X5" s="1265"/>
      <c r="Y5" s="3397"/>
      <c r="Z5" s="3398"/>
      <c r="AA5" s="3383"/>
      <c r="AB5" s="3383"/>
      <c r="AC5" s="3383"/>
    </row>
    <row r="6" spans="1:29" ht="15.75" thickBot="1">
      <c r="A6" s="350"/>
      <c r="B6" s="351"/>
      <c r="C6" s="3401" t="s">
        <v>1677</v>
      </c>
      <c r="D6" s="3402"/>
      <c r="E6" s="3408" t="s">
        <v>1677</v>
      </c>
      <c r="F6" s="3409"/>
      <c r="G6" s="3401" t="s">
        <v>1677</v>
      </c>
      <c r="H6" s="3402"/>
      <c r="I6" s="3401" t="s">
        <v>1677</v>
      </c>
      <c r="J6" s="3402"/>
      <c r="K6" s="537" t="s">
        <v>1678</v>
      </c>
      <c r="L6" s="2485"/>
      <c r="M6" s="2486"/>
      <c r="N6" s="2486"/>
      <c r="O6" s="2486"/>
      <c r="P6" s="3393"/>
      <c r="Q6" s="3394"/>
      <c r="R6" s="3397"/>
      <c r="S6" s="3398"/>
      <c r="T6" s="3399"/>
      <c r="U6" s="3400"/>
      <c r="V6" s="3371"/>
      <c r="W6" s="3371"/>
      <c r="X6" s="1265"/>
      <c r="Y6" s="3399"/>
      <c r="Z6" s="3400"/>
      <c r="AA6" s="3384"/>
      <c r="AB6" s="3384"/>
      <c r="AC6" s="3384"/>
    </row>
    <row r="7" spans="1:29" s="102" customFormat="1" ht="15.75" thickBot="1">
      <c r="A7" s="352" t="s">
        <v>1679</v>
      </c>
      <c r="B7" s="353"/>
      <c r="C7" s="354">
        <f>'数据-取费表'!B2</f>
        <v>45735</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5" t="s">
        <v>1683</v>
      </c>
      <c r="Q8" s="3406"/>
      <c r="R8" s="664" t="s">
        <v>14</v>
      </c>
      <c r="S8" s="665">
        <f t="shared" si="0"/>
        <v>0</v>
      </c>
      <c r="T8" s="664" t="s">
        <v>14</v>
      </c>
      <c r="U8" s="665">
        <f t="shared" si="1"/>
        <v>0</v>
      </c>
      <c r="V8" s="664" t="s">
        <v>14</v>
      </c>
      <c r="W8" s="665">
        <f t="shared" si="2"/>
        <v>0</v>
      </c>
      <c r="X8" s="666"/>
      <c r="Y8" s="3405" t="s">
        <v>1683</v>
      </c>
      <c r="Z8" s="340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0"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70"/>
      <c r="Q10" s="530" t="str">
        <f t="shared" si="6"/>
        <v>土地使用年限（年）</v>
      </c>
      <c r="R10" s="664" t="s">
        <v>14</v>
      </c>
      <c r="S10" s="665" t="e">
        <f t="shared" si="0"/>
        <v>#DIV/0!</v>
      </c>
      <c r="T10" s="664" t="s">
        <v>14</v>
      </c>
      <c r="U10" s="665" t="e">
        <f t="shared" si="1"/>
        <v>#DIV/0!</v>
      </c>
      <c r="V10" s="664" t="s">
        <v>14</v>
      </c>
      <c r="W10" s="665" t="e">
        <f t="shared" si="2"/>
        <v>#DIV/0!</v>
      </c>
      <c r="X10" s="666"/>
      <c r="Y10" s="324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0"/>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0"/>
      <c r="Q12" s="530" t="str">
        <f t="shared" si="6"/>
        <v>配建</v>
      </c>
      <c r="R12" s="664" t="s">
        <v>14</v>
      </c>
      <c r="S12" s="665">
        <f t="shared" si="0"/>
        <v>100</v>
      </c>
      <c r="T12" s="664" t="s">
        <v>14</v>
      </c>
      <c r="U12" s="665">
        <f t="shared" si="1"/>
        <v>100</v>
      </c>
      <c r="V12" s="664" t="s">
        <v>14</v>
      </c>
      <c r="W12" s="665">
        <f t="shared" si="2"/>
        <v>100</v>
      </c>
      <c r="X12" s="666"/>
      <c r="Y12" s="32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0"/>
      <c r="Q13" s="530">
        <f t="shared" si="6"/>
        <v>111</v>
      </c>
      <c r="R13" s="664" t="s">
        <v>14</v>
      </c>
      <c r="S13" s="665">
        <f t="shared" si="0"/>
        <v>100</v>
      </c>
      <c r="T13" s="664" t="s">
        <v>14</v>
      </c>
      <c r="U13" s="665">
        <f t="shared" si="1"/>
        <v>100</v>
      </c>
      <c r="V13" s="664" t="s">
        <v>14</v>
      </c>
      <c r="W13" s="665">
        <f t="shared" si="2"/>
        <v>100</v>
      </c>
      <c r="X13" s="666"/>
      <c r="Y13" s="324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0"/>
      <c r="Q14" s="530">
        <f t="shared" si="6"/>
        <v>111</v>
      </c>
      <c r="R14" s="664" t="s">
        <v>14</v>
      </c>
      <c r="S14" s="665">
        <f t="shared" si="0"/>
        <v>100</v>
      </c>
      <c r="T14" s="664" t="s">
        <v>14</v>
      </c>
      <c r="U14" s="665">
        <f t="shared" si="1"/>
        <v>100</v>
      </c>
      <c r="V14" s="664" t="s">
        <v>14</v>
      </c>
      <c r="W14" s="665">
        <f t="shared" si="2"/>
        <v>100</v>
      </c>
      <c r="X14" s="666"/>
      <c r="Y14" s="324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2" t="s">
        <v>1691</v>
      </c>
      <c r="Q15" s="1263" t="str">
        <f t="shared" si="6"/>
        <v>居住社区成熟度</v>
      </c>
      <c r="R15" s="667" t="s">
        <v>14</v>
      </c>
      <c r="S15" s="668">
        <f t="shared" si="0"/>
        <v>100</v>
      </c>
      <c r="T15" s="667" t="s">
        <v>14</v>
      </c>
      <c r="U15" s="668">
        <f t="shared" si="1"/>
        <v>100</v>
      </c>
      <c r="V15" s="667" t="s">
        <v>14</v>
      </c>
      <c r="W15" s="668">
        <f t="shared" si="2"/>
        <v>100</v>
      </c>
      <c r="X15" s="1265"/>
      <c r="Y15" s="337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3"/>
      <c r="Q16" s="1263"/>
      <c r="R16" s="667"/>
      <c r="S16" s="668"/>
      <c r="T16" s="667"/>
      <c r="U16" s="668"/>
      <c r="V16" s="667"/>
      <c r="W16" s="668"/>
      <c r="X16" s="1265"/>
      <c r="Y16" s="337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3"/>
      <c r="Q17" s="1263" t="str">
        <f>B17</f>
        <v>商业繁华度</v>
      </c>
      <c r="R17" s="667" t="s">
        <v>14</v>
      </c>
      <c r="S17" s="668">
        <f>F17</f>
        <v>100</v>
      </c>
      <c r="T17" s="667" t="s">
        <v>14</v>
      </c>
      <c r="U17" s="668">
        <f>H17</f>
        <v>100</v>
      </c>
      <c r="V17" s="667" t="s">
        <v>14</v>
      </c>
      <c r="W17" s="668">
        <f>J17</f>
        <v>100</v>
      </c>
      <c r="X17" s="1265"/>
      <c r="Y17" s="337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3"/>
      <c r="Q18" s="1263"/>
      <c r="R18" s="667"/>
      <c r="S18" s="668"/>
      <c r="T18" s="667"/>
      <c r="U18" s="668"/>
      <c r="V18" s="667"/>
      <c r="W18" s="668"/>
      <c r="X18" s="1265"/>
      <c r="Y18" s="337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3"/>
      <c r="Q19" s="1263" t="str">
        <f>B19</f>
        <v>办公集聚程度</v>
      </c>
      <c r="R19" s="667" t="s">
        <v>14</v>
      </c>
      <c r="S19" s="668">
        <f>F19</f>
        <v>100</v>
      </c>
      <c r="T19" s="667" t="s">
        <v>14</v>
      </c>
      <c r="U19" s="668">
        <f>H19</f>
        <v>100</v>
      </c>
      <c r="V19" s="667" t="s">
        <v>14</v>
      </c>
      <c r="W19" s="668">
        <f>J19</f>
        <v>100</v>
      </c>
      <c r="X19" s="1265"/>
      <c r="Y19" s="337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3"/>
      <c r="Q20" s="1263"/>
      <c r="R20" s="667"/>
      <c r="S20" s="668"/>
      <c r="T20" s="667"/>
      <c r="U20" s="668"/>
      <c r="V20" s="667"/>
      <c r="W20" s="668"/>
      <c r="X20" s="1265"/>
      <c r="Y20" s="337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3"/>
      <c r="Q21" s="1263" t="str">
        <f>B21</f>
        <v>交通便捷度</v>
      </c>
      <c r="R21" s="667" t="s">
        <v>14</v>
      </c>
      <c r="S21" s="668">
        <f>F21</f>
        <v>100</v>
      </c>
      <c r="T21" s="667" t="s">
        <v>14</v>
      </c>
      <c r="U21" s="668">
        <f>H21</f>
        <v>100</v>
      </c>
      <c r="V21" s="667" t="s">
        <v>14</v>
      </c>
      <c r="W21" s="668">
        <f>J21</f>
        <v>100</v>
      </c>
      <c r="X21" s="1265"/>
      <c r="Y21" s="337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3"/>
      <c r="Q22" s="1263"/>
      <c r="R22" s="667"/>
      <c r="S22" s="668"/>
      <c r="T22" s="667"/>
      <c r="U22" s="668"/>
      <c r="V22" s="667"/>
      <c r="W22" s="668"/>
      <c r="X22" s="1265"/>
      <c r="Y22" s="337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3"/>
      <c r="Q23" s="1263" t="str">
        <f t="shared" ref="Q23:Q37" si="8">B23</f>
        <v>区域土地利用方向</v>
      </c>
      <c r="R23" s="667" t="s">
        <v>14</v>
      </c>
      <c r="S23" s="668">
        <f>F23</f>
        <v>100</v>
      </c>
      <c r="T23" s="667" t="s">
        <v>14</v>
      </c>
      <c r="U23" s="668">
        <f>H23</f>
        <v>100</v>
      </c>
      <c r="V23" s="667" t="s">
        <v>14</v>
      </c>
      <c r="W23" s="668">
        <f>J23</f>
        <v>100</v>
      </c>
      <c r="X23" s="1265"/>
      <c r="Y23" s="337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3"/>
      <c r="Q24" s="1263"/>
      <c r="R24" s="667"/>
      <c r="S24" s="668"/>
      <c r="T24" s="667"/>
      <c r="U24" s="668"/>
      <c r="V24" s="667"/>
      <c r="W24" s="668"/>
      <c r="X24" s="1265"/>
      <c r="Y24" s="3373"/>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3"/>
      <c r="Q25" s="1263" t="str">
        <f t="shared" si="8"/>
        <v>自然及人文环境状况</v>
      </c>
      <c r="R25" s="667" t="s">
        <v>14</v>
      </c>
      <c r="S25" s="668">
        <f>F25</f>
        <v>100</v>
      </c>
      <c r="T25" s="667" t="s">
        <v>14</v>
      </c>
      <c r="U25" s="668">
        <f>H25</f>
        <v>100</v>
      </c>
      <c r="V25" s="667" t="s">
        <v>14</v>
      </c>
      <c r="W25" s="668">
        <f>J25</f>
        <v>100</v>
      </c>
      <c r="X25" s="1265"/>
      <c r="Y25" s="337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3"/>
      <c r="Q26" s="1263"/>
      <c r="R26" s="667"/>
      <c r="S26" s="668"/>
      <c r="T26" s="667"/>
      <c r="U26" s="668"/>
      <c r="V26" s="667"/>
      <c r="W26" s="668"/>
      <c r="X26" s="1265"/>
      <c r="Y26" s="337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3"/>
      <c r="Q27" s="530" t="str">
        <f t="shared" si="8"/>
        <v>公共配套设施</v>
      </c>
      <c r="R27" s="664" t="s">
        <v>14</v>
      </c>
      <c r="S27" s="665">
        <f>F27</f>
        <v>100</v>
      </c>
      <c r="T27" s="664" t="s">
        <v>14</v>
      </c>
      <c r="U27" s="665">
        <f>H27</f>
        <v>100</v>
      </c>
      <c r="V27" s="664" t="s">
        <v>14</v>
      </c>
      <c r="W27" s="665">
        <f>J27</f>
        <v>100</v>
      </c>
      <c r="X27" s="666"/>
      <c r="Y27" s="337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3"/>
      <c r="Q28" s="530"/>
      <c r="R28" s="664"/>
      <c r="S28" s="665"/>
      <c r="T28" s="664"/>
      <c r="U28" s="665"/>
      <c r="V28" s="664"/>
      <c r="W28" s="665"/>
      <c r="X28" s="666"/>
      <c r="Y28" s="337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3"/>
      <c r="Q29" s="530" t="str">
        <f t="shared" ref="Q29" si="9">B29</f>
        <v>基础设施水平</v>
      </c>
      <c r="R29" s="664" t="s">
        <v>14</v>
      </c>
      <c r="S29" s="665">
        <f>F29</f>
        <v>100</v>
      </c>
      <c r="T29" s="664" t="s">
        <v>14</v>
      </c>
      <c r="U29" s="665">
        <f>H29</f>
        <v>100</v>
      </c>
      <c r="V29" s="664" t="s">
        <v>14</v>
      </c>
      <c r="W29" s="665">
        <f>J29</f>
        <v>100</v>
      </c>
      <c r="X29" s="666"/>
      <c r="Y29" s="337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3"/>
      <c r="Q30" s="530"/>
      <c r="R30" s="664"/>
      <c r="S30" s="665"/>
      <c r="T30" s="664"/>
      <c r="U30" s="665"/>
      <c r="V30" s="664"/>
      <c r="W30" s="665"/>
      <c r="X30" s="666"/>
      <c r="Y30" s="337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3"/>
      <c r="Q32" s="1263" t="str">
        <f t="shared" si="8"/>
        <v>毗邻道路的类型与等级</v>
      </c>
      <c r="R32" s="667" t="s">
        <v>14</v>
      </c>
      <c r="S32" s="668">
        <f t="shared" si="10"/>
        <v>100</v>
      </c>
      <c r="T32" s="667" t="s">
        <v>14</v>
      </c>
      <c r="U32" s="668">
        <f t="shared" si="11"/>
        <v>100</v>
      </c>
      <c r="V32" s="667" t="s">
        <v>14</v>
      </c>
      <c r="W32" s="668">
        <f t="shared" si="12"/>
        <v>100</v>
      </c>
      <c r="X32" s="1265"/>
      <c r="Y32" s="337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3"/>
      <c r="Q33" s="1263"/>
      <c r="R33" s="667"/>
      <c r="S33" s="668"/>
      <c r="T33" s="667"/>
      <c r="U33" s="668"/>
      <c r="V33" s="667"/>
      <c r="W33" s="668"/>
      <c r="X33" s="1265"/>
      <c r="Y33" s="337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3"/>
      <c r="Q34" s="1263" t="str">
        <f t="shared" si="8"/>
        <v>土地级别</v>
      </c>
      <c r="R34" s="667" t="s">
        <v>14</v>
      </c>
      <c r="S34" s="668">
        <f t="shared" si="10"/>
        <v>100</v>
      </c>
      <c r="T34" s="667" t="s">
        <v>14</v>
      </c>
      <c r="U34" s="668">
        <f t="shared" si="11"/>
        <v>100</v>
      </c>
      <c r="V34" s="667" t="s">
        <v>14</v>
      </c>
      <c r="W34" s="668">
        <f t="shared" si="12"/>
        <v>100</v>
      </c>
      <c r="X34" s="1265"/>
      <c r="Y34" s="337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3"/>
      <c r="Q35" s="1263">
        <f t="shared" si="8"/>
        <v>111</v>
      </c>
      <c r="R35" s="667" t="s">
        <v>14</v>
      </c>
      <c r="S35" s="668">
        <f t="shared" si="10"/>
        <v>100</v>
      </c>
      <c r="T35" s="667" t="s">
        <v>14</v>
      </c>
      <c r="U35" s="668">
        <f t="shared" si="11"/>
        <v>100</v>
      </c>
      <c r="V35" s="667" t="s">
        <v>14</v>
      </c>
      <c r="W35" s="668">
        <f t="shared" si="12"/>
        <v>100</v>
      </c>
      <c r="X35" s="1265"/>
      <c r="Y35" s="337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27" t="s">
        <v>1696</v>
      </c>
      <c r="Q36" s="1263">
        <f t="shared" si="8"/>
        <v>111</v>
      </c>
      <c r="R36" s="667" t="s">
        <v>14</v>
      </c>
      <c r="S36" s="668">
        <f t="shared" si="10"/>
        <v>100</v>
      </c>
      <c r="T36" s="667" t="s">
        <v>14</v>
      </c>
      <c r="U36" s="668">
        <f t="shared" si="11"/>
        <v>100</v>
      </c>
      <c r="V36" s="667" t="s">
        <v>14</v>
      </c>
      <c r="W36" s="668">
        <f t="shared" si="12"/>
        <v>100</v>
      </c>
      <c r="X36" s="1265"/>
      <c r="Y36" s="337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7"/>
      <c r="Q37" s="1263">
        <f t="shared" si="8"/>
        <v>111</v>
      </c>
      <c r="R37" s="669" t="s">
        <v>14</v>
      </c>
      <c r="S37" s="670">
        <f t="shared" si="10"/>
        <v>100</v>
      </c>
      <c r="T37" s="669" t="s">
        <v>14</v>
      </c>
      <c r="U37" s="670">
        <f t="shared" si="11"/>
        <v>100</v>
      </c>
      <c r="V37" s="669" t="s">
        <v>14</v>
      </c>
      <c r="W37" s="670">
        <f t="shared" si="12"/>
        <v>100</v>
      </c>
      <c r="X37" s="671"/>
      <c r="Y37" s="337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7"/>
      <c r="Q38" s="1263" t="str">
        <f>B38</f>
        <v>宗地面积</v>
      </c>
      <c r="R38" s="667" t="s">
        <v>14</v>
      </c>
      <c r="S38" s="668" t="e">
        <f t="shared" si="10"/>
        <v>#N/A</v>
      </c>
      <c r="T38" s="667" t="s">
        <v>14</v>
      </c>
      <c r="U38" s="668" t="e">
        <f t="shared" si="11"/>
        <v>#N/A</v>
      </c>
      <c r="V38" s="667" t="s">
        <v>14</v>
      </c>
      <c r="W38" s="668" t="e">
        <f t="shared" si="12"/>
        <v>#N/A</v>
      </c>
      <c r="X38" s="1265"/>
      <c r="Y38" s="337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77"/>
      <c r="Q39" s="1263" t="str">
        <f t="shared" ref="Q39:Q45" si="14">B39</f>
        <v>宗地形状</v>
      </c>
      <c r="R39" s="667" t="s">
        <v>14</v>
      </c>
      <c r="S39" s="668">
        <f t="shared" si="10"/>
        <v>100</v>
      </c>
      <c r="T39" s="667" t="s">
        <v>14</v>
      </c>
      <c r="U39" s="668">
        <f t="shared" si="11"/>
        <v>100</v>
      </c>
      <c r="V39" s="667" t="s">
        <v>14</v>
      </c>
      <c r="W39" s="668">
        <f t="shared" si="12"/>
        <v>100</v>
      </c>
      <c r="X39" s="1265"/>
      <c r="Y39" s="337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77"/>
      <c r="Q40" s="1263" t="str">
        <f t="shared" si="14"/>
        <v>临街宽度及深度</v>
      </c>
      <c r="R40" s="667" t="s">
        <v>14</v>
      </c>
      <c r="S40" s="668">
        <f t="shared" si="10"/>
        <v>100</v>
      </c>
      <c r="T40" s="667" t="s">
        <v>14</v>
      </c>
      <c r="U40" s="668">
        <f t="shared" si="11"/>
        <v>100</v>
      </c>
      <c r="V40" s="667" t="s">
        <v>14</v>
      </c>
      <c r="W40" s="668">
        <f t="shared" si="12"/>
        <v>100</v>
      </c>
      <c r="X40" s="1265"/>
      <c r="Y40" s="337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77"/>
      <c r="Q41" s="1263" t="str">
        <f t="shared" si="14"/>
        <v>宗地开发程度</v>
      </c>
      <c r="R41" s="664" t="s">
        <v>14</v>
      </c>
      <c r="S41" s="665">
        <f t="shared" si="10"/>
        <v>100</v>
      </c>
      <c r="T41" s="664" t="s">
        <v>14</v>
      </c>
      <c r="U41" s="665">
        <f t="shared" si="11"/>
        <v>100</v>
      </c>
      <c r="V41" s="664" t="s">
        <v>14</v>
      </c>
      <c r="W41" s="665">
        <f t="shared" si="12"/>
        <v>100</v>
      </c>
      <c r="X41" s="666"/>
      <c r="Y41" s="337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77" t="s">
        <v>1696</v>
      </c>
      <c r="Q42" s="1263" t="str">
        <f t="shared" si="14"/>
        <v>工程地质条件</v>
      </c>
      <c r="R42" s="667" t="s">
        <v>14</v>
      </c>
      <c r="S42" s="668">
        <f t="shared" si="10"/>
        <v>100</v>
      </c>
      <c r="T42" s="667" t="s">
        <v>14</v>
      </c>
      <c r="U42" s="668">
        <f t="shared" si="11"/>
        <v>100</v>
      </c>
      <c r="V42" s="667" t="s">
        <v>14</v>
      </c>
      <c r="W42" s="668">
        <f t="shared" si="12"/>
        <v>100</v>
      </c>
      <c r="X42" s="1265"/>
      <c r="Y42" s="337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7"/>
      <c r="Q43" s="1263">
        <f t="shared" si="14"/>
        <v>111</v>
      </c>
      <c r="R43" s="667" t="s">
        <v>14</v>
      </c>
      <c r="S43" s="668">
        <f t="shared" si="10"/>
        <v>100</v>
      </c>
      <c r="T43" s="667" t="s">
        <v>14</v>
      </c>
      <c r="U43" s="668">
        <f t="shared" si="11"/>
        <v>100</v>
      </c>
      <c r="V43" s="667" t="s">
        <v>14</v>
      </c>
      <c r="W43" s="668">
        <f t="shared" si="12"/>
        <v>100</v>
      </c>
      <c r="X43" s="1265"/>
      <c r="Y43" s="337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7"/>
      <c r="Q44" s="1263">
        <f t="shared" si="14"/>
        <v>111</v>
      </c>
      <c r="R44" s="667" t="s">
        <v>14</v>
      </c>
      <c r="S44" s="668">
        <f t="shared" si="10"/>
        <v>100</v>
      </c>
      <c r="T44" s="667" t="s">
        <v>14</v>
      </c>
      <c r="U44" s="668">
        <f t="shared" si="11"/>
        <v>100</v>
      </c>
      <c r="V44" s="667" t="s">
        <v>14</v>
      </c>
      <c r="W44" s="668">
        <f t="shared" si="12"/>
        <v>100</v>
      </c>
      <c r="X44" s="1265"/>
      <c r="Y44" s="337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7"/>
      <c r="Q45" s="1263">
        <f t="shared" si="14"/>
        <v>111</v>
      </c>
      <c r="R45" s="669" t="s">
        <v>14</v>
      </c>
      <c r="S45" s="670">
        <f t="shared" si="10"/>
        <v>100</v>
      </c>
      <c r="T45" s="669" t="s">
        <v>14</v>
      </c>
      <c r="U45" s="670">
        <f t="shared" si="11"/>
        <v>100</v>
      </c>
      <c r="V45" s="669" t="s">
        <v>14</v>
      </c>
      <c r="W45" s="670">
        <f t="shared" si="12"/>
        <v>100</v>
      </c>
      <c r="X45" s="671"/>
      <c r="Y45" s="337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370" t="str">
        <f>A46</f>
        <v>成交单价</v>
      </c>
      <c r="Q46" s="3370"/>
      <c r="R46" s="3371">
        <f>E46</f>
        <v>0</v>
      </c>
      <c r="S46" s="3371"/>
      <c r="T46" s="3371">
        <f>G46</f>
        <v>0</v>
      </c>
      <c r="U46" s="3371"/>
      <c r="V46" s="3371">
        <f>I46</f>
        <v>0</v>
      </c>
      <c r="W46" s="337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0" t="str">
        <f>A47</f>
        <v>比较价值（元/平方米）</v>
      </c>
      <c r="Q47" s="3370"/>
      <c r="R47" s="3429" t="e">
        <f>ROUND(PRODUCT(R46,AA7:AA45),0)</f>
        <v>#DIV/0!</v>
      </c>
      <c r="S47" s="3429"/>
      <c r="T47" s="3429" t="e">
        <f>ROUND(PRODUCT(T46,AB7:AB45),0)</f>
        <v>#DIV/0!</v>
      </c>
      <c r="U47" s="3429"/>
      <c r="V47" s="3429" t="e">
        <f>ROUND(PRODUCT(V46,AC7:AC45),0)</f>
        <v>#DIV/0!</v>
      </c>
      <c r="W47" s="342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67" t="str">
        <f>A48</f>
        <v>估价对象XX用房的比较价值（楼面单价，元/平方米）</v>
      </c>
      <c r="Q48" s="3368"/>
      <c r="R48" s="3430" t="e">
        <f>ROUND(IF(D47="简单平均",AVERAGE(R47:W47),R47*F47+T47*H47+V47*J47),0)</f>
        <v>#DIV/0!</v>
      </c>
      <c r="S48" s="3430"/>
      <c r="T48" s="3430"/>
      <c r="U48" s="3430"/>
      <c r="V48" s="3430"/>
      <c r="W48" s="343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5" t="s">
        <v>1887</v>
      </c>
      <c r="H55" s="3431"/>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314.99</v>
      </c>
      <c r="F56" s="833" t="e">
        <f t="shared" ref="F56:F64" si="15">ROUND(B56*E56/10000,0)</f>
        <v>#DIV/0!</v>
      </c>
      <c r="G56" s="3381"/>
      <c r="H56" s="337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314.99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95" t="s">
        <v>1771</v>
      </c>
      <c r="S4" s="3396"/>
      <c r="T4" s="3395" t="s">
        <v>1772</v>
      </c>
      <c r="U4" s="3396"/>
      <c r="V4" s="3371" t="s">
        <v>1773</v>
      </c>
      <c r="W4" s="3371"/>
      <c r="X4" s="1265"/>
      <c r="Y4" s="3395" t="s">
        <v>1775</v>
      </c>
      <c r="Z4" s="3396"/>
      <c r="AA4" s="3382" t="s">
        <v>1771</v>
      </c>
      <c r="AB4" s="3383" t="s">
        <v>1772</v>
      </c>
      <c r="AC4" s="3382" t="s">
        <v>1773</v>
      </c>
    </row>
    <row r="5" spans="1:29" ht="15">
      <c r="A5" s="348"/>
      <c r="B5" s="349"/>
      <c r="C5" s="3403" t="s">
        <v>1673</v>
      </c>
      <c r="D5" s="3404"/>
      <c r="E5" s="3410" t="s">
        <v>1674</v>
      </c>
      <c r="F5" s="3411"/>
      <c r="G5" s="3403" t="s">
        <v>1675</v>
      </c>
      <c r="H5" s="3404"/>
      <c r="I5" s="3403" t="s">
        <v>1676</v>
      </c>
      <c r="J5" s="3404"/>
      <c r="K5" s="537"/>
      <c r="L5" s="2485"/>
      <c r="M5" s="2486"/>
      <c r="N5" s="2486"/>
      <c r="O5" s="2486"/>
      <c r="P5" s="3391"/>
      <c r="Q5" s="3392"/>
      <c r="R5" s="3397"/>
      <c r="S5" s="3398"/>
      <c r="T5" s="3397"/>
      <c r="U5" s="3398"/>
      <c r="V5" s="3371"/>
      <c r="W5" s="3371"/>
      <c r="X5" s="1265"/>
      <c r="Y5" s="3397"/>
      <c r="Z5" s="3398"/>
      <c r="AA5" s="3383"/>
      <c r="AB5" s="3383"/>
      <c r="AC5" s="3383"/>
    </row>
    <row r="6" spans="1:29" ht="15.75" thickBot="1">
      <c r="A6" s="350"/>
      <c r="B6" s="351"/>
      <c r="C6" s="3432" t="s">
        <v>1919</v>
      </c>
      <c r="D6" s="3433"/>
      <c r="E6" s="3434" t="s">
        <v>1919</v>
      </c>
      <c r="F6" s="3435"/>
      <c r="G6" s="3432" t="s">
        <v>1919</v>
      </c>
      <c r="H6" s="3433"/>
      <c r="I6" s="3432" t="s">
        <v>1919</v>
      </c>
      <c r="J6" s="3433"/>
      <c r="K6" s="537" t="s">
        <v>1678</v>
      </c>
      <c r="L6" s="2485"/>
      <c r="M6" s="2486"/>
      <c r="N6" s="2486"/>
      <c r="O6" s="2486"/>
      <c r="P6" s="3393"/>
      <c r="Q6" s="3394"/>
      <c r="R6" s="3397"/>
      <c r="S6" s="3398"/>
      <c r="T6" s="3399"/>
      <c r="U6" s="3400"/>
      <c r="V6" s="3371"/>
      <c r="W6" s="3371"/>
      <c r="X6" s="1265"/>
      <c r="Y6" s="3399"/>
      <c r="Z6" s="3400"/>
      <c r="AA6" s="3384"/>
      <c r="AB6" s="3384"/>
      <c r="AC6" s="3384"/>
    </row>
    <row r="7" spans="1:29" s="102" customFormat="1" ht="15.75" thickBot="1">
      <c r="A7" s="352" t="s">
        <v>1679</v>
      </c>
      <c r="B7" s="353"/>
      <c r="C7" s="354">
        <f>'数据-取费表'!B2</f>
        <v>45735</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5" t="s">
        <v>1683</v>
      </c>
      <c r="Q8" s="3406"/>
      <c r="R8" s="664" t="s">
        <v>14</v>
      </c>
      <c r="S8" s="665">
        <f t="shared" si="0"/>
        <v>0</v>
      </c>
      <c r="T8" s="664" t="s">
        <v>14</v>
      </c>
      <c r="U8" s="665">
        <f t="shared" si="1"/>
        <v>0</v>
      </c>
      <c r="V8" s="664" t="s">
        <v>14</v>
      </c>
      <c r="W8" s="665">
        <f t="shared" si="2"/>
        <v>0</v>
      </c>
      <c r="X8" s="666"/>
      <c r="Y8" s="3405" t="s">
        <v>1683</v>
      </c>
      <c r="Z8" s="340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0"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70"/>
      <c r="Q10" s="530" t="str">
        <f t="shared" si="6"/>
        <v>土地使用年限（年）</v>
      </c>
      <c r="R10" s="664" t="s">
        <v>14</v>
      </c>
      <c r="S10" s="665" t="e">
        <f t="shared" si="0"/>
        <v>#DIV/0!</v>
      </c>
      <c r="T10" s="664" t="s">
        <v>14</v>
      </c>
      <c r="U10" s="665" t="e">
        <f t="shared" si="1"/>
        <v>#DIV/0!</v>
      </c>
      <c r="V10" s="664" t="s">
        <v>14</v>
      </c>
      <c r="W10" s="665" t="e">
        <f t="shared" si="2"/>
        <v>#DIV/0!</v>
      </c>
      <c r="X10" s="666"/>
      <c r="Y10" s="324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0"/>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0"/>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0"/>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0"/>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2" t="s">
        <v>1691</v>
      </c>
      <c r="Q15" s="1263" t="str">
        <f t="shared" si="6"/>
        <v>产业集聚程度</v>
      </c>
      <c r="R15" s="667" t="s">
        <v>14</v>
      </c>
      <c r="S15" s="668">
        <f t="shared" si="0"/>
        <v>100</v>
      </c>
      <c r="T15" s="667" t="s">
        <v>14</v>
      </c>
      <c r="U15" s="668">
        <f t="shared" si="1"/>
        <v>100</v>
      </c>
      <c r="V15" s="667" t="s">
        <v>14</v>
      </c>
      <c r="W15" s="668">
        <f t="shared" si="2"/>
        <v>100</v>
      </c>
      <c r="X15" s="1265"/>
      <c r="Y15" s="337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3"/>
      <c r="Q16" s="1263"/>
      <c r="R16" s="667"/>
      <c r="S16" s="668"/>
      <c r="T16" s="667"/>
      <c r="U16" s="668"/>
      <c r="V16" s="667"/>
      <c r="W16" s="668"/>
      <c r="X16" s="1265"/>
      <c r="Y16" s="337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3"/>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3"/>
      <c r="Q18" s="1263"/>
      <c r="R18" s="667"/>
      <c r="S18" s="668"/>
      <c r="T18" s="667"/>
      <c r="U18" s="668"/>
      <c r="V18" s="667"/>
      <c r="W18" s="668"/>
      <c r="X18" s="1265"/>
      <c r="Y18" s="337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3"/>
      <c r="Q19" s="1263" t="str">
        <f t="shared" ref="Q19:Q33" si="8">B19</f>
        <v>区域土地利用方向</v>
      </c>
      <c r="R19" s="667" t="s">
        <v>14</v>
      </c>
      <c r="S19" s="668">
        <f>F19</f>
        <v>100</v>
      </c>
      <c r="T19" s="667" t="s">
        <v>14</v>
      </c>
      <c r="U19" s="668">
        <f>H19</f>
        <v>100</v>
      </c>
      <c r="V19" s="667" t="s">
        <v>14</v>
      </c>
      <c r="W19" s="668">
        <f>J19</f>
        <v>100</v>
      </c>
      <c r="X19" s="1265"/>
      <c r="Y19" s="337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3"/>
      <c r="Q20" s="1263"/>
      <c r="R20" s="667"/>
      <c r="S20" s="668"/>
      <c r="T20" s="667"/>
      <c r="U20" s="668"/>
      <c r="V20" s="667"/>
      <c r="W20" s="668"/>
      <c r="X20" s="1265"/>
      <c r="Y20" s="337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3"/>
      <c r="Q21" s="1263" t="str">
        <f t="shared" si="8"/>
        <v>环境状况</v>
      </c>
      <c r="R21" s="667" t="s">
        <v>14</v>
      </c>
      <c r="S21" s="668">
        <f>F21</f>
        <v>100</v>
      </c>
      <c r="T21" s="667" t="s">
        <v>14</v>
      </c>
      <c r="U21" s="668">
        <f>H21</f>
        <v>100</v>
      </c>
      <c r="V21" s="667" t="s">
        <v>14</v>
      </c>
      <c r="W21" s="668">
        <f>J21</f>
        <v>100</v>
      </c>
      <c r="X21" s="1265"/>
      <c r="Y21" s="337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3"/>
      <c r="Q22" s="1263"/>
      <c r="R22" s="667"/>
      <c r="S22" s="668"/>
      <c r="T22" s="667"/>
      <c r="U22" s="668"/>
      <c r="V22" s="667"/>
      <c r="W22" s="668"/>
      <c r="X22" s="1265"/>
      <c r="Y22" s="337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3"/>
      <c r="Q23" s="530" t="str">
        <f t="shared" si="8"/>
        <v>公共配套设施</v>
      </c>
      <c r="R23" s="664" t="s">
        <v>14</v>
      </c>
      <c r="S23" s="665">
        <f>F23</f>
        <v>100</v>
      </c>
      <c r="T23" s="664" t="s">
        <v>14</v>
      </c>
      <c r="U23" s="665">
        <f>H23</f>
        <v>100</v>
      </c>
      <c r="V23" s="664" t="s">
        <v>14</v>
      </c>
      <c r="W23" s="665">
        <f>J23</f>
        <v>100</v>
      </c>
      <c r="X23" s="666"/>
      <c r="Y23" s="337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3"/>
      <c r="Q24" s="530"/>
      <c r="R24" s="664"/>
      <c r="S24" s="665"/>
      <c r="T24" s="664"/>
      <c r="U24" s="665"/>
      <c r="V24" s="664"/>
      <c r="W24" s="665"/>
      <c r="X24" s="666"/>
      <c r="Y24" s="337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3"/>
      <c r="Q25" s="530" t="str">
        <f t="shared" ref="Q25" si="9">B25</f>
        <v>基础设施水平</v>
      </c>
      <c r="R25" s="664" t="s">
        <v>14</v>
      </c>
      <c r="S25" s="665">
        <f>F25</f>
        <v>100</v>
      </c>
      <c r="T25" s="664" t="s">
        <v>14</v>
      </c>
      <c r="U25" s="665">
        <f>H25</f>
        <v>100</v>
      </c>
      <c r="V25" s="664" t="s">
        <v>14</v>
      </c>
      <c r="W25" s="665">
        <f>J25</f>
        <v>100</v>
      </c>
      <c r="X25" s="666"/>
      <c r="Y25" s="337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3"/>
      <c r="Q26" s="530"/>
      <c r="R26" s="664"/>
      <c r="S26" s="665"/>
      <c r="T26" s="664"/>
      <c r="U26" s="665"/>
      <c r="V26" s="664"/>
      <c r="W26" s="665"/>
      <c r="X26" s="666"/>
      <c r="Y26" s="337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3"/>
      <c r="Q28" s="1263" t="str">
        <f t="shared" si="8"/>
        <v>毗邻道路的类型与等级</v>
      </c>
      <c r="R28" s="667" t="s">
        <v>14</v>
      </c>
      <c r="S28" s="668">
        <f t="shared" si="10"/>
        <v>100</v>
      </c>
      <c r="T28" s="667" t="s">
        <v>14</v>
      </c>
      <c r="U28" s="668">
        <f t="shared" si="11"/>
        <v>100</v>
      </c>
      <c r="V28" s="667" t="s">
        <v>14</v>
      </c>
      <c r="W28" s="668">
        <f t="shared" si="12"/>
        <v>100</v>
      </c>
      <c r="X28" s="1265"/>
      <c r="Y28" s="337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3"/>
      <c r="Q29" s="1263"/>
      <c r="R29" s="667"/>
      <c r="S29" s="668"/>
      <c r="T29" s="667"/>
      <c r="U29" s="668"/>
      <c r="V29" s="667"/>
      <c r="W29" s="668"/>
      <c r="X29" s="1265"/>
      <c r="Y29" s="337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3"/>
      <c r="Q30" s="1263" t="str">
        <f t="shared" si="8"/>
        <v>土地级别</v>
      </c>
      <c r="R30" s="667" t="s">
        <v>14</v>
      </c>
      <c r="S30" s="668">
        <f t="shared" si="10"/>
        <v>100</v>
      </c>
      <c r="T30" s="667" t="s">
        <v>14</v>
      </c>
      <c r="U30" s="668">
        <f t="shared" si="11"/>
        <v>100</v>
      </c>
      <c r="V30" s="667" t="s">
        <v>14</v>
      </c>
      <c r="W30" s="668">
        <f t="shared" si="12"/>
        <v>100</v>
      </c>
      <c r="X30" s="1265"/>
      <c r="Y30" s="337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3"/>
      <c r="Q31" s="1263">
        <f t="shared" si="8"/>
        <v>111</v>
      </c>
      <c r="R31" s="667" t="s">
        <v>14</v>
      </c>
      <c r="S31" s="668">
        <f t="shared" si="10"/>
        <v>100</v>
      </c>
      <c r="T31" s="667" t="s">
        <v>14</v>
      </c>
      <c r="U31" s="668">
        <f t="shared" si="11"/>
        <v>100</v>
      </c>
      <c r="V31" s="667" t="s">
        <v>14</v>
      </c>
      <c r="W31" s="668">
        <f t="shared" si="12"/>
        <v>100</v>
      </c>
      <c r="X31" s="1265"/>
      <c r="Y31" s="337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27" t="s">
        <v>1696</v>
      </c>
      <c r="Q32" s="1263">
        <f t="shared" si="8"/>
        <v>111</v>
      </c>
      <c r="R32" s="667" t="s">
        <v>14</v>
      </c>
      <c r="S32" s="668">
        <f t="shared" si="10"/>
        <v>100</v>
      </c>
      <c r="T32" s="667" t="s">
        <v>14</v>
      </c>
      <c r="U32" s="668">
        <f t="shared" si="11"/>
        <v>100</v>
      </c>
      <c r="V32" s="667" t="s">
        <v>14</v>
      </c>
      <c r="W32" s="668">
        <f t="shared" si="12"/>
        <v>100</v>
      </c>
      <c r="X32" s="1265"/>
      <c r="Y32" s="337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7"/>
      <c r="Q33" s="1263">
        <f t="shared" si="8"/>
        <v>111</v>
      </c>
      <c r="R33" s="669" t="s">
        <v>14</v>
      </c>
      <c r="S33" s="670">
        <f t="shared" si="10"/>
        <v>100</v>
      </c>
      <c r="T33" s="669" t="s">
        <v>14</v>
      </c>
      <c r="U33" s="670">
        <f t="shared" si="11"/>
        <v>100</v>
      </c>
      <c r="V33" s="669" t="s">
        <v>14</v>
      </c>
      <c r="W33" s="670">
        <f t="shared" si="12"/>
        <v>100</v>
      </c>
      <c r="X33" s="671"/>
      <c r="Y33" s="337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7"/>
      <c r="Q34" s="1263" t="str">
        <f>B34</f>
        <v>宗地面积</v>
      </c>
      <c r="R34" s="667" t="s">
        <v>14</v>
      </c>
      <c r="S34" s="668" t="e">
        <f t="shared" si="10"/>
        <v>#N/A</v>
      </c>
      <c r="T34" s="667" t="s">
        <v>14</v>
      </c>
      <c r="U34" s="668" t="e">
        <f t="shared" si="11"/>
        <v>#N/A</v>
      </c>
      <c r="V34" s="667" t="s">
        <v>14</v>
      </c>
      <c r="W34" s="668" t="e">
        <f t="shared" si="12"/>
        <v>#N/A</v>
      </c>
      <c r="X34" s="1265"/>
      <c r="Y34" s="337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77"/>
      <c r="Q35" s="1263" t="str">
        <f t="shared" ref="Q35:Q40" si="14">B35</f>
        <v>宗地形状</v>
      </c>
      <c r="R35" s="667" t="s">
        <v>14</v>
      </c>
      <c r="S35" s="668">
        <f t="shared" si="10"/>
        <v>100</v>
      </c>
      <c r="T35" s="667" t="s">
        <v>14</v>
      </c>
      <c r="U35" s="668">
        <f t="shared" si="11"/>
        <v>100</v>
      </c>
      <c r="V35" s="667" t="s">
        <v>14</v>
      </c>
      <c r="W35" s="668">
        <f t="shared" si="12"/>
        <v>100</v>
      </c>
      <c r="X35" s="1265"/>
      <c r="Y35" s="337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77"/>
      <c r="Q36" s="1263" t="str">
        <f t="shared" si="14"/>
        <v>宗地开发程度</v>
      </c>
      <c r="R36" s="664" t="s">
        <v>14</v>
      </c>
      <c r="S36" s="665">
        <f t="shared" si="10"/>
        <v>100</v>
      </c>
      <c r="T36" s="664" t="s">
        <v>14</v>
      </c>
      <c r="U36" s="665">
        <f t="shared" si="11"/>
        <v>100</v>
      </c>
      <c r="V36" s="664" t="s">
        <v>14</v>
      </c>
      <c r="W36" s="665">
        <f t="shared" si="12"/>
        <v>100</v>
      </c>
      <c r="X36" s="666"/>
      <c r="Y36" s="337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77" t="s">
        <v>1696</v>
      </c>
      <c r="Q37" s="1263" t="str">
        <f t="shared" si="14"/>
        <v>工程地质条件</v>
      </c>
      <c r="R37" s="667" t="s">
        <v>14</v>
      </c>
      <c r="S37" s="668">
        <f t="shared" si="10"/>
        <v>100</v>
      </c>
      <c r="T37" s="667" t="s">
        <v>14</v>
      </c>
      <c r="U37" s="668">
        <f t="shared" si="11"/>
        <v>100</v>
      </c>
      <c r="V37" s="667" t="s">
        <v>14</v>
      </c>
      <c r="W37" s="668">
        <f t="shared" si="12"/>
        <v>100</v>
      </c>
      <c r="X37" s="1265"/>
      <c r="Y37" s="337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7"/>
      <c r="Q38" s="1263">
        <f t="shared" si="14"/>
        <v>111</v>
      </c>
      <c r="R38" s="667" t="s">
        <v>14</v>
      </c>
      <c r="S38" s="668">
        <f t="shared" si="10"/>
        <v>100</v>
      </c>
      <c r="T38" s="667" t="s">
        <v>14</v>
      </c>
      <c r="U38" s="668">
        <f t="shared" si="11"/>
        <v>100</v>
      </c>
      <c r="V38" s="667" t="s">
        <v>14</v>
      </c>
      <c r="W38" s="668">
        <f t="shared" si="12"/>
        <v>100</v>
      </c>
      <c r="X38" s="1265"/>
      <c r="Y38" s="337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7"/>
      <c r="Q39" s="1263">
        <f t="shared" si="14"/>
        <v>111</v>
      </c>
      <c r="R39" s="667" t="s">
        <v>14</v>
      </c>
      <c r="S39" s="668">
        <f t="shared" si="10"/>
        <v>100</v>
      </c>
      <c r="T39" s="667" t="s">
        <v>14</v>
      </c>
      <c r="U39" s="668">
        <f t="shared" si="11"/>
        <v>100</v>
      </c>
      <c r="V39" s="667" t="s">
        <v>14</v>
      </c>
      <c r="W39" s="668">
        <f t="shared" si="12"/>
        <v>100</v>
      </c>
      <c r="X39" s="1265"/>
      <c r="Y39" s="337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7"/>
      <c r="Q40" s="1263">
        <f t="shared" si="14"/>
        <v>111</v>
      </c>
      <c r="R40" s="669" t="s">
        <v>14</v>
      </c>
      <c r="S40" s="670">
        <f t="shared" si="10"/>
        <v>100</v>
      </c>
      <c r="T40" s="669" t="s">
        <v>14</v>
      </c>
      <c r="U40" s="670">
        <f t="shared" si="11"/>
        <v>100</v>
      </c>
      <c r="V40" s="669" t="s">
        <v>14</v>
      </c>
      <c r="W40" s="670">
        <f t="shared" si="12"/>
        <v>100</v>
      </c>
      <c r="X40" s="671"/>
      <c r="Y40" s="337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370" t="str">
        <f>A41</f>
        <v>成交单价</v>
      </c>
      <c r="Q41" s="3370"/>
      <c r="R41" s="3371">
        <f>E41</f>
        <v>0</v>
      </c>
      <c r="S41" s="3371"/>
      <c r="T41" s="3371">
        <f>G41</f>
        <v>0</v>
      </c>
      <c r="U41" s="3371"/>
      <c r="V41" s="3371">
        <f>I41</f>
        <v>0</v>
      </c>
      <c r="W41" s="337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0" t="str">
        <f>A42</f>
        <v>比较价值（元/平方米）</v>
      </c>
      <c r="Q42" s="3370"/>
      <c r="R42" s="3429" t="e">
        <f>ROUND(PRODUCT(R41,AA7:AA40),0)</f>
        <v>#DIV/0!</v>
      </c>
      <c r="S42" s="3429"/>
      <c r="T42" s="3429" t="e">
        <f>ROUND(PRODUCT(T41,AB7:AB40),0)</f>
        <v>#DIV/0!</v>
      </c>
      <c r="U42" s="3429"/>
      <c r="V42" s="3429" t="e">
        <f>ROUND(PRODUCT(V41,AC7:AC40),0)</f>
        <v>#DIV/0!</v>
      </c>
      <c r="W42" s="342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67" t="str">
        <f>A43</f>
        <v>估价对象XX用房的比较价值（楼面单价，元/平方米）</v>
      </c>
      <c r="Q43" s="3368"/>
      <c r="R43" s="3430" t="e">
        <f>ROUND(IF(D42="简单平均",AVERAGE(R42:W42),R42*F42+T42*H42+V42*J42),0)</f>
        <v>#DIV/0!</v>
      </c>
      <c r="S43" s="3430"/>
      <c r="T43" s="3430"/>
      <c r="U43" s="3430"/>
      <c r="V43" s="3430"/>
      <c r="W43" s="343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385" t="s">
        <v>1887</v>
      </c>
      <c r="H50" s="3431"/>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314.99</v>
      </c>
      <c r="F51" s="611" t="e">
        <f t="shared" ref="F51:F60" si="15">ROUND(B51*E51/10000,0)</f>
        <v>#DIV/0!</v>
      </c>
      <c r="G51" s="3381"/>
      <c r="H51" s="337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9" t="s">
        <v>2084</v>
      </c>
      <c r="D1" s="3440"/>
      <c r="E1" s="3440"/>
      <c r="F1" s="3440"/>
      <c r="G1" s="3440"/>
      <c r="H1" s="3440"/>
      <c r="I1" s="3440"/>
      <c r="J1" s="3440"/>
      <c r="K1" s="3440"/>
      <c r="L1" s="3440"/>
      <c r="M1" s="3440"/>
      <c r="N1" s="3440"/>
      <c r="O1" s="3440"/>
      <c r="P1" s="3440"/>
      <c r="Q1" s="3440"/>
      <c r="R1" s="3440"/>
      <c r="S1" s="344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6" t="s">
        <v>27</v>
      </c>
      <c r="D22" s="3437"/>
      <c r="E22" s="3437"/>
      <c r="F22" s="3437"/>
      <c r="G22" s="3437"/>
      <c r="H22" s="3437"/>
      <c r="I22" s="3437"/>
      <c r="J22" s="3437"/>
      <c r="K22" s="3437"/>
      <c r="L22" s="3437"/>
      <c r="M22" s="3437"/>
      <c r="N22" s="3437"/>
      <c r="O22" s="3437"/>
      <c r="P22" s="3437"/>
      <c r="Q22" s="343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75">
      <c r="A3" s="1984" t="s">
        <v>2076</v>
      </c>
      <c r="B3" s="2387" t="e">
        <f ca="1">ROUND(B2*10000/E2,0)</f>
        <v>#DIV/0!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49"/>
      <c r="B4" s="3450"/>
      <c r="C4" s="3450"/>
      <c r="D4" s="3451"/>
      <c r="E4" s="3451"/>
      <c r="F4" s="3451"/>
      <c r="G4" s="3451"/>
      <c r="H4" s="3451"/>
      <c r="I4" s="3451"/>
      <c r="J4" s="345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46" t="s">
        <v>1960</v>
      </c>
      <c r="X8" s="344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48"/>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4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53" t="s">
        <v>3254</v>
      </c>
      <c r="B20" s="159" t="s">
        <v>1994</v>
      </c>
      <c r="C20" s="3030" t="e">
        <f>ROUND(IF(F21="与级别开发程度一致",0,(G21-E21)/C21),0)</f>
        <v>#DIV/0!</v>
      </c>
      <c r="D20" s="3045" t="s">
        <v>1998</v>
      </c>
      <c r="E20" s="3046"/>
      <c r="F20" s="3459" t="s">
        <v>1995</v>
      </c>
      <c r="G20" s="346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5" thickBot="1">
      <c r="A21" s="345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45735</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8"/>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38.25">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5.5">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25"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5" t="s">
        <v>3294</v>
      </c>
      <c r="B103" s="3455"/>
      <c r="C103" s="3455"/>
      <c r="D103" s="3455"/>
      <c r="E103" s="3455"/>
      <c r="F103" s="3455"/>
      <c r="G103" s="3455"/>
      <c r="H103" s="3455"/>
      <c r="I103" s="3455"/>
      <c r="J103" s="3455"/>
      <c r="K103" s="1667"/>
      <c r="L103" s="1667"/>
      <c r="M103" s="1667"/>
      <c r="N103" s="1667"/>
    </row>
    <row r="104" spans="1:14">
      <c r="A104" s="3456" t="s">
        <v>3295</v>
      </c>
      <c r="B104" s="3456" t="s">
        <v>3296</v>
      </c>
      <c r="C104" s="3089" t="s">
        <v>3297</v>
      </c>
      <c r="D104" s="3090"/>
      <c r="E104" s="3090"/>
      <c r="F104" s="3090"/>
      <c r="G104" s="3090"/>
      <c r="H104" s="3090"/>
      <c r="I104" s="3090"/>
      <c r="J104" s="3091"/>
      <c r="K104" s="3092"/>
      <c r="L104" s="3092"/>
      <c r="M104" s="3092"/>
      <c r="N104" s="3092"/>
    </row>
    <row r="105" spans="1:14">
      <c r="A105" s="3456"/>
      <c r="B105" s="3456"/>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42"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3"/>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5" t="s">
        <v>3311</v>
      </c>
      <c r="B113" s="3445"/>
      <c r="C113" s="3445"/>
      <c r="D113" s="3445"/>
      <c r="E113" s="3445"/>
      <c r="F113" s="3445"/>
      <c r="G113" s="3445"/>
      <c r="H113" s="3445"/>
      <c r="I113" s="3445"/>
      <c r="J113" s="344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0" t="s">
        <v>2607</v>
      </c>
      <c r="B20" s="3465" t="s">
        <v>2628</v>
      </c>
      <c r="C20" s="2841" t="s">
        <v>2439</v>
      </c>
      <c r="D20" s="2842"/>
      <c r="E20" s="2843">
        <v>1</v>
      </c>
      <c r="F20" s="2844" t="s">
        <v>2440</v>
      </c>
      <c r="G20" s="2844"/>
    </row>
    <row r="21" spans="1:13" ht="19.5" customHeight="1">
      <c r="A21" s="3471"/>
      <c r="B21" s="3464"/>
      <c r="C21" s="2845" t="s">
        <v>2441</v>
      </c>
      <c r="D21" s="2846"/>
      <c r="E21" s="2847">
        <v>1</v>
      </c>
      <c r="F21" s="2844" t="s">
        <v>2442</v>
      </c>
      <c r="G21" s="2844"/>
    </row>
    <row r="22" spans="1:13" ht="19.5" customHeight="1">
      <c r="A22" s="3471"/>
      <c r="B22" s="3464"/>
      <c r="C22" s="2845" t="s">
        <v>2443</v>
      </c>
      <c r="D22" s="2846"/>
      <c r="E22" s="2847">
        <v>0.9</v>
      </c>
      <c r="F22" s="2844" t="s">
        <v>2444</v>
      </c>
      <c r="G22" s="2844"/>
    </row>
    <row r="23" spans="1:13" ht="19.5" customHeight="1">
      <c r="A23" s="3471"/>
      <c r="B23" s="3464"/>
      <c r="C23" s="2845" t="s">
        <v>2445</v>
      </c>
      <c r="D23" s="2846"/>
      <c r="E23" s="2847">
        <v>0.9</v>
      </c>
      <c r="F23" s="2844" t="s">
        <v>2446</v>
      </c>
      <c r="G23" s="2844"/>
    </row>
    <row r="24" spans="1:13" ht="19.5" customHeight="1">
      <c r="A24" s="3471"/>
      <c r="B24" s="3464"/>
      <c r="C24" s="2845" t="s">
        <v>2447</v>
      </c>
      <c r="D24" s="2846"/>
      <c r="E24" s="2847">
        <v>0.8</v>
      </c>
      <c r="F24" s="2844" t="s">
        <v>2448</v>
      </c>
      <c r="G24" s="2844"/>
    </row>
    <row r="25" spans="1:13" ht="19.5" customHeight="1" thickBot="1">
      <c r="A25" s="3472"/>
      <c r="B25" s="3466"/>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67" t="s">
        <v>2631</v>
      </c>
      <c r="B27" s="3465" t="s">
        <v>2612</v>
      </c>
      <c r="C27" s="2841" t="s">
        <v>2452</v>
      </c>
      <c r="D27" s="2842"/>
      <c r="E27" s="2843">
        <v>1</v>
      </c>
      <c r="F27" s="2844" t="s">
        <v>2453</v>
      </c>
      <c r="G27" s="2844"/>
    </row>
    <row r="28" spans="1:13" ht="19.5" customHeight="1">
      <c r="A28" s="3468"/>
      <c r="B28" s="3464"/>
      <c r="C28" s="2845" t="s">
        <v>2454</v>
      </c>
      <c r="D28" s="2846"/>
      <c r="E28" s="2847">
        <v>1</v>
      </c>
      <c r="F28" s="2844" t="s">
        <v>2455</v>
      </c>
      <c r="G28" s="2844"/>
    </row>
    <row r="29" spans="1:13" ht="19.5" customHeight="1">
      <c r="A29" s="3468"/>
      <c r="B29" s="3464"/>
      <c r="C29" s="2845" t="s">
        <v>2456</v>
      </c>
      <c r="D29" s="2846"/>
      <c r="E29" s="2847">
        <v>0.8</v>
      </c>
      <c r="F29" s="2844" t="s">
        <v>2457</v>
      </c>
      <c r="G29" s="2844"/>
    </row>
    <row r="30" spans="1:13" ht="19.5" customHeight="1">
      <c r="A30" s="3468"/>
      <c r="B30" s="3464"/>
      <c r="C30" s="2845" t="s">
        <v>2458</v>
      </c>
      <c r="D30" s="2846"/>
      <c r="E30" s="2847">
        <v>0.8</v>
      </c>
      <c r="F30" s="2844" t="s">
        <v>2459</v>
      </c>
      <c r="G30" s="2844"/>
    </row>
    <row r="31" spans="1:13" ht="19.5" customHeight="1">
      <c r="A31" s="3468"/>
      <c r="B31" s="3464"/>
      <c r="C31" s="2845" t="s">
        <v>2460</v>
      </c>
      <c r="D31" s="2846"/>
      <c r="E31" s="2847">
        <v>0.8</v>
      </c>
      <c r="F31" s="2844" t="s">
        <v>2461</v>
      </c>
      <c r="G31" s="2844"/>
    </row>
    <row r="32" spans="1:13" ht="19.5" customHeight="1">
      <c r="A32" s="3468"/>
      <c r="B32" s="3464"/>
      <c r="C32" s="2845" t="s">
        <v>2462</v>
      </c>
      <c r="D32" s="2846"/>
      <c r="E32" s="2847">
        <v>0.7</v>
      </c>
      <c r="F32" s="2844" t="s">
        <v>2463</v>
      </c>
      <c r="G32" s="2844"/>
    </row>
    <row r="33" spans="1:7" ht="19.5" customHeight="1">
      <c r="A33" s="3468"/>
      <c r="B33" s="3464"/>
      <c r="C33" s="2845" t="s">
        <v>2464</v>
      </c>
      <c r="D33" s="2846"/>
      <c r="E33" s="2847">
        <v>0.8</v>
      </c>
      <c r="F33" s="2844" t="s">
        <v>2465</v>
      </c>
      <c r="G33" s="2844"/>
    </row>
    <row r="34" spans="1:7" ht="19.5" customHeight="1">
      <c r="A34" s="3468"/>
      <c r="B34" s="3464"/>
      <c r="C34" s="2845" t="s">
        <v>2466</v>
      </c>
      <c r="D34" s="2846"/>
      <c r="E34" s="2847">
        <v>0.6</v>
      </c>
      <c r="F34" s="2844" t="s">
        <v>2467</v>
      </c>
      <c r="G34" s="2844"/>
    </row>
    <row r="35" spans="1:7" ht="19.5" customHeight="1">
      <c r="A35" s="3468"/>
      <c r="B35" s="3464"/>
      <c r="C35" s="2845" t="s">
        <v>2468</v>
      </c>
      <c r="D35" s="2846"/>
      <c r="E35" s="2847">
        <v>0.2</v>
      </c>
      <c r="F35" s="2844" t="s">
        <v>2469</v>
      </c>
      <c r="G35" s="2844"/>
    </row>
    <row r="36" spans="1:7" ht="19.5" customHeight="1">
      <c r="A36" s="3468"/>
      <c r="B36" s="3464"/>
      <c r="C36" s="2845" t="s">
        <v>2470</v>
      </c>
      <c r="D36" s="2846"/>
      <c r="E36" s="2847">
        <v>0.2</v>
      </c>
      <c r="F36" s="2844" t="s">
        <v>2471</v>
      </c>
      <c r="G36" s="2844"/>
    </row>
    <row r="37" spans="1:7" ht="19.5" customHeight="1">
      <c r="A37" s="3468"/>
      <c r="B37" s="3462" t="s">
        <v>2632</v>
      </c>
      <c r="C37" s="2845" t="s">
        <v>2472</v>
      </c>
      <c r="D37" s="2846"/>
      <c r="E37" s="2847">
        <v>0.6</v>
      </c>
      <c r="F37" s="2844" t="s">
        <v>2473</v>
      </c>
      <c r="G37" s="2844"/>
    </row>
    <row r="38" spans="1:7" ht="19.5" customHeight="1">
      <c r="A38" s="3468"/>
      <c r="B38" s="3464"/>
      <c r="C38" s="2845" t="s">
        <v>2474</v>
      </c>
      <c r="D38" s="2846"/>
      <c r="E38" s="2847">
        <v>0.6</v>
      </c>
      <c r="F38" s="2844" t="s">
        <v>2475</v>
      </c>
      <c r="G38" s="2844"/>
    </row>
    <row r="39" spans="1:7" ht="19.5" customHeight="1" thickBot="1">
      <c r="A39" s="3469"/>
      <c r="B39" s="3466"/>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0" t="s">
        <v>2610</v>
      </c>
      <c r="B41" s="3465" t="s">
        <v>2634</v>
      </c>
      <c r="C41" s="2841" t="s">
        <v>2479</v>
      </c>
      <c r="D41" s="2842"/>
      <c r="E41" s="2843">
        <v>1</v>
      </c>
      <c r="F41" s="2844" t="s">
        <v>2480</v>
      </c>
      <c r="G41" s="2844"/>
    </row>
    <row r="42" spans="1:7" ht="19.5" customHeight="1">
      <c r="A42" s="3471"/>
      <c r="B42" s="3464"/>
      <c r="C42" s="2845" t="s">
        <v>2481</v>
      </c>
      <c r="D42" s="2846"/>
      <c r="E42" s="2847">
        <v>1</v>
      </c>
      <c r="F42" s="2844" t="s">
        <v>2482</v>
      </c>
      <c r="G42" s="2844"/>
    </row>
    <row r="43" spans="1:7" ht="19.5" customHeight="1">
      <c r="A43" s="3471"/>
      <c r="B43" s="3463"/>
      <c r="C43" s="2845" t="s">
        <v>2483</v>
      </c>
      <c r="D43" s="2846"/>
      <c r="E43" s="2847">
        <v>1.5</v>
      </c>
      <c r="F43" s="2844" t="s">
        <v>2484</v>
      </c>
      <c r="G43" s="2844"/>
    </row>
    <row r="44" spans="1:7" ht="19.5" customHeight="1">
      <c r="A44" s="3471"/>
      <c r="B44" s="2856" t="s">
        <v>2635</v>
      </c>
      <c r="C44" s="2845" t="s">
        <v>2636</v>
      </c>
      <c r="D44" s="2846"/>
      <c r="E44" s="2847">
        <v>2</v>
      </c>
      <c r="F44" s="2844" t="s">
        <v>2485</v>
      </c>
      <c r="G44" s="2844"/>
    </row>
    <row r="45" spans="1:7" ht="19.5" customHeight="1">
      <c r="A45" s="3471"/>
      <c r="B45" s="3462" t="s">
        <v>2637</v>
      </c>
      <c r="C45" s="2845" t="s">
        <v>2486</v>
      </c>
      <c r="D45" s="2846"/>
      <c r="E45" s="2847">
        <v>1</v>
      </c>
      <c r="F45" s="2844" t="s">
        <v>2487</v>
      </c>
      <c r="G45" s="2844"/>
    </row>
    <row r="46" spans="1:7" ht="19.5" customHeight="1">
      <c r="A46" s="3471"/>
      <c r="B46" s="3464"/>
      <c r="C46" s="2845" t="s">
        <v>2488</v>
      </c>
      <c r="D46" s="2846"/>
      <c r="E46" s="2847">
        <v>1</v>
      </c>
      <c r="F46" s="2844" t="s">
        <v>2489</v>
      </c>
      <c r="G46" s="2844"/>
    </row>
    <row r="47" spans="1:7" ht="19.5" customHeight="1">
      <c r="A47" s="3471"/>
      <c r="B47" s="3464"/>
      <c r="C47" s="2845" t="s">
        <v>2490</v>
      </c>
      <c r="D47" s="2846"/>
      <c r="E47" s="2847">
        <v>1</v>
      </c>
      <c r="F47" s="2844" t="s">
        <v>2491</v>
      </c>
      <c r="G47" s="2844"/>
    </row>
    <row r="48" spans="1:7" ht="19.5" customHeight="1">
      <c r="A48" s="3471"/>
      <c r="B48" s="3464"/>
      <c r="C48" s="2845" t="s">
        <v>2492</v>
      </c>
      <c r="D48" s="2846"/>
      <c r="E48" s="2847">
        <v>1</v>
      </c>
      <c r="F48" s="2844" t="s">
        <v>2493</v>
      </c>
      <c r="G48" s="2844"/>
    </row>
    <row r="49" spans="1:7" ht="19.5" customHeight="1">
      <c r="A49" s="3471"/>
      <c r="B49" s="3464"/>
      <c r="C49" s="2845" t="s">
        <v>2494</v>
      </c>
      <c r="D49" s="2846"/>
      <c r="E49" s="2847">
        <v>1</v>
      </c>
      <c r="F49" s="2844" t="s">
        <v>2495</v>
      </c>
      <c r="G49" s="2844"/>
    </row>
    <row r="50" spans="1:7" ht="19.5" customHeight="1">
      <c r="A50" s="3471"/>
      <c r="B50" s="3464"/>
      <c r="C50" s="2845" t="s">
        <v>2496</v>
      </c>
      <c r="D50" s="2846"/>
      <c r="E50" s="2847">
        <v>1</v>
      </c>
      <c r="F50" s="2844" t="s">
        <v>2497</v>
      </c>
      <c r="G50" s="2844"/>
    </row>
    <row r="51" spans="1:7" ht="19.5" customHeight="1" thickBot="1">
      <c r="A51" s="3472"/>
      <c r="B51" s="3466"/>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62" t="s">
        <v>2651</v>
      </c>
      <c r="C73" s="2830" t="s">
        <v>2652</v>
      </c>
      <c r="D73" s="2830" t="s">
        <v>2653</v>
      </c>
      <c r="E73" s="2856">
        <v>0.2</v>
      </c>
      <c r="F73" s="2856">
        <v>25</v>
      </c>
    </row>
    <row r="74" spans="1:7" ht="24">
      <c r="A74" s="2856">
        <v>2</v>
      </c>
      <c r="B74" s="3464"/>
      <c r="C74" s="2830" t="s">
        <v>2654</v>
      </c>
      <c r="D74" s="2830" t="s">
        <v>2655</v>
      </c>
      <c r="E74" s="2856">
        <v>0.2</v>
      </c>
      <c r="F74" s="2856">
        <v>25</v>
      </c>
    </row>
    <row r="75" spans="1:7" ht="24">
      <c r="A75" s="2856">
        <v>3</v>
      </c>
      <c r="B75" s="3464"/>
      <c r="C75" s="2830" t="s">
        <v>2656</v>
      </c>
      <c r="D75" s="2830" t="s">
        <v>2657</v>
      </c>
      <c r="E75" s="2856">
        <v>0.2</v>
      </c>
      <c r="F75" s="2856">
        <v>25</v>
      </c>
    </row>
    <row r="76" spans="1:7" ht="13.5">
      <c r="A76" s="2856">
        <v>4</v>
      </c>
      <c r="B76" s="3464"/>
      <c r="C76" s="2830" t="s">
        <v>2658</v>
      </c>
      <c r="D76" s="2830" t="s">
        <v>2659</v>
      </c>
      <c r="E76" s="2856">
        <v>0.15</v>
      </c>
      <c r="F76" s="2856">
        <v>20</v>
      </c>
    </row>
    <row r="77" spans="1:7" ht="24">
      <c r="A77" s="2856">
        <v>5</v>
      </c>
      <c r="B77" s="3464"/>
      <c r="C77" s="2830" t="s">
        <v>2660</v>
      </c>
      <c r="D77" s="2830" t="s">
        <v>2661</v>
      </c>
      <c r="E77" s="2856">
        <v>0.15</v>
      </c>
      <c r="F77" s="2856">
        <v>20</v>
      </c>
    </row>
    <row r="78" spans="1:7" ht="24">
      <c r="A78" s="2856">
        <v>6</v>
      </c>
      <c r="B78" s="3464"/>
      <c r="C78" s="2830" t="s">
        <v>2662</v>
      </c>
      <c r="D78" s="2830" t="s">
        <v>2663</v>
      </c>
      <c r="E78" s="2856">
        <v>0.15</v>
      </c>
      <c r="F78" s="2856">
        <v>20</v>
      </c>
    </row>
    <row r="79" spans="1:7" ht="24">
      <c r="A79" s="2856">
        <v>7</v>
      </c>
      <c r="B79" s="3464"/>
      <c r="C79" s="2830" t="s">
        <v>2664</v>
      </c>
      <c r="D79" s="2830" t="s">
        <v>2665</v>
      </c>
      <c r="E79" s="2856">
        <v>0.15</v>
      </c>
      <c r="F79" s="2856">
        <v>20</v>
      </c>
    </row>
    <row r="80" spans="1:7" ht="24">
      <c r="A80" s="2856">
        <v>8</v>
      </c>
      <c r="B80" s="3464"/>
      <c r="C80" s="2830" t="s">
        <v>2666</v>
      </c>
      <c r="D80" s="2830" t="s">
        <v>2667</v>
      </c>
      <c r="E80" s="2856">
        <v>0.1</v>
      </c>
      <c r="F80" s="2856">
        <v>15</v>
      </c>
    </row>
    <row r="81" spans="1:6" ht="24">
      <c r="A81" s="2856">
        <v>9</v>
      </c>
      <c r="B81" s="3464"/>
      <c r="C81" s="2830" t="s">
        <v>2668</v>
      </c>
      <c r="D81" s="2830" t="s">
        <v>2669</v>
      </c>
      <c r="E81" s="2856">
        <v>0.1</v>
      </c>
      <c r="F81" s="2856">
        <v>15</v>
      </c>
    </row>
    <row r="82" spans="1:6" ht="24">
      <c r="A82" s="2856">
        <v>10</v>
      </c>
      <c r="B82" s="3464"/>
      <c r="C82" s="2830" t="s">
        <v>2670</v>
      </c>
      <c r="D82" s="2830" t="s">
        <v>2671</v>
      </c>
      <c r="E82" s="2856">
        <v>0.1</v>
      </c>
      <c r="F82" s="2856">
        <v>15</v>
      </c>
    </row>
    <row r="83" spans="1:6" ht="24">
      <c r="A83" s="2856">
        <v>11</v>
      </c>
      <c r="B83" s="3464"/>
      <c r="C83" s="2830" t="s">
        <v>2672</v>
      </c>
      <c r="D83" s="2830" t="s">
        <v>2673</v>
      </c>
      <c r="E83" s="2856">
        <v>0.1</v>
      </c>
      <c r="F83" s="2856">
        <v>15</v>
      </c>
    </row>
    <row r="84" spans="1:6" ht="24">
      <c r="A84" s="2856">
        <v>12</v>
      </c>
      <c r="B84" s="3464"/>
      <c r="C84" s="2830" t="s">
        <v>2674</v>
      </c>
      <c r="D84" s="2830" t="s">
        <v>2675</v>
      </c>
      <c r="E84" s="2856">
        <v>0.1</v>
      </c>
      <c r="F84" s="2856">
        <v>15</v>
      </c>
    </row>
    <row r="85" spans="1:6" ht="13.5">
      <c r="A85" s="2856">
        <v>13</v>
      </c>
      <c r="B85" s="3464"/>
      <c r="C85" s="2830" t="s">
        <v>2676</v>
      </c>
      <c r="D85" s="2830" t="s">
        <v>2677</v>
      </c>
      <c r="E85" s="2856">
        <v>0.1</v>
      </c>
      <c r="F85" s="2856">
        <v>15</v>
      </c>
    </row>
    <row r="86" spans="1:6" ht="13.5">
      <c r="A86" s="2856">
        <v>14</v>
      </c>
      <c r="B86" s="3464"/>
      <c r="C86" s="2830" t="s">
        <v>2678</v>
      </c>
      <c r="D86" s="2830" t="s">
        <v>2679</v>
      </c>
      <c r="E86" s="2856">
        <v>0.1</v>
      </c>
      <c r="F86" s="2856">
        <v>15</v>
      </c>
    </row>
    <row r="87" spans="1:6" ht="13.5">
      <c r="A87" s="2856">
        <v>15</v>
      </c>
      <c r="B87" s="3464"/>
      <c r="C87" s="2830" t="s">
        <v>2680</v>
      </c>
      <c r="D87" s="2830" t="s">
        <v>2681</v>
      </c>
      <c r="E87" s="2856">
        <v>0.1</v>
      </c>
      <c r="F87" s="2856">
        <v>15</v>
      </c>
    </row>
    <row r="88" spans="1:6" ht="24">
      <c r="A88" s="2856">
        <v>16</v>
      </c>
      <c r="B88" s="3464"/>
      <c r="C88" s="2830" t="s">
        <v>2682</v>
      </c>
      <c r="D88" s="2830" t="s">
        <v>2683</v>
      </c>
      <c r="E88" s="2856">
        <v>0.1</v>
      </c>
      <c r="F88" s="2856">
        <v>15</v>
      </c>
    </row>
    <row r="89" spans="1:6" ht="24">
      <c r="A89" s="2856">
        <v>17</v>
      </c>
      <c r="B89" s="3463"/>
      <c r="C89" s="2830" t="s">
        <v>2684</v>
      </c>
      <c r="D89" s="2830" t="s">
        <v>2685</v>
      </c>
      <c r="E89" s="2856">
        <v>0.1</v>
      </c>
      <c r="F89" s="2856">
        <v>15</v>
      </c>
    </row>
    <row r="90" spans="1:6" ht="13.5">
      <c r="A90" s="2856">
        <v>18</v>
      </c>
      <c r="B90" s="3462" t="s">
        <v>2686</v>
      </c>
      <c r="C90" s="2830" t="s">
        <v>2687</v>
      </c>
      <c r="D90" s="2830" t="s">
        <v>2688</v>
      </c>
      <c r="E90" s="2856">
        <v>0.2</v>
      </c>
      <c r="F90" s="2856">
        <v>25</v>
      </c>
    </row>
    <row r="91" spans="1:6" ht="24">
      <c r="A91" s="2856">
        <v>19</v>
      </c>
      <c r="B91" s="3464"/>
      <c r="C91" s="2830" t="s">
        <v>2689</v>
      </c>
      <c r="D91" s="2830" t="s">
        <v>2690</v>
      </c>
      <c r="E91" s="2856">
        <v>0.2</v>
      </c>
      <c r="F91" s="2856">
        <v>25</v>
      </c>
    </row>
    <row r="92" spans="1:6" ht="13.5">
      <c r="A92" s="2856">
        <v>20</v>
      </c>
      <c r="B92" s="3464"/>
      <c r="C92" s="2830" t="s">
        <v>2691</v>
      </c>
      <c r="D92" s="2830" t="s">
        <v>2692</v>
      </c>
      <c r="E92" s="2856">
        <v>0.15</v>
      </c>
      <c r="F92" s="2856">
        <v>20</v>
      </c>
    </row>
    <row r="93" spans="1:6" ht="13.5">
      <c r="A93" s="2856">
        <v>21</v>
      </c>
      <c r="B93" s="3464"/>
      <c r="C93" s="2830" t="s">
        <v>2693</v>
      </c>
      <c r="D93" s="2830" t="s">
        <v>2694</v>
      </c>
      <c r="E93" s="2856">
        <v>0.15</v>
      </c>
      <c r="F93" s="2856">
        <v>20</v>
      </c>
    </row>
    <row r="94" spans="1:6" ht="13.5">
      <c r="A94" s="2856">
        <v>22</v>
      </c>
      <c r="B94" s="3464"/>
      <c r="C94" s="2830" t="s">
        <v>2695</v>
      </c>
      <c r="D94" s="2830" t="s">
        <v>2696</v>
      </c>
      <c r="E94" s="2856">
        <v>0.15</v>
      </c>
      <c r="F94" s="2856">
        <v>20</v>
      </c>
    </row>
    <row r="95" spans="1:6" ht="36">
      <c r="A95" s="2856">
        <v>23</v>
      </c>
      <c r="B95" s="3464"/>
      <c r="C95" s="2830" t="s">
        <v>2697</v>
      </c>
      <c r="D95" s="2830" t="s">
        <v>2698</v>
      </c>
      <c r="E95" s="2856">
        <v>0.15</v>
      </c>
      <c r="F95" s="2856">
        <v>20</v>
      </c>
    </row>
    <row r="96" spans="1:6" ht="13.5">
      <c r="A96" s="2856">
        <v>24</v>
      </c>
      <c r="B96" s="3464"/>
      <c r="C96" s="2830" t="s">
        <v>2699</v>
      </c>
      <c r="D96" s="2830" t="s">
        <v>2700</v>
      </c>
      <c r="E96" s="2856">
        <v>0.1</v>
      </c>
      <c r="F96" s="2856">
        <v>15</v>
      </c>
    </row>
    <row r="97" spans="1:6" ht="13.5">
      <c r="A97" s="2856">
        <v>25</v>
      </c>
      <c r="B97" s="3464"/>
      <c r="C97" s="2830" t="s">
        <v>2701</v>
      </c>
      <c r="D97" s="2830" t="s">
        <v>2702</v>
      </c>
      <c r="E97" s="2856">
        <v>0.1</v>
      </c>
      <c r="F97" s="2856">
        <v>15</v>
      </c>
    </row>
    <row r="98" spans="1:6" ht="24">
      <c r="A98" s="2856">
        <v>26</v>
      </c>
      <c r="B98" s="3464"/>
      <c r="C98" s="2830" t="s">
        <v>2703</v>
      </c>
      <c r="D98" s="2830" t="s">
        <v>2704</v>
      </c>
      <c r="E98" s="2856">
        <v>0.1</v>
      </c>
      <c r="F98" s="2856">
        <v>15</v>
      </c>
    </row>
    <row r="99" spans="1:6" ht="24">
      <c r="A99" s="2856">
        <v>27</v>
      </c>
      <c r="B99" s="3464"/>
      <c r="C99" s="2830" t="s">
        <v>2705</v>
      </c>
      <c r="D99" s="2830" t="s">
        <v>2706</v>
      </c>
      <c r="E99" s="2856">
        <v>0.1</v>
      </c>
      <c r="F99" s="2856">
        <v>15</v>
      </c>
    </row>
    <row r="100" spans="1:6" ht="13.5">
      <c r="A100" s="2856">
        <v>28</v>
      </c>
      <c r="B100" s="3464"/>
      <c r="C100" s="2830" t="s">
        <v>2707</v>
      </c>
      <c r="D100" s="2830" t="s">
        <v>2708</v>
      </c>
      <c r="E100" s="2856">
        <v>0.1</v>
      </c>
      <c r="F100" s="2856">
        <v>15</v>
      </c>
    </row>
    <row r="101" spans="1:6" ht="13.5">
      <c r="A101" s="2856">
        <v>29</v>
      </c>
      <c r="B101" s="3464"/>
      <c r="C101" s="2830" t="s">
        <v>2709</v>
      </c>
      <c r="D101" s="2830" t="s">
        <v>2710</v>
      </c>
      <c r="E101" s="2856">
        <v>0.1</v>
      </c>
      <c r="F101" s="2856">
        <v>15</v>
      </c>
    </row>
    <row r="102" spans="1:6" ht="13.5">
      <c r="A102" s="2856">
        <v>30</v>
      </c>
      <c r="B102" s="3464"/>
      <c r="C102" s="2830" t="s">
        <v>2711</v>
      </c>
      <c r="D102" s="2830" t="s">
        <v>2712</v>
      </c>
      <c r="E102" s="2856">
        <v>0.1</v>
      </c>
      <c r="F102" s="2856">
        <v>15</v>
      </c>
    </row>
    <row r="103" spans="1:6" ht="24">
      <c r="A103" s="2856">
        <v>31</v>
      </c>
      <c r="B103" s="3464"/>
      <c r="C103" s="2830" t="s">
        <v>2713</v>
      </c>
      <c r="D103" s="2830" t="s">
        <v>2714</v>
      </c>
      <c r="E103" s="2856">
        <v>0.1</v>
      </c>
      <c r="F103" s="2856">
        <v>15</v>
      </c>
    </row>
    <row r="104" spans="1:6" ht="24">
      <c r="A104" s="2856">
        <v>32</v>
      </c>
      <c r="B104" s="3464"/>
      <c r="C104" s="2830" t="s">
        <v>2715</v>
      </c>
      <c r="D104" s="2830" t="s">
        <v>2716</v>
      </c>
      <c r="E104" s="2856">
        <v>0.1</v>
      </c>
      <c r="F104" s="2856">
        <v>15</v>
      </c>
    </row>
    <row r="105" spans="1:6" ht="24">
      <c r="A105" s="2856">
        <v>33</v>
      </c>
      <c r="B105" s="3464"/>
      <c r="C105" s="2830" t="s">
        <v>2717</v>
      </c>
      <c r="D105" s="2830" t="s">
        <v>2718</v>
      </c>
      <c r="E105" s="2856">
        <v>0.1</v>
      </c>
      <c r="F105" s="2856">
        <v>15</v>
      </c>
    </row>
    <row r="106" spans="1:6" ht="24">
      <c r="A106" s="2856">
        <v>34</v>
      </c>
      <c r="B106" s="3463"/>
      <c r="C106" s="2830" t="s">
        <v>2719</v>
      </c>
      <c r="D106" s="2830" t="s">
        <v>2720</v>
      </c>
      <c r="E106" s="2856">
        <v>0.1</v>
      </c>
      <c r="F106" s="2856">
        <v>15</v>
      </c>
    </row>
    <row r="107" spans="1:6" ht="24">
      <c r="A107" s="2856">
        <v>35</v>
      </c>
      <c r="B107" s="3462" t="s">
        <v>2721</v>
      </c>
      <c r="C107" s="2856" t="s">
        <v>2722</v>
      </c>
      <c r="D107" s="2830" t="s">
        <v>2723</v>
      </c>
      <c r="E107" s="2856">
        <v>0.15</v>
      </c>
      <c r="F107" s="2856">
        <v>20</v>
      </c>
    </row>
    <row r="108" spans="1:6" ht="13.5">
      <c r="A108" s="2856">
        <v>36</v>
      </c>
      <c r="B108" s="3464"/>
      <c r="C108" s="2856" t="s">
        <v>2724</v>
      </c>
      <c r="D108" s="2830" t="s">
        <v>2725</v>
      </c>
      <c r="E108" s="2856">
        <v>0.15</v>
      </c>
      <c r="F108" s="2856">
        <v>20</v>
      </c>
    </row>
    <row r="109" spans="1:6" ht="13.5">
      <c r="A109" s="2856">
        <v>37</v>
      </c>
      <c r="B109" s="3464"/>
      <c r="C109" s="2856" t="s">
        <v>2726</v>
      </c>
      <c r="D109" s="2830" t="s">
        <v>2727</v>
      </c>
      <c r="E109" s="2856">
        <v>0.15</v>
      </c>
      <c r="F109" s="2856">
        <v>20</v>
      </c>
    </row>
    <row r="110" spans="1:6" ht="13.5">
      <c r="A110" s="2856">
        <v>38</v>
      </c>
      <c r="B110" s="3464"/>
      <c r="C110" s="2856" t="s">
        <v>2728</v>
      </c>
      <c r="D110" s="2830" t="s">
        <v>2729</v>
      </c>
      <c r="E110" s="2856">
        <v>0.1</v>
      </c>
      <c r="F110" s="2856">
        <v>15</v>
      </c>
    </row>
    <row r="111" spans="1:6" ht="24">
      <c r="A111" s="2856">
        <v>39</v>
      </c>
      <c r="B111" s="3464"/>
      <c r="C111" s="2856" t="s">
        <v>2730</v>
      </c>
      <c r="D111" s="2830" t="s">
        <v>2731</v>
      </c>
      <c r="E111" s="2856">
        <v>0.1</v>
      </c>
      <c r="F111" s="2856">
        <v>15</v>
      </c>
    </row>
    <row r="112" spans="1:6" ht="24">
      <c r="A112" s="2856">
        <v>40</v>
      </c>
      <c r="B112" s="3463"/>
      <c r="C112" s="2856" t="s">
        <v>2732</v>
      </c>
      <c r="D112" s="2830" t="s">
        <v>2733</v>
      </c>
      <c r="E112" s="2856">
        <v>0.1</v>
      </c>
      <c r="F112" s="2856">
        <v>15</v>
      </c>
    </row>
    <row r="113" spans="1:6" ht="13.5">
      <c r="A113" s="2856">
        <v>41</v>
      </c>
      <c r="B113" s="3461" t="s">
        <v>2734</v>
      </c>
      <c r="C113" s="2856" t="s">
        <v>2735</v>
      </c>
      <c r="D113" s="2830" t="s">
        <v>2736</v>
      </c>
      <c r="E113" s="2856">
        <v>0.1</v>
      </c>
      <c r="F113" s="2856">
        <v>15</v>
      </c>
    </row>
    <row r="114" spans="1:6" ht="13.5">
      <c r="A114" s="2856">
        <v>42</v>
      </c>
      <c r="B114" s="3461"/>
      <c r="C114" s="2856" t="s">
        <v>2737</v>
      </c>
      <c r="D114" s="2830" t="s">
        <v>2738</v>
      </c>
      <c r="E114" s="2856">
        <v>0.1</v>
      </c>
      <c r="F114" s="2856">
        <v>15</v>
      </c>
    </row>
    <row r="115" spans="1:6" ht="24">
      <c r="A115" s="2856">
        <v>43</v>
      </c>
      <c r="B115" s="3461"/>
      <c r="C115" s="2856" t="s">
        <v>2739</v>
      </c>
      <c r="D115" s="2830" t="s">
        <v>2740</v>
      </c>
      <c r="E115" s="2856">
        <v>0.1</v>
      </c>
      <c r="F115" s="2856">
        <v>15</v>
      </c>
    </row>
    <row r="116" spans="1:6" ht="13.5">
      <c r="A116" s="2856">
        <v>44</v>
      </c>
      <c r="B116" s="3462" t="s">
        <v>2741</v>
      </c>
      <c r="C116" s="2856" t="s">
        <v>2742</v>
      </c>
      <c r="D116" s="2830" t="s">
        <v>2743</v>
      </c>
      <c r="E116" s="2856">
        <v>0.1</v>
      </c>
      <c r="F116" s="2856">
        <v>15</v>
      </c>
    </row>
    <row r="117" spans="1:6" ht="24">
      <c r="A117" s="2856">
        <v>45</v>
      </c>
      <c r="B117" s="3463"/>
      <c r="C117" s="2830" t="s">
        <v>2744</v>
      </c>
      <c r="D117" s="2830" t="s">
        <v>2745</v>
      </c>
      <c r="E117" s="2856">
        <v>0.1</v>
      </c>
      <c r="F117" s="2856">
        <v>15</v>
      </c>
    </row>
    <row r="118" spans="1:6" ht="24">
      <c r="A118" s="2856">
        <v>46</v>
      </c>
      <c r="B118" s="3462" t="s">
        <v>2746</v>
      </c>
      <c r="C118" s="2856" t="s">
        <v>2747</v>
      </c>
      <c r="D118" s="2830" t="s">
        <v>2748</v>
      </c>
      <c r="E118" s="2856">
        <v>0.1</v>
      </c>
      <c r="F118" s="2856">
        <v>15</v>
      </c>
    </row>
    <row r="119" spans="1:6" ht="24">
      <c r="A119" s="2856">
        <v>47</v>
      </c>
      <c r="B119" s="3463"/>
      <c r="C119" s="2856" t="s">
        <v>2749</v>
      </c>
      <c r="D119" s="2830" t="s">
        <v>2750</v>
      </c>
      <c r="E119" s="2856">
        <v>0.1</v>
      </c>
      <c r="F119" s="2856">
        <v>15</v>
      </c>
    </row>
    <row r="120" spans="1:6" ht="13.5">
      <c r="A120" s="2856">
        <v>48</v>
      </c>
      <c r="B120" s="3462" t="s">
        <v>2751</v>
      </c>
      <c r="C120" s="2856" t="s">
        <v>2752</v>
      </c>
      <c r="D120" s="2830" t="s">
        <v>2753</v>
      </c>
      <c r="E120" s="2856">
        <v>0.1</v>
      </c>
      <c r="F120" s="2856">
        <v>15</v>
      </c>
    </row>
    <row r="121" spans="1:6" ht="13.5">
      <c r="A121" s="2856">
        <v>49</v>
      </c>
      <c r="B121" s="3463"/>
      <c r="C121" s="2856" t="s">
        <v>2754</v>
      </c>
      <c r="D121" s="2830" t="s">
        <v>2755</v>
      </c>
      <c r="E121" s="2856">
        <v>0.1</v>
      </c>
      <c r="F121" s="2856">
        <v>15</v>
      </c>
    </row>
    <row r="122" spans="1:6" ht="24">
      <c r="A122" s="2856">
        <v>50</v>
      </c>
      <c r="B122" s="3461" t="s">
        <v>2756</v>
      </c>
      <c r="C122" s="2856" t="s">
        <v>2757</v>
      </c>
      <c r="D122" s="2830" t="s">
        <v>2758</v>
      </c>
      <c r="E122" s="2856">
        <v>0.1</v>
      </c>
      <c r="F122" s="2856">
        <v>15</v>
      </c>
    </row>
    <row r="123" spans="1:6" ht="24">
      <c r="A123" s="2856">
        <v>51</v>
      </c>
      <c r="B123" s="3461"/>
      <c r="C123" s="2856" t="s">
        <v>2759</v>
      </c>
      <c r="D123" s="2830" t="s">
        <v>2760</v>
      </c>
      <c r="E123" s="2856">
        <v>0.1</v>
      </c>
      <c r="F123" s="2856">
        <v>15</v>
      </c>
    </row>
    <row r="124" spans="1:6" ht="24">
      <c r="A124" s="2856">
        <v>52</v>
      </c>
      <c r="B124" s="3461" t="s">
        <v>2761</v>
      </c>
      <c r="C124" s="2856" t="s">
        <v>2762</v>
      </c>
      <c r="D124" s="2830" t="s">
        <v>2763</v>
      </c>
      <c r="E124" s="2856">
        <v>0.1</v>
      </c>
      <c r="F124" s="2856">
        <v>15</v>
      </c>
    </row>
    <row r="125" spans="1:6" ht="24">
      <c r="A125" s="2856">
        <v>53</v>
      </c>
      <c r="B125" s="3461"/>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61" t="s">
        <v>2769</v>
      </c>
      <c r="C127" s="2856" t="s">
        <v>2770</v>
      </c>
      <c r="D127" s="2830" t="s">
        <v>2771</v>
      </c>
      <c r="E127" s="2856">
        <v>0.1</v>
      </c>
      <c r="F127" s="2856">
        <v>15</v>
      </c>
    </row>
    <row r="128" spans="1:6" ht="13.5">
      <c r="A128" s="2856">
        <v>56</v>
      </c>
      <c r="B128" s="3461"/>
      <c r="C128" s="2856" t="s">
        <v>2772</v>
      </c>
      <c r="D128" s="2830" t="s">
        <v>2773</v>
      </c>
      <c r="E128" s="2856">
        <v>0.1</v>
      </c>
      <c r="F128" s="2856">
        <v>15</v>
      </c>
    </row>
    <row r="129" spans="1:6" ht="24">
      <c r="A129" s="2856">
        <v>57</v>
      </c>
      <c r="B129" s="3461"/>
      <c r="C129" s="2856" t="s">
        <v>2774</v>
      </c>
      <c r="D129" s="2830" t="s">
        <v>2775</v>
      </c>
      <c r="E129" s="2856">
        <v>0.1</v>
      </c>
      <c r="F129" s="2856">
        <v>15</v>
      </c>
    </row>
    <row r="130" spans="1:6" ht="24">
      <c r="A130" s="2856">
        <v>58</v>
      </c>
      <c r="B130" s="3461" t="s">
        <v>2776</v>
      </c>
      <c r="C130" s="2856" t="s">
        <v>2777</v>
      </c>
      <c r="D130" s="2830" t="s">
        <v>2778</v>
      </c>
      <c r="E130" s="2856">
        <v>0.1</v>
      </c>
      <c r="F130" s="2856">
        <v>15</v>
      </c>
    </row>
    <row r="131" spans="1:6" ht="13.5">
      <c r="A131" s="2856">
        <v>59</v>
      </c>
      <c r="B131" s="3461"/>
      <c r="C131" s="2856" t="s">
        <v>2779</v>
      </c>
      <c r="D131" s="2830" t="s">
        <v>2780</v>
      </c>
      <c r="E131" s="2856">
        <v>0.1</v>
      </c>
      <c r="F131" s="2856">
        <v>15</v>
      </c>
    </row>
    <row r="132" spans="1:6" ht="13.5">
      <c r="A132" s="2856">
        <v>60</v>
      </c>
      <c r="B132" s="3462" t="s">
        <v>2781</v>
      </c>
      <c r="C132" s="2856" t="s">
        <v>2782</v>
      </c>
      <c r="D132" s="2830" t="s">
        <v>2783</v>
      </c>
      <c r="E132" s="2856">
        <v>0.1</v>
      </c>
      <c r="F132" s="2856">
        <v>15</v>
      </c>
    </row>
    <row r="133" spans="1:6" ht="13.5">
      <c r="A133" s="2856">
        <v>61</v>
      </c>
      <c r="B133" s="3463"/>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61" t="s">
        <v>2789</v>
      </c>
      <c r="C135" s="2856" t="s">
        <v>2790</v>
      </c>
      <c r="D135" s="2830" t="s">
        <v>2791</v>
      </c>
      <c r="E135" s="2856">
        <v>0.1</v>
      </c>
      <c r="F135" s="2856">
        <v>15</v>
      </c>
    </row>
    <row r="136" spans="1:6" ht="13.5">
      <c r="A136" s="2856">
        <v>64</v>
      </c>
      <c r="B136" s="3461"/>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1"/>
      <c r="C2" s="3161"/>
      <c r="D2" s="3161"/>
      <c r="E2" s="3161"/>
    </row>
    <row r="3" spans="1:5" ht="18">
      <c r="A3" s="3162" t="str">
        <f>IF(项目基本情况!B9="房地产市场价值","估价结果一览表（市场价值不需“结果表-1”）","估价结果一览表")</f>
        <v>估价结果一览表</v>
      </c>
      <c r="B3" s="3162"/>
      <c r="C3" s="3162"/>
      <c r="D3" s="3162"/>
      <c r="E3" s="3162"/>
    </row>
    <row r="4" spans="1:5" ht="19.5" thickBot="1">
      <c r="A4" s="1391"/>
      <c r="B4" s="3160" t="s">
        <v>917</v>
      </c>
      <c r="C4" s="3160"/>
      <c r="D4" s="3160"/>
      <c r="E4" s="1391"/>
    </row>
    <row r="5" spans="1:5" ht="16.5" thickTop="1">
      <c r="B5" s="3158" t="s">
        <v>909</v>
      </c>
      <c r="C5" s="1392" t="s">
        <v>910</v>
      </c>
      <c r="D5" s="797" t="e">
        <f ca="1">结果表!H101</f>
        <v>#REF!</v>
      </c>
    </row>
    <row r="6" spans="1:5" ht="15.75">
      <c r="B6" s="3158"/>
      <c r="C6" s="1392" t="s">
        <v>911</v>
      </c>
      <c r="D6" s="797" t="e">
        <f ca="1">NUMBERSTRING(INT(D5*10000),2)&amp;"元整"</f>
        <v>#REF!</v>
      </c>
    </row>
    <row r="7" spans="1:5" ht="15.75">
      <c r="B7" s="3163"/>
      <c r="C7" s="1393" t="s">
        <v>912</v>
      </c>
      <c r="D7" s="798" t="e">
        <f ca="1">结果表!H102</f>
        <v>#REF!</v>
      </c>
    </row>
    <row r="8" spans="1:5" ht="15.75">
      <c r="B8" s="3164" t="str">
        <f>结果表!E103</f>
        <v>2.估价师知悉的法定优先受偿款</v>
      </c>
      <c r="C8" s="1394" t="s">
        <v>913</v>
      </c>
      <c r="D8" s="798">
        <f>结果表!H103</f>
        <v>0</v>
      </c>
    </row>
    <row r="9" spans="1:5" ht="15.75">
      <c r="B9" s="316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7" t="str">
        <f>结果表!E107</f>
        <v>3.房地产抵押价值</v>
      </c>
      <c r="C13" s="1397" t="s">
        <v>910</v>
      </c>
      <c r="D13" s="800" t="e">
        <f ca="1">结果表!H107</f>
        <v>#REF!</v>
      </c>
    </row>
    <row r="14" spans="1:5" ht="15.75">
      <c r="B14" s="3158"/>
      <c r="C14" s="1392" t="s">
        <v>911</v>
      </c>
      <c r="D14" s="797" t="e">
        <f ca="1">NUMBERSTRING(INT(D13*10000),2)&amp;"元整"</f>
        <v>#REF!</v>
      </c>
    </row>
    <row r="15" spans="1:5" ht="15">
      <c r="B15" s="3163"/>
      <c r="C15" s="1393" t="s">
        <v>921</v>
      </c>
      <c r="D15" s="806" t="e">
        <f ca="1">结果表!H108</f>
        <v>#REF!</v>
      </c>
    </row>
    <row r="16" spans="1:5" ht="15">
      <c r="B16" s="3164" t="str">
        <f>结果表!E109</f>
        <v>——</v>
      </c>
      <c r="C16" s="1397" t="s">
        <v>922</v>
      </c>
      <c r="D16" s="1398" t="str">
        <f>结果表!H109</f>
        <v>——</v>
      </c>
    </row>
    <row r="17" spans="1:5" ht="15.75">
      <c r="B17" s="3165"/>
      <c r="C17" s="1392" t="s">
        <v>923</v>
      </c>
      <c r="D17" s="797" t="e">
        <f>NUMBERSTRING(INT(D16*10000),2)&amp;"元整"</f>
        <v>#VALUE!</v>
      </c>
    </row>
    <row r="18" spans="1:5" ht="15">
      <c r="B18" s="3166"/>
      <c r="C18" s="1393" t="s">
        <v>912</v>
      </c>
      <c r="D18" s="806" t="str">
        <f>结果表!H110</f>
        <v>——</v>
      </c>
    </row>
    <row r="19" spans="1:5" ht="15.75">
      <c r="B19" s="3157" t="str">
        <f>结果表!E111</f>
        <v>——</v>
      </c>
      <c r="C19" s="1397" t="s">
        <v>910</v>
      </c>
      <c r="D19" s="798" t="str">
        <f>结果表!H111</f>
        <v>——</v>
      </c>
    </row>
    <row r="20" spans="1:5" ht="15.75">
      <c r="B20" s="3158"/>
      <c r="C20" s="1392" t="s">
        <v>923</v>
      </c>
      <c r="D20" s="797" t="e">
        <f>NUMBERSTRING(INT(D19*10000),2)&amp;"元整"</f>
        <v>#VALUE!</v>
      </c>
    </row>
    <row r="21" spans="1:5" ht="15.75" thickBot="1">
      <c r="B21" s="315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314.99</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314.99</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314.99</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38" t="s">
        <v>94</v>
      </c>
    </row>
    <row r="43" spans="1:7" ht="13.5" customHeight="1">
      <c r="A43" s="734" t="s">
        <v>347</v>
      </c>
      <c r="B43" s="207" t="s">
        <v>426</v>
      </c>
      <c r="C43" s="230" t="e">
        <f ca="1">ROUND(IF('数据-取费表'!B22&lt;=1,C39*F22*'数据-取费表'!B21/2,C39*(POWER((1+F22),'数据-取费表'!B21/2)-1)),0)</f>
        <v>#VALUE!</v>
      </c>
      <c r="D43" s="230"/>
      <c r="E43" s="230"/>
      <c r="F43" s="231"/>
      <c r="G43" s="3339"/>
    </row>
    <row r="44" spans="1:7" ht="13.5" customHeight="1">
      <c r="A44" s="734" t="s">
        <v>348</v>
      </c>
      <c r="B44" s="207" t="s">
        <v>428</v>
      </c>
      <c r="C44" s="230" t="e">
        <f ca="1">ROUND(IF('数据-取费表'!B22&lt;=1,C40*F22*'数据-取费表'!B21/2,C40*(POWER((1+F22),'数据-取费表'!B21/2)-1)),4)</f>
        <v>#VALUE!</v>
      </c>
      <c r="D44" s="230"/>
      <c r="E44" s="230"/>
      <c r="F44" s="231"/>
      <c r="G44" s="3340"/>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75" t="s">
        <v>2839</v>
      </c>
      <c r="B1" s="3475"/>
      <c r="C1" s="3475"/>
      <c r="D1" s="3475"/>
      <c r="E1" s="3475"/>
      <c r="F1" s="3475"/>
      <c r="G1" s="3476"/>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73"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474"/>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77" t="s">
        <v>3181</v>
      </c>
      <c r="B1" s="3477"/>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78" t="s">
        <v>3232</v>
      </c>
      <c r="B1" s="3478"/>
      <c r="C1" s="3478"/>
      <c r="D1" s="3478"/>
      <c r="E1" s="3478"/>
      <c r="F1" s="347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6">
        <f>基准地价修正!G23</f>
        <v>45735</v>
      </c>
      <c r="B1" s="2928" t="s">
        <v>3380</v>
      </c>
      <c r="C1" s="2929"/>
      <c r="D1" s="2929"/>
      <c r="E1" s="2929"/>
      <c r="F1" s="2929"/>
      <c r="G1" s="2929"/>
      <c r="H1" s="2929"/>
      <c r="I1" s="2929"/>
      <c r="J1" s="2895"/>
      <c r="K1" s="2929" t="s">
        <v>454</v>
      </c>
      <c r="L1" s="2929"/>
      <c r="M1" s="2929"/>
      <c r="N1" s="2929"/>
      <c r="O1" s="2929"/>
      <c r="P1" s="2929"/>
      <c r="Q1" s="2895"/>
      <c r="R1" s="3480" t="s">
        <v>456</v>
      </c>
      <c r="S1" s="3481"/>
      <c r="T1" s="3481"/>
      <c r="U1" s="3481"/>
      <c r="V1" s="3481"/>
      <c r="W1" s="3481"/>
      <c r="X1" s="2895"/>
      <c r="Y1" s="3480" t="s">
        <v>457</v>
      </c>
      <c r="Z1" s="3481"/>
      <c r="AA1" s="3481"/>
      <c r="AB1" s="3481"/>
      <c r="AC1" s="3481"/>
      <c r="AD1" s="3481"/>
    </row>
    <row r="2" spans="1:30"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2.75">
      <c r="A3" s="2883" t="s">
        <v>2819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3385</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2.75">
      <c r="A7" s="2040" t="s">
        <v>3384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3377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3383</v>
      </c>
    </row>
    <row r="24" spans="1:30">
      <c r="I24" s="1405" t="s">
        <v>2825</v>
      </c>
    </row>
    <row r="26" spans="1:30" s="2009" customFormat="1" ht="12.75">
      <c r="B26" s="2928" t="s">
        <v>3381</v>
      </c>
      <c r="C26" s="2929"/>
      <c r="D26" s="2929"/>
      <c r="E26" s="2929"/>
      <c r="F26" s="2929"/>
      <c r="G26" s="2929"/>
      <c r="H26" s="2929"/>
      <c r="I26" s="2929"/>
      <c r="J26" s="2895"/>
      <c r="K26" s="2929" t="s">
        <v>2826</v>
      </c>
      <c r="L26" s="2929"/>
      <c r="M26" s="2929"/>
      <c r="N26" s="2929"/>
      <c r="O26" s="2929"/>
      <c r="P26" s="2929"/>
      <c r="Q26" s="2895"/>
      <c r="R26" s="3480" t="s">
        <v>2827</v>
      </c>
      <c r="S26" s="3481"/>
      <c r="T26" s="3481"/>
      <c r="U26" s="3481"/>
      <c r="V26" s="3481"/>
      <c r="W26" s="3481"/>
      <c r="X26" s="2895"/>
      <c r="Y26" s="3480" t="s">
        <v>2828</v>
      </c>
      <c r="Z26" s="3481"/>
      <c r="AA26" s="3481"/>
      <c r="AB26" s="3481"/>
      <c r="AC26" s="3481"/>
      <c r="AD26" s="3481"/>
    </row>
    <row r="27" spans="1:30" s="2010" customFormat="1" ht="14.2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2.75">
      <c r="A28" s="2883" t="s">
        <v>2834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3376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3378</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2.75">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3379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45735</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0"/>
      <c r="B3" s="3170"/>
      <c r="C3" s="3170"/>
      <c r="D3" s="801" t="s">
        <v>925</v>
      </c>
      <c r="E3" s="801" t="s">
        <v>931</v>
      </c>
      <c r="F3" s="801" t="s">
        <v>925</v>
      </c>
      <c r="G3" s="801" t="s">
        <v>926</v>
      </c>
      <c r="H3" s="801" t="s">
        <v>925</v>
      </c>
      <c r="I3" s="801" t="s">
        <v>926</v>
      </c>
    </row>
    <row r="4" spans="1:9" ht="30">
      <c r="A4" s="1403" t="str">
        <f>项目基本情况!S2</f>
        <v>北京市昌平区龙域北街3号院1号楼20层2006房地产</v>
      </c>
      <c r="B4" s="801">
        <f>项目基本情况!C17</f>
        <v>314.99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0" t="s">
        <v>927</v>
      </c>
      <c r="B5" s="3170"/>
      <c r="C5" s="3170"/>
      <c r="D5" s="3170" t="e">
        <f ca="1">结果表!D119</f>
        <v>#REF!</v>
      </c>
      <c r="E5" s="3170"/>
      <c r="F5" s="3170" t="e">
        <f ca="1">结果表!F119</f>
        <v>#REF!</v>
      </c>
      <c r="G5" s="3170"/>
      <c r="H5" s="3170" t="e">
        <f ca="1">结果表!H119</f>
        <v>#REF!</v>
      </c>
      <c r="I5" s="3170"/>
    </row>
    <row r="6" spans="1:9" ht="15.75">
      <c r="A6" s="3169" t="str">
        <f>结果表!A120</f>
        <v>估价师知悉的法定优先受偿款</v>
      </c>
      <c r="B6" s="3169"/>
      <c r="C6" s="3169"/>
      <c r="D6" s="3169">
        <f>结果表!D120</f>
        <v>0</v>
      </c>
      <c r="E6" s="3169"/>
      <c r="F6" s="3169"/>
      <c r="G6" s="3169"/>
      <c r="H6" s="3169"/>
      <c r="I6" s="3169"/>
    </row>
    <row r="7" spans="1:9" ht="15">
      <c r="A7" s="3170" t="s">
        <v>927</v>
      </c>
      <c r="B7" s="3170"/>
      <c r="C7" s="3170"/>
      <c r="D7" s="3171" t="str">
        <f>结果表!D121</f>
        <v>零元整</v>
      </c>
      <c r="E7" s="3172"/>
      <c r="F7" s="3172"/>
      <c r="G7" s="3172"/>
      <c r="H7" s="3172"/>
      <c r="I7" s="3173"/>
    </row>
    <row r="8" spans="1:9" ht="15.75">
      <c r="A8" s="3169" t="str">
        <f>结果表!A122</f>
        <v>房地产抵押价值</v>
      </c>
      <c r="B8" s="3169"/>
      <c r="C8" s="3169"/>
      <c r="D8" s="3169" t="e">
        <f ca="1">结果表!D122</f>
        <v>#REF!</v>
      </c>
      <c r="E8" s="3169"/>
      <c r="F8" s="3169"/>
      <c r="G8" s="3169"/>
      <c r="H8" s="3169"/>
      <c r="I8" s="3169"/>
    </row>
    <row r="9" spans="1:9" ht="15">
      <c r="A9" s="3170" t="s">
        <v>927</v>
      </c>
      <c r="B9" s="3170"/>
      <c r="C9" s="3170"/>
      <c r="D9" s="3170" t="e">
        <f ca="1">结果表!D123</f>
        <v>#REF!</v>
      </c>
      <c r="E9" s="3170"/>
      <c r="F9" s="3170"/>
      <c r="G9" s="3170"/>
      <c r="H9" s="3170"/>
      <c r="I9" s="3170"/>
    </row>
    <row r="10" spans="1:9" ht="15.75">
      <c r="A10" s="3169" t="str">
        <f>结果表!A124</f>
        <v/>
      </c>
      <c r="B10" s="3169"/>
      <c r="C10" s="3169"/>
      <c r="D10" s="3169" t="str">
        <f>结果表!D124</f>
        <v>——</v>
      </c>
      <c r="E10" s="3169"/>
      <c r="F10" s="3169"/>
      <c r="G10" s="3169"/>
      <c r="H10" s="3169"/>
      <c r="I10" s="3169"/>
    </row>
    <row r="11" spans="1:9" ht="15">
      <c r="A11" s="3170" t="s">
        <v>927</v>
      </c>
      <c r="B11" s="3170"/>
      <c r="C11" s="3170"/>
      <c r="D11" s="3170" t="e">
        <f>结果表!D125</f>
        <v>#VALUE!</v>
      </c>
      <c r="E11" s="3170"/>
      <c r="F11" s="3170"/>
      <c r="G11" s="3170"/>
      <c r="H11" s="3170"/>
      <c r="I11" s="3170"/>
    </row>
    <row r="12" spans="1:9" ht="15.75">
      <c r="A12" s="3169" t="str">
        <f>结果表!A126</f>
        <v/>
      </c>
      <c r="B12" s="3169"/>
      <c r="C12" s="3169"/>
      <c r="D12" s="3169" t="str">
        <f>结果表!D126</f>
        <v>——</v>
      </c>
      <c r="E12" s="3169"/>
      <c r="F12" s="3169"/>
      <c r="G12" s="3169"/>
      <c r="H12" s="3169"/>
      <c r="I12" s="3169"/>
    </row>
    <row r="13" spans="1:9" ht="15.75" thickBot="1">
      <c r="A13" s="3167" t="s">
        <v>927</v>
      </c>
      <c r="B13" s="3167"/>
      <c r="C13" s="3167"/>
      <c r="D13" s="3167" t="e">
        <f>结果表!D127</f>
        <v>#VALUE!</v>
      </c>
      <c r="E13" s="3167"/>
      <c r="F13" s="3167"/>
      <c r="G13" s="3167"/>
      <c r="H13" s="3167"/>
      <c r="I13" s="3167"/>
    </row>
    <row r="14" spans="1:9" ht="15" thickTop="1">
      <c r="A14" s="3168" t="s">
        <v>932</v>
      </c>
      <c r="B14" s="3168"/>
      <c r="C14" s="3168"/>
      <c r="D14" s="3168"/>
      <c r="E14" s="3168"/>
      <c r="F14" s="3168"/>
      <c r="G14" s="3168"/>
      <c r="H14" s="3168"/>
      <c r="I14" s="316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2" t="s">
        <v>949</v>
      </c>
      <c r="B1" s="3182"/>
      <c r="C1" s="3182"/>
      <c r="D1" s="3182"/>
    </row>
    <row r="2" spans="1:4" ht="18">
      <c r="A2" s="3183" t="s">
        <v>933</v>
      </c>
      <c r="B2" s="3183"/>
      <c r="C2" s="3183"/>
      <c r="D2" s="318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3" t="s">
        <v>939</v>
      </c>
      <c r="B6" s="3183"/>
      <c r="C6" s="3183"/>
      <c r="D6" s="318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4" t="s">
        <v>942</v>
      </c>
      <c r="B11" s="3176"/>
      <c r="C11" s="3176"/>
      <c r="D11" s="3176"/>
    </row>
    <row r="12" spans="1:4" ht="15.75">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76" t="str">
        <f>IF(项目基本情况!B8="抵押","4.本次评估估价师所知悉的法定优先受偿款情况说明如下：","——")</f>
        <v>4.本次评估估价师所知悉的法定优先受偿款情况说明如下：</v>
      </c>
      <c r="B14" s="3181"/>
      <c r="C14" s="3181"/>
      <c r="D14" s="3181"/>
    </row>
    <row r="15" spans="1:4" ht="42" customHeight="1">
      <c r="A15" s="31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6"/>
      <c r="C15" s="3176"/>
      <c r="D15" s="3176"/>
    </row>
    <row r="16" spans="1:4" ht="30" customHeight="1">
      <c r="A16" s="3178" t="s">
        <v>943</v>
      </c>
      <c r="B16" s="3178"/>
      <c r="C16" s="3178"/>
      <c r="D16" s="3178"/>
    </row>
    <row r="17" spans="1:4" ht="144" customHeight="1">
      <c r="A17" s="3178" t="s">
        <v>944</v>
      </c>
      <c r="B17" s="3178"/>
      <c r="C17" s="3178"/>
      <c r="D17" s="3178"/>
    </row>
    <row r="18" spans="1:4" ht="15.75" customHeight="1">
      <c r="A18" s="3176" t="str">
        <f>IF(项目基本情况!B8="抵押",结果表!K120,"——")</f>
        <v>故，本次评估不存在估价师知悉的法定优先受偿款</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6"/>
      <c r="C20" s="3176"/>
      <c r="D20" s="3176"/>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9"/>
      <c r="C21" s="3179"/>
      <c r="D21" s="3179"/>
    </row>
    <row r="22" spans="1:4" ht="18.75" customHeight="1">
      <c r="A22" s="3180" t="s">
        <v>945</v>
      </c>
      <c r="B22" s="3180"/>
      <c r="C22" s="3180"/>
      <c r="D22" s="318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7">
        <v>42551</v>
      </c>
      <c r="D31" s="31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0" t="s">
        <v>956</v>
      </c>
      <c r="B15" s="3185" t="s">
        <v>109</v>
      </c>
      <c r="C15" s="3186"/>
    </row>
    <row r="16" spans="1:7" ht="13.5">
      <c r="A16" s="3191"/>
      <c r="B16" s="3185" t="s">
        <v>42</v>
      </c>
      <c r="C16" s="3186"/>
    </row>
    <row r="17" spans="1:3" ht="13.5">
      <c r="A17" s="3191"/>
      <c r="B17" s="3188" t="s">
        <v>957</v>
      </c>
      <c r="C17" s="1429" t="s">
        <v>956</v>
      </c>
    </row>
    <row r="18" spans="1:3" ht="13.5">
      <c r="A18" s="3191"/>
      <c r="B18" s="3188"/>
      <c r="C18" s="1429" t="s">
        <v>958</v>
      </c>
    </row>
    <row r="19" spans="1:3" ht="13.5">
      <c r="A19" s="3191"/>
      <c r="B19" s="3188"/>
      <c r="C19" s="1429" t="s">
        <v>959</v>
      </c>
    </row>
    <row r="20" spans="1:3" ht="13.5">
      <c r="A20" s="3192"/>
      <c r="B20" s="3187" t="s">
        <v>960</v>
      </c>
      <c r="C20" s="3186"/>
    </row>
    <row r="21" spans="1:3" ht="13.5">
      <c r="A21" s="1430" t="s">
        <v>961</v>
      </c>
      <c r="B21" s="1431"/>
      <c r="C21" s="1432"/>
    </row>
    <row r="22" spans="1:3" ht="13.5">
      <c r="A22" s="3189" t="s">
        <v>962</v>
      </c>
      <c r="B22" s="3187" t="s">
        <v>963</v>
      </c>
      <c r="C22" s="3186"/>
    </row>
    <row r="23" spans="1:3" ht="13.5">
      <c r="A23" s="3189"/>
      <c r="B23" s="3187" t="s">
        <v>964</v>
      </c>
      <c r="C23" s="3186"/>
    </row>
    <row r="24" spans="1:3" ht="13.5">
      <c r="A24" s="3189"/>
      <c r="B24" s="3187" t="s">
        <v>965</v>
      </c>
      <c r="C24" s="3186"/>
    </row>
    <row r="25" spans="1:3" ht="13.5">
      <c r="A25" s="3189"/>
      <c r="B25" s="3188" t="s">
        <v>966</v>
      </c>
      <c r="C25" s="1429" t="s">
        <v>967</v>
      </c>
    </row>
    <row r="26" spans="1:3" ht="13.5">
      <c r="A26" s="3189"/>
      <c r="B26" s="3188"/>
      <c r="C26" s="1429" t="s">
        <v>968</v>
      </c>
    </row>
    <row r="27" spans="1:3" ht="13.5">
      <c r="A27" s="3189"/>
      <c r="B27" s="3188"/>
      <c r="C27" s="1429" t="s">
        <v>969</v>
      </c>
    </row>
    <row r="28" spans="1:3" ht="13.5">
      <c r="A28" s="3189"/>
      <c r="B28" s="3188"/>
      <c r="C28" s="1429" t="s">
        <v>970</v>
      </c>
    </row>
    <row r="29" spans="1:3" ht="13.5">
      <c r="A29" s="3189"/>
      <c r="B29" s="3188"/>
      <c r="C29" s="1429" t="s">
        <v>971</v>
      </c>
    </row>
    <row r="30" spans="1:3" ht="13.5">
      <c r="A30" s="3189"/>
      <c r="B30" s="3188"/>
      <c r="C30" s="1429" t="s">
        <v>972</v>
      </c>
    </row>
    <row r="31" spans="1:3" ht="13.5">
      <c r="A31" s="3189"/>
      <c r="B31" s="3188"/>
      <c r="C31" s="1429" t="s">
        <v>973</v>
      </c>
    </row>
    <row r="32" spans="1:3" ht="13.5">
      <c r="A32" s="3189"/>
      <c r="B32" s="3188"/>
      <c r="C32" s="1429" t="s">
        <v>974</v>
      </c>
    </row>
    <row r="33" spans="1:3" ht="13.5">
      <c r="A33" s="3189"/>
      <c r="B33" s="318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45735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3" t="s">
        <v>2160</v>
      </c>
      <c r="B17" s="3193"/>
      <c r="C17" s="3193"/>
      <c r="D17" s="3193"/>
      <c r="E17" s="3193"/>
      <c r="F17" s="3193"/>
      <c r="G17" s="3193"/>
      <c r="H17" s="3193"/>
    </row>
    <row r="18" spans="1:8" ht="24" customHeight="1">
      <c r="A18" s="3194" t="s">
        <v>2161</v>
      </c>
      <c r="B18" s="3194"/>
      <c r="C18" s="3194"/>
      <c r="D18" s="2160"/>
      <c r="E18" s="3195" t="s">
        <v>2162</v>
      </c>
      <c r="F18" s="3194"/>
      <c r="G18" s="319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租金案例</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2025-03-19T03:09:11Z</dcterms:modified>
</cp:coreProperties>
</file>