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210" windowWidth="11475" windowHeight="945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Sheet1" sheetId="78" r:id="rId22"/>
    <sheet name="土地比较法-住宅、综合" sheetId="39" r:id="rId23"/>
    <sheet name="基准地价修正" sheetId="43" state="hidden" r:id="rId24"/>
    <sheet name="比较法-商业" sheetId="33" r:id="rId25"/>
    <sheet name="收益法" sheetId="15" r:id="rId26"/>
    <sheet name="收益法 (元)" sheetId="67" state="hidden" r:id="rId27"/>
    <sheet name="收益法（汇总）" sheetId="70" r:id="rId28"/>
    <sheet name="酒店收入计算" sheetId="66" state="hidden" r:id="rId29"/>
    <sheet name="比较法-住宅" sheetId="21"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9"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4" hidden="1">'比较法-商业'!$A$1:$L$49</definedName>
    <definedName name="_xlnm._FilterDatabase" localSheetId="29"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4">'比较法-商业'!$A$1:$K$54,'比较法-商业'!$A$57:$M$131</definedName>
    <definedName name="_xlnm.Print_Area" localSheetId="29">'比较法-住宅'!$A$1:$K$54,'比较法-住宅'!$A$57:$M$131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3">基准地价修正!$A$1:$J$41,基准地价修正!$A$45:$H$88,基准地价修正!$R$1:$V$16</definedName>
    <definedName name="_xlnm.Print_Area" localSheetId="20">假设开发法!$A$1:$K$32</definedName>
    <definedName name="_xlnm.Print_Area" localSheetId="17">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2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B2" i="1" l="1"/>
  <c r="C7" i="33"/>
  <c r="C58" i="33"/>
  <c r="D58" i="33"/>
  <c r="E58" i="33"/>
  <c r="F58" i="33"/>
  <c r="G58" i="33"/>
  <c r="H58" i="33"/>
  <c r="I58" i="33"/>
  <c r="J58" i="33"/>
  <c r="K58" i="33"/>
  <c r="L58" i="33"/>
  <c r="M58" i="33"/>
  <c r="N58" i="33"/>
  <c r="O58" i="33"/>
  <c r="F7" i="33"/>
  <c r="AA7" i="33"/>
  <c r="R47" i="33"/>
  <c r="D69" i="33"/>
  <c r="E69" i="33"/>
  <c r="F11" i="33"/>
  <c r="AA11" i="33"/>
  <c r="D77" i="33"/>
  <c r="E77" i="33"/>
  <c r="F77" i="33"/>
  <c r="F15" i="33"/>
  <c r="AA15" i="33"/>
  <c r="R48" i="33"/>
  <c r="H7" i="33"/>
  <c r="AB7" i="33"/>
  <c r="T47" i="33"/>
  <c r="H11" i="33"/>
  <c r="AB11" i="33"/>
  <c r="H15" i="33"/>
  <c r="AB15" i="33"/>
  <c r="T48" i="33"/>
  <c r="J7" i="33"/>
  <c r="AC7" i="33"/>
  <c r="J11" i="33"/>
  <c r="AC11" i="33"/>
  <c r="J15" i="33"/>
  <c r="AC15" i="33"/>
  <c r="V48" i="33"/>
  <c r="R49" i="33"/>
  <c r="C49" i="33"/>
  <c r="B3" i="33"/>
  <c r="R24" i="31"/>
  <c r="E4" i="31"/>
  <c r="F4" i="31"/>
  <c r="D4" i="31"/>
  <c r="B25" i="31"/>
  <c r="B26" i="31"/>
  <c r="B27" i="31"/>
  <c r="B24" i="31"/>
  <c r="I24" i="33"/>
  <c r="G24" i="33"/>
  <c r="E24" i="33"/>
  <c r="I22" i="33"/>
  <c r="G22" i="33"/>
  <c r="E22" i="33"/>
  <c r="I20" i="33"/>
  <c r="G20" i="33"/>
  <c r="E20" i="33"/>
  <c r="I18" i="33"/>
  <c r="G18" i="33"/>
  <c r="E18" i="33"/>
  <c r="G16" i="33"/>
  <c r="E16" i="33"/>
  <c r="C40" i="33"/>
  <c r="C36" i="33"/>
  <c r="C33" i="33"/>
  <c r="C24" i="33"/>
  <c r="C22" i="33"/>
  <c r="C20" i="33"/>
  <c r="C18" i="33"/>
  <c r="C16" i="33"/>
  <c r="C11" i="33"/>
  <c r="E119" i="33"/>
  <c r="D119" i="33"/>
  <c r="D118" i="33"/>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3" i="43"/>
  <c r="B71" i="39"/>
  <c r="F7" i="39"/>
  <c r="AA7" i="39"/>
  <c r="C10" i="39"/>
  <c r="I46" i="39"/>
  <c r="G46" i="39"/>
  <c r="E46" i="39"/>
  <c r="I38" i="39"/>
  <c r="G38" i="39"/>
  <c r="E38" i="39"/>
  <c r="C38" i="39"/>
  <c r="C11" i="39"/>
  <c r="D71" i="39"/>
  <c r="E71" i="39"/>
  <c r="F71" i="39"/>
  <c r="G71" i="39"/>
  <c r="H71" i="39"/>
  <c r="I71" i="39"/>
  <c r="J71" i="39"/>
  <c r="K71" i="39"/>
  <c r="L71" i="39"/>
  <c r="M71" i="39"/>
  <c r="I7" i="39"/>
  <c r="G7" i="39"/>
  <c r="E7" i="39"/>
  <c r="I5" i="39"/>
  <c r="G5" i="39"/>
  <c r="E5" i="39"/>
  <c r="N11" i="78"/>
  <c r="N10" i="78"/>
  <c r="N9" i="78"/>
  <c r="N8" i="78"/>
  <c r="N7" i="78"/>
  <c r="N6" i="78"/>
  <c r="N5" i="78"/>
  <c r="N4" i="78"/>
  <c r="N3" i="78"/>
  <c r="N2" i="78"/>
  <c r="B29" i="1"/>
  <c r="N6" i="1"/>
  <c r="Y6" i="1"/>
  <c r="Y7" i="1"/>
  <c r="N7" i="1"/>
  <c r="G20" i="6"/>
  <c r="F19" i="6"/>
  <c r="G82" i="43"/>
  <c r="G83" i="43"/>
  <c r="G84" i="43"/>
  <c r="G85" i="43"/>
  <c r="G86" i="43"/>
  <c r="G87" i="43"/>
  <c r="G88" i="43"/>
  <c r="G81" i="4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3" i="3"/>
  <c r="BC13" i="3"/>
  <c r="BA13" i="3"/>
  <c r="AZ13" i="3"/>
  <c r="BB14" i="3"/>
  <c r="BA14" i="3"/>
  <c r="AZ14" i="3"/>
  <c r="AZ5" i="3"/>
  <c r="E3" i="6"/>
  <c r="D29" i="43"/>
  <c r="AH5" i="71"/>
  <c r="AG5" i="71"/>
  <c r="AE5" i="71"/>
  <c r="AF5" i="71"/>
  <c r="AD5" i="71"/>
  <c r="Q5" i="71"/>
  <c r="P5" i="71"/>
  <c r="O5" i="71"/>
  <c r="N5" i="71"/>
  <c r="AA5" i="71"/>
  <c r="AH6" i="71"/>
  <c r="AG6" i="71"/>
  <c r="AE6" i="71"/>
  <c r="AF6" i="71"/>
  <c r="AD6" i="71"/>
  <c r="Q6" i="71"/>
  <c r="AB5" i="71"/>
  <c r="P6" i="71"/>
  <c r="O6" i="71"/>
  <c r="Y5" i="71"/>
  <c r="Z5" i="71"/>
  <c r="N6" i="71"/>
  <c r="X5" i="71"/>
  <c r="C31" i="66"/>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H104" i="9"/>
  <c r="F59" i="9"/>
  <c r="AH7" i="71"/>
  <c r="AG7" i="71"/>
  <c r="AE7" i="71"/>
  <c r="AF7" i="71"/>
  <c r="AD7" i="71"/>
  <c r="Q7" i="71"/>
  <c r="AB6" i="71"/>
  <c r="P7" i="71"/>
  <c r="AA6" i="71"/>
  <c r="O7" i="71"/>
  <c r="Y6" i="71"/>
  <c r="Z6" i="71"/>
  <c r="N7" i="71"/>
  <c r="X6" i="71"/>
  <c r="V9" i="71"/>
  <c r="U9" i="71"/>
  <c r="T9" i="71"/>
  <c r="S9" i="71"/>
  <c r="AH8" i="71"/>
  <c r="AG8" i="71"/>
  <c r="AE8" i="71"/>
  <c r="AF8" i="71"/>
  <c r="AD8" i="71"/>
  <c r="Q8" i="71"/>
  <c r="AB7" i="71"/>
  <c r="P8" i="71"/>
  <c r="AA7" i="71"/>
  <c r="O8" i="71"/>
  <c r="Y7" i="71"/>
  <c r="Z7" i="71"/>
  <c r="N8" i="71"/>
  <c r="X7" i="71"/>
  <c r="AB11" i="71"/>
  <c r="Q10" i="71"/>
  <c r="AB10" i="71"/>
  <c r="P10" i="71"/>
  <c r="AA10" i="71"/>
  <c r="O10" i="71"/>
  <c r="Y10" i="71"/>
  <c r="Z10" i="71"/>
  <c r="N10" i="71"/>
  <c r="X10" i="71"/>
  <c r="AH9" i="71"/>
  <c r="AG9" i="71"/>
  <c r="AE9" i="71"/>
  <c r="AF9" i="71"/>
  <c r="AD9" i="71"/>
  <c r="Q9" i="71"/>
  <c r="AB8" i="71"/>
  <c r="P9" i="71"/>
  <c r="AA8" i="71"/>
  <c r="O9" i="71"/>
  <c r="N9" i="71"/>
  <c r="X8" i="71"/>
  <c r="F10" i="71"/>
  <c r="E10" i="71"/>
  <c r="E9" i="71"/>
  <c r="E8" i="71"/>
  <c r="E7" i="71"/>
  <c r="E6" i="71"/>
  <c r="E5" i="71"/>
  <c r="C10" i="71"/>
  <c r="C9" i="71"/>
  <c r="C8" i="7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C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c r="K3" i="71"/>
  <c r="AG3" i="71"/>
  <c r="J3" i="71"/>
  <c r="AE3" i="7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9" i="71"/>
  <c r="P19" i="71"/>
  <c r="O19" i="71"/>
  <c r="N19"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67" i="72"/>
  <c r="B66" i="72"/>
  <c r="B10" i="72"/>
  <c r="C53" i="10"/>
  <c r="B51" i="10"/>
  <c r="B19" i="72"/>
  <c r="A18" i="51"/>
  <c r="B13" i="72"/>
  <c r="C8" i="68"/>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c r="F20" i="69"/>
  <c r="F39" i="69"/>
  <c r="E10" i="69"/>
  <c r="E9" i="69"/>
  <c r="AC21" i="37"/>
  <c r="W21" i="37"/>
  <c r="AC21" i="34"/>
  <c r="W21" i="34"/>
  <c r="AC21" i="33"/>
  <c r="W21" i="33"/>
  <c r="AB21" i="21"/>
  <c r="U21" i="21"/>
  <c r="G83" i="21"/>
  <c r="J21" i="21"/>
  <c r="C40" i="69"/>
  <c r="F38" i="68"/>
  <c r="E37" i="68"/>
  <c r="F36" i="68"/>
  <c r="F35" i="68"/>
  <c r="F21" i="68"/>
  <c r="F40" i="68"/>
  <c r="C21" i="68"/>
  <c r="F20" i="68"/>
  <c r="F39"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Q26" i="31"/>
  <c r="R26" i="31"/>
  <c r="C27" i="31"/>
  <c r="Q27"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Q25" i="31"/>
  <c r="R25"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c r="P10" i="1"/>
  <c r="B22" i="1"/>
  <c r="B23" i="1"/>
  <c r="B24" i="1"/>
  <c r="B43" i="1"/>
  <c r="D78" i="9"/>
  <c r="BQ13" i="3"/>
  <c r="BQ14" i="3"/>
  <c r="BS13" i="3"/>
  <c r="BS14" i="3"/>
  <c r="BR14" i="3"/>
  <c r="BT13" i="3"/>
  <c r="BT14" i="3"/>
  <c r="BM14" i="3"/>
  <c r="BO13" i="3"/>
  <c r="BO14" i="3"/>
  <c r="BN13" i="3"/>
  <c r="BN14" i="3"/>
  <c r="BP13" i="3"/>
  <c r="BP14" i="3"/>
  <c r="E19" i="6"/>
  <c r="E20" i="6"/>
  <c r="E21" i="6"/>
  <c r="K8" i="1"/>
  <c r="M8" i="1"/>
  <c r="F23" i="15"/>
  <c r="D24" i="15"/>
  <c r="M13" i="1"/>
  <c r="O13" i="1"/>
  <c r="P13" i="1"/>
  <c r="E22" i="6"/>
  <c r="E23" i="6"/>
  <c r="E24" i="6"/>
  <c r="E25" i="6"/>
  <c r="E26" i="6"/>
  <c r="BD13" i="3"/>
  <c r="BE13" i="3"/>
  <c r="BF13" i="3"/>
  <c r="BG13" i="3"/>
  <c r="BH13" i="3"/>
  <c r="BI13" i="3"/>
  <c r="BJ13" i="3"/>
  <c r="BK13" i="3"/>
  <c r="BC14" i="3"/>
  <c r="BD14" i="3"/>
  <c r="BE14" i="3"/>
  <c r="BF14" i="3"/>
  <c r="BG14" i="3"/>
  <c r="BH14" i="3"/>
  <c r="BI14" i="3"/>
  <c r="BJ14" i="3"/>
  <c r="BK14"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E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G77"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F81" i="33"/>
  <c r="J19" i="33"/>
  <c r="AC19"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K26" i="31"/>
  <c r="I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AZ350" i="3"/>
  <c r="AZ352" i="3"/>
  <c r="AZ356" i="3"/>
  <c r="AZ360" i="3"/>
  <c r="AZ364" i="3"/>
  <c r="AZ368" i="3"/>
  <c r="BB5" i="3"/>
  <c r="E12" i="6"/>
  <c r="E62" i="39"/>
  <c r="BR5" i="3"/>
  <c r="G28" i="6"/>
  <c r="AZ380" i="3"/>
  <c r="AZ384" i="3"/>
  <c r="AZ388" i="3"/>
  <c r="AZ392" i="3"/>
  <c r="AZ396" i="3"/>
  <c r="AZ394" i="3"/>
  <c r="AZ499" i="3"/>
  <c r="AZ509" i="3"/>
  <c r="E8" i="6"/>
  <c r="F27" i="6"/>
  <c r="G509" i="3"/>
  <c r="BL493" i="3"/>
  <c r="AZ491" i="3"/>
  <c r="AZ376" i="3"/>
  <c r="AZ390" i="3"/>
  <c r="AZ382" i="3"/>
  <c r="AZ493" i="3"/>
  <c r="U36" i="40"/>
  <c r="F36"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D93" i="9"/>
  <c r="K6" i="1"/>
  <c r="E13" i="6"/>
  <c r="E58" i="40"/>
  <c r="G29" i="6"/>
  <c r="AC26" i="33"/>
  <c r="W26" i="33"/>
  <c r="W27" i="34"/>
  <c r="AC27" i="34"/>
  <c r="AB34" i="36"/>
  <c r="U34" i="36"/>
  <c r="AB33" i="36"/>
  <c r="U33" i="36"/>
  <c r="AC12" i="39"/>
  <c r="W12" i="39"/>
  <c r="AC39" i="40"/>
  <c r="W39" i="40"/>
  <c r="AZ401" i="3"/>
  <c r="AZ412" i="3"/>
  <c r="AZ417" i="3"/>
  <c r="AZ428" i="3"/>
  <c r="AZ433" i="3"/>
  <c r="AZ465" i="3"/>
  <c r="AZ586" i="3"/>
  <c r="B113" i="43"/>
  <c r="C101"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AR12" i="1"/>
  <c r="R12" i="1"/>
  <c r="B12" i="1"/>
  <c r="E12" i="1"/>
  <c r="S10" i="1"/>
  <c r="AQ10" i="1"/>
  <c r="R10" i="1"/>
  <c r="B10" i="1"/>
  <c r="E10" i="1"/>
  <c r="D1" i="66"/>
  <c r="E10" i="66"/>
  <c r="AZ80" i="3"/>
  <c r="AZ84" i="3"/>
  <c r="AZ88" i="3"/>
  <c r="AZ107" i="3"/>
  <c r="AZ111" i="3"/>
  <c r="K12" i="1"/>
  <c r="M12" i="1"/>
  <c r="O12" i="1"/>
  <c r="P12" i="1"/>
  <c r="S13" i="1"/>
  <c r="R13" i="1"/>
  <c r="S11" i="1"/>
  <c r="R11" i="1"/>
  <c r="S9" i="1"/>
  <c r="AR9" i="1"/>
  <c r="R9" i="1"/>
  <c r="J51" i="67"/>
  <c r="C42" i="1"/>
  <c r="C24" i="12"/>
  <c r="H100" i="43"/>
  <c r="C30" i="66"/>
  <c r="E26" i="66"/>
  <c r="AC34" i="33"/>
  <c r="AA34" i="33"/>
  <c r="B41" i="1"/>
  <c r="F48" i="9"/>
  <c r="O52"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G111" i="33"/>
  <c r="F36"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19" i="33"/>
  <c r="S19" i="33"/>
  <c r="W19" i="33"/>
  <c r="J17" i="33"/>
  <c r="F79" i="33"/>
  <c r="S15" i="33"/>
  <c r="W15" i="33"/>
  <c r="U9" i="33"/>
  <c r="I66" i="33"/>
  <c r="J10" i="33"/>
  <c r="H10" i="33"/>
  <c r="AA10"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E10" i="6"/>
  <c r="BA5" i="3"/>
  <c r="E27" i="6"/>
  <c r="E11" i="6"/>
  <c r="E61" i="39"/>
  <c r="BL13" i="3"/>
  <c r="J56" i="9"/>
  <c r="J57" i="9"/>
  <c r="J59" i="9"/>
  <c r="J61" i="9"/>
  <c r="A24" i="51"/>
  <c r="B18" i="72"/>
  <c r="U29" i="34"/>
  <c r="E14" i="6"/>
  <c r="E64" i="39"/>
  <c r="E5" i="6"/>
  <c r="L101" i="43"/>
  <c r="L109" i="43"/>
  <c r="H101" i="43"/>
  <c r="G22" i="43"/>
  <c r="E32" i="6"/>
  <c r="L19" i="6"/>
  <c r="G1" i="68"/>
  <c r="K1" i="12"/>
  <c r="C107" i="43"/>
  <c r="B116" i="43"/>
  <c r="C116" i="43"/>
  <c r="I117" i="43"/>
  <c r="J117" i="43"/>
  <c r="K117" i="43"/>
  <c r="L117" i="43"/>
  <c r="M117" i="43"/>
  <c r="E57" i="40"/>
  <c r="B117" i="43"/>
  <c r="C117" i="43"/>
  <c r="E56" i="40"/>
  <c r="AQ12" i="1"/>
  <c r="AR10" i="1"/>
  <c r="E19" i="69"/>
  <c r="E19" i="68"/>
  <c r="E19" i="11"/>
  <c r="E1" i="73"/>
  <c r="G41" i="69"/>
  <c r="G22" i="69"/>
  <c r="G41" i="68"/>
  <c r="G22" i="68"/>
  <c r="G27" i="12"/>
  <c r="G26" i="12"/>
  <c r="G41" i="11"/>
  <c r="G22" i="11"/>
  <c r="G25" i="12"/>
  <c r="C100" i="43"/>
  <c r="C7" i="43"/>
  <c r="E81" i="43"/>
  <c r="B79" i="43"/>
  <c r="C24" i="43"/>
  <c r="E48" i="43"/>
  <c r="B46" i="43"/>
  <c r="E70" i="43"/>
  <c r="B68" i="43"/>
  <c r="F100" i="43"/>
  <c r="H17" i="43"/>
  <c r="H53" i="43"/>
  <c r="H78" i="43"/>
  <c r="H71" i="43"/>
  <c r="C17" i="43"/>
  <c r="F33" i="43"/>
  <c r="K17" i="43"/>
  <c r="F34" i="43"/>
  <c r="N6" i="43"/>
  <c r="N3" i="43"/>
  <c r="F38" i="43"/>
  <c r="F37" i="43"/>
  <c r="M9" i="43"/>
  <c r="N5" i="43"/>
  <c r="M12" i="43"/>
  <c r="B19" i="53"/>
  <c r="B37" i="72"/>
  <c r="C7" i="35"/>
  <c r="C48" i="35"/>
  <c r="C7" i="21"/>
  <c r="C58" i="21"/>
  <c r="C7" i="40"/>
  <c r="C63" i="40"/>
  <c r="D63" i="40"/>
  <c r="E63" i="40"/>
  <c r="F63" i="40"/>
  <c r="M47" i="9"/>
  <c r="O19" i="43"/>
  <c r="T35" i="4"/>
  <c r="A19" i="51"/>
  <c r="B14" i="72"/>
  <c r="C46" i="36"/>
  <c r="C59" i="34"/>
  <c r="D59" i="34"/>
  <c r="E59" i="34"/>
  <c r="C52" i="37"/>
  <c r="A4" i="51"/>
  <c r="B6" i="72"/>
  <c r="C4" i="12"/>
  <c r="H66" i="43"/>
  <c r="H65" i="43"/>
  <c r="H64" i="43"/>
  <c r="H63" i="43"/>
  <c r="H55" i="43"/>
  <c r="H56" i="43"/>
  <c r="H72" i="43"/>
  <c r="L20" i="6"/>
  <c r="E56" i="39"/>
  <c r="E51" i="40"/>
  <c r="B6" i="1"/>
  <c r="E6" i="1"/>
  <c r="S8" i="1"/>
  <c r="K11" i="1"/>
  <c r="M11" i="1"/>
  <c r="O11" i="1"/>
  <c r="P11" i="1"/>
  <c r="AP6" i="1"/>
  <c r="B9" i="1"/>
  <c r="E9" i="1"/>
  <c r="K7" i="1"/>
  <c r="M7" i="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AQ13" i="1"/>
  <c r="M6" i="1"/>
  <c r="O6" i="1"/>
  <c r="P6" i="1"/>
  <c r="E63" i="39"/>
  <c r="D9" i="69"/>
  <c r="C9" i="69"/>
  <c r="AQ9" i="1"/>
  <c r="E125" i="3"/>
  <c r="E217" i="3"/>
  <c r="E366" i="3"/>
  <c r="E526" i="3"/>
  <c r="E553" i="3"/>
  <c r="E268" i="3"/>
  <c r="E282" i="3"/>
  <c r="E322" i="3"/>
  <c r="N6" i="3"/>
  <c r="AJ6" i="3"/>
  <c r="D9" i="68"/>
  <c r="C9" i="68"/>
  <c r="K20" i="6"/>
  <c r="S7" i="1"/>
  <c r="AQ7"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J22" i="43"/>
  <c r="E347" i="3"/>
  <c r="E583" i="3"/>
  <c r="AA6" i="3"/>
  <c r="X6" i="3"/>
  <c r="E399" i="3"/>
  <c r="E336" i="3"/>
  <c r="E280" i="3"/>
  <c r="E246" i="3"/>
  <c r="E124" i="3"/>
  <c r="E293" i="3"/>
  <c r="BL5" i="3"/>
  <c r="E311" i="3"/>
  <c r="E358" i="3"/>
  <c r="E514" i="3"/>
  <c r="E559" i="3"/>
  <c r="E570" i="3"/>
  <c r="E551" i="3"/>
  <c r="M6" i="3"/>
  <c r="V6" i="3"/>
  <c r="AB6" i="3"/>
  <c r="E407" i="3"/>
  <c r="E387" i="3"/>
  <c r="E320" i="3"/>
  <c r="E335" i="3"/>
  <c r="E296" i="3"/>
  <c r="E263" i="3"/>
  <c r="E244" i="3"/>
  <c r="E301" i="3"/>
  <c r="E262" i="3"/>
  <c r="E245" i="3"/>
  <c r="E196" i="3"/>
  <c r="E159" i="3"/>
  <c r="E136" i="3"/>
  <c r="E191" i="3"/>
  <c r="E156" i="3"/>
  <c r="E99" i="3"/>
  <c r="E236" i="3"/>
  <c r="E188" i="3"/>
  <c r="E148" i="3"/>
  <c r="E228" i="3"/>
  <c r="E269" i="3"/>
  <c r="E181" i="3"/>
  <c r="E122" i="3"/>
  <c r="E157" i="3"/>
  <c r="E89" i="3"/>
  <c r="H103" i="43"/>
  <c r="H109" i="43"/>
  <c r="L102" i="43"/>
  <c r="L104" i="4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C36" i="69"/>
  <c r="AB45" i="21"/>
  <c r="AC33" i="21"/>
  <c r="W33" i="21"/>
  <c r="S33" i="21"/>
  <c r="AA33" i="21"/>
  <c r="W32" i="21"/>
  <c r="AC32" i="21"/>
  <c r="AB9" i="21"/>
  <c r="U9" i="21"/>
  <c r="AA32" i="21"/>
  <c r="S32" i="21"/>
  <c r="W9" i="21"/>
  <c r="AC9" i="21"/>
  <c r="AB32" i="21"/>
  <c r="U32" i="21"/>
  <c r="AA10" i="21"/>
  <c r="S10" i="21"/>
  <c r="AR7" i="1"/>
  <c r="E28" i="6"/>
  <c r="K19" i="6"/>
  <c r="S6" i="1"/>
  <c r="E6" i="70"/>
  <c r="E2" i="70"/>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M20" i="6"/>
  <c r="I20" i="6"/>
  <c r="H20" i="6"/>
  <c r="D20" i="6"/>
  <c r="R20" i="6"/>
  <c r="R7" i="1"/>
  <c r="F34" i="11"/>
  <c r="C36" i="11"/>
  <c r="F11" i="12"/>
  <c r="C23" i="12"/>
  <c r="F34" i="68"/>
  <c r="R8" i="1"/>
  <c r="L48" i="15"/>
  <c r="J51" i="15"/>
  <c r="J53" i="15"/>
  <c r="F1" i="15"/>
  <c r="AE7" i="1"/>
  <c r="AE8" i="1"/>
  <c r="AG6" i="1"/>
  <c r="H109" i="9"/>
  <c r="H110" i="9"/>
  <c r="D18" i="53"/>
  <c r="B35" i="72"/>
  <c r="D124" i="9"/>
  <c r="H14" i="74"/>
  <c r="B7" i="74"/>
  <c r="D16" i="53"/>
  <c r="B34" i="72"/>
  <c r="D10" i="52"/>
  <c r="D17" i="53"/>
  <c r="B36" i="72"/>
  <c r="D125" i="9"/>
  <c r="D11" i="52"/>
  <c r="H112" i="9"/>
  <c r="D21" i="53"/>
  <c r="B39" i="72"/>
  <c r="H111" i="9"/>
  <c r="D126" i="9"/>
  <c r="I14" i="74"/>
  <c r="B8" i="74"/>
  <c r="D19" i="53"/>
  <c r="B38" i="72"/>
  <c r="D20" i="53"/>
  <c r="B40" i="72"/>
  <c r="AD3" i="71"/>
  <c r="J1" i="73"/>
  <c r="H77" i="43"/>
  <c r="H76" i="43"/>
  <c r="H51" i="43"/>
  <c r="H67" i="43"/>
  <c r="H59" i="43"/>
  <c r="H60" i="43"/>
  <c r="H61" i="43"/>
  <c r="M4" i="43"/>
  <c r="M5" i="43"/>
  <c r="N12" i="43"/>
  <c r="N11" i="43"/>
  <c r="M10" i="43"/>
  <c r="C6" i="43"/>
  <c r="M2" i="43"/>
  <c r="M7" i="43"/>
  <c r="H70" i="43"/>
  <c r="H54" i="43"/>
  <c r="N9" i="43"/>
  <c r="M8" i="43"/>
  <c r="N10" i="43"/>
  <c r="F81" i="43"/>
  <c r="H48" i="43"/>
  <c r="H74" i="43"/>
  <c r="M6" i="43"/>
  <c r="N7" i="43"/>
  <c r="N4" i="43"/>
  <c r="N2" i="43"/>
  <c r="H49" i="43"/>
  <c r="N17" i="43"/>
  <c r="L17" i="43"/>
  <c r="O17" i="43"/>
  <c r="M17" i="43"/>
  <c r="E17" i="43"/>
  <c r="D58" i="21"/>
  <c r="E58" i="21"/>
  <c r="F58" i="21"/>
  <c r="G58" i="21"/>
  <c r="H58" i="21"/>
  <c r="I58" i="21"/>
  <c r="J58" i="21"/>
  <c r="K58" i="21"/>
  <c r="L58" i="21"/>
  <c r="M58" i="21"/>
  <c r="N58" i="21"/>
  <c r="O58" i="21"/>
  <c r="C15" i="71"/>
  <c r="D15" i="71"/>
  <c r="D16" i="71"/>
  <c r="D17" i="71"/>
  <c r="U17" i="71"/>
  <c r="S17" i="71"/>
  <c r="T17" i="71"/>
  <c r="AB15" i="71"/>
  <c r="X13" i="71"/>
  <c r="X12" i="71"/>
  <c r="AA13" i="71"/>
  <c r="AA12" i="71"/>
  <c r="X16" i="71"/>
  <c r="Z11" i="71"/>
  <c r="Y12" i="71"/>
  <c r="Z12" i="71"/>
  <c r="AB13" i="71"/>
  <c r="AB12" i="71"/>
  <c r="S13" i="71"/>
  <c r="F14" i="71"/>
  <c r="F13" i="71"/>
  <c r="Y13" i="71"/>
  <c r="Z13" i="71"/>
  <c r="X3" i="71"/>
  <c r="C14" i="71"/>
  <c r="E14" i="71"/>
  <c r="E13" i="71"/>
  <c r="D65" i="40"/>
  <c r="V13" i="71"/>
  <c r="C13" i="71"/>
  <c r="D14" i="71"/>
  <c r="E65" i="40"/>
  <c r="D11" i="71"/>
  <c r="T13" i="71"/>
  <c r="D12" i="71"/>
  <c r="D13" i="71"/>
  <c r="U13" i="71"/>
  <c r="M21" i="67"/>
  <c r="F8" i="67"/>
  <c r="F6" i="15"/>
  <c r="F8" i="15"/>
  <c r="F7" i="15"/>
  <c r="F9" i="15"/>
  <c r="C6" i="15"/>
  <c r="F4" i="73"/>
  <c r="I1" i="73"/>
  <c r="B39" i="1"/>
  <c r="F11" i="15"/>
  <c r="C10" i="15"/>
  <c r="C5" i="15"/>
  <c r="F32" i="15"/>
  <c r="C32" i="15"/>
  <c r="C33" i="15"/>
  <c r="F35" i="15"/>
  <c r="C34" i="15"/>
  <c r="C31" i="15"/>
  <c r="C14" i="15"/>
  <c r="C15" i="15"/>
  <c r="F16" i="15"/>
  <c r="C16" i="15"/>
  <c r="F43" i="15"/>
  <c r="C17" i="15"/>
  <c r="C18" i="15"/>
  <c r="C19" i="15"/>
  <c r="C20" i="15"/>
  <c r="D5" i="73"/>
  <c r="G1" i="73"/>
  <c r="B40" i="1"/>
  <c r="F24" i="15"/>
  <c r="C23" i="15"/>
  <c r="F26" i="15"/>
  <c r="C26" i="15"/>
  <c r="C24" i="15"/>
  <c r="C27" i="15"/>
  <c r="F28" i="15"/>
  <c r="C28" i="15"/>
  <c r="C29" i="15"/>
  <c r="F36" i="15"/>
  <c r="C36" i="15"/>
  <c r="F13" i="15"/>
  <c r="C13" i="15"/>
  <c r="F37" i="15"/>
  <c r="C37" i="15"/>
  <c r="F38" i="15"/>
  <c r="C38" i="15"/>
  <c r="C30" i="15"/>
  <c r="C39" i="15"/>
  <c r="F42" i="15"/>
  <c r="F40" i="15"/>
  <c r="F41" i="15"/>
  <c r="C40" i="15"/>
  <c r="M6" i="15"/>
  <c r="M8" i="15"/>
  <c r="M7" i="15"/>
  <c r="M9" i="15"/>
  <c r="J6" i="15"/>
  <c r="M11" i="15"/>
  <c r="J10" i="15"/>
  <c r="J5" i="15"/>
  <c r="J26" i="15"/>
  <c r="J29" i="15"/>
  <c r="J57" i="15"/>
  <c r="J55" i="15"/>
  <c r="J58" i="15"/>
  <c r="J59" i="15"/>
  <c r="J60" i="15"/>
  <c r="L46" i="15"/>
  <c r="B2" i="15"/>
  <c r="AO7" i="1"/>
  <c r="M8" i="67"/>
  <c r="F16" i="67"/>
  <c r="AO11" i="1"/>
  <c r="F26" i="67"/>
  <c r="E10" i="76"/>
  <c r="F43" i="67"/>
  <c r="D7" i="73"/>
  <c r="M26" i="15"/>
  <c r="B10" i="76"/>
  <c r="F40" i="67"/>
  <c r="F7" i="67"/>
  <c r="F6" i="67"/>
  <c r="F9" i="67"/>
  <c r="AO10" i="1"/>
  <c r="D2" i="34"/>
  <c r="B9" i="76"/>
  <c r="F13" i="67"/>
  <c r="J15" i="67"/>
  <c r="F20" i="31"/>
  <c r="L48" i="67"/>
  <c r="D3" i="73"/>
  <c r="M28" i="15"/>
  <c r="E8" i="76"/>
  <c r="M27" i="67"/>
  <c r="E2" i="68"/>
  <c r="E9" i="76"/>
  <c r="J15" i="15"/>
  <c r="M9" i="67"/>
  <c r="M23" i="15"/>
  <c r="E12" i="76"/>
  <c r="M26" i="67"/>
  <c r="E2" i="69"/>
  <c r="E11" i="76"/>
  <c r="M28" i="67"/>
  <c r="B7" i="76"/>
  <c r="F3" i="73"/>
  <c r="M23" i="67"/>
  <c r="E13" i="76"/>
  <c r="M22" i="15"/>
  <c r="M24" i="67"/>
  <c r="D2" i="33"/>
  <c r="F36" i="67"/>
  <c r="M6" i="67"/>
  <c r="M24" i="15"/>
  <c r="B8" i="76"/>
  <c r="AO8" i="1"/>
  <c r="F38" i="67"/>
  <c r="F5" i="73"/>
  <c r="L47" i="15"/>
  <c r="B12" i="76"/>
  <c r="F42" i="67"/>
  <c r="L47" i="67"/>
  <c r="B13" i="76"/>
  <c r="C76" i="67"/>
  <c r="F6" i="73"/>
  <c r="E7" i="76"/>
  <c r="AO9" i="1"/>
  <c r="M29" i="15"/>
  <c r="F37" i="67"/>
  <c r="D4" i="73"/>
  <c r="D2" i="36"/>
  <c r="M29" i="67"/>
  <c r="B11" i="76"/>
  <c r="M22" i="67"/>
  <c r="AO12" i="1"/>
  <c r="F35" i="67"/>
  <c r="F7" i="73"/>
  <c r="M27" i="15"/>
  <c r="D6" i="73"/>
  <c r="C76" i="15"/>
  <c r="D2" i="21"/>
  <c r="F41" i="67"/>
  <c r="AO13" i="1"/>
  <c r="D2" i="35"/>
  <c r="D2" i="37"/>
  <c r="G63" i="40"/>
  <c r="F65" i="40"/>
  <c r="C65" i="40"/>
  <c r="H83" i="43"/>
  <c r="H82" i="43"/>
  <c r="H81" i="43"/>
  <c r="H88" i="43"/>
  <c r="H86" i="43"/>
  <c r="H87" i="43"/>
  <c r="H85" i="43"/>
  <c r="H84" i="43"/>
  <c r="C12" i="43"/>
  <c r="E11" i="43"/>
  <c r="E9" i="43"/>
  <c r="E10" i="43"/>
  <c r="E8" i="43"/>
  <c r="G17" i="43"/>
  <c r="C16" i="43"/>
  <c r="C5" i="43"/>
  <c r="P61" i="15"/>
  <c r="C29" i="39"/>
  <c r="B66" i="43"/>
  <c r="C92" i="9"/>
  <c r="C94" i="9"/>
  <c r="D68" i="9"/>
  <c r="F31" i="12"/>
  <c r="C31" i="12"/>
  <c r="M18" i="67"/>
  <c r="F30" i="68"/>
  <c r="F48" i="68"/>
  <c r="C77" i="9"/>
  <c r="C74" i="9"/>
  <c r="C13" i="12"/>
  <c r="F54" i="9"/>
  <c r="M18" i="15"/>
  <c r="F60" i="15"/>
  <c r="F30" i="69"/>
  <c r="F32" i="67"/>
  <c r="F60" i="67"/>
  <c r="F52" i="9"/>
  <c r="F28" i="67"/>
  <c r="C28" i="67"/>
  <c r="F30" i="11"/>
  <c r="F53" i="9"/>
  <c r="C21" i="69"/>
  <c r="T7" i="1"/>
  <c r="L105" i="43"/>
  <c r="T9" i="1"/>
  <c r="E59" i="40"/>
  <c r="E15"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53" i="3"/>
  <c r="E175" i="3"/>
  <c r="E319" i="3"/>
  <c r="E530" i="3"/>
  <c r="E501" i="3"/>
  <c r="E343" i="3"/>
  <c r="E153" i="3"/>
  <c r="E305" i="3"/>
  <c r="E426" i="3"/>
  <c r="E508" i="3"/>
  <c r="E328"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L103" i="43"/>
  <c r="L107" i="43"/>
  <c r="L106" i="43"/>
  <c r="D9" i="11"/>
  <c r="C9" i="11"/>
  <c r="D19" i="12"/>
  <c r="C19" i="12"/>
  <c r="AQ11" i="1"/>
  <c r="T11" i="1"/>
  <c r="AR11" i="1"/>
  <c r="AR13" i="1"/>
  <c r="T13" i="1"/>
  <c r="AY6" i="3"/>
  <c r="T10" i="1"/>
  <c r="T12" i="1"/>
  <c r="E29" i="6"/>
  <c r="K15" i="1"/>
  <c r="F30" i="6"/>
  <c r="Q16" i="1"/>
  <c r="F31" i="6"/>
  <c r="G30" i="6"/>
  <c r="G31" i="6"/>
  <c r="O8" i="1"/>
  <c r="P8" i="1"/>
  <c r="H107" i="43"/>
  <c r="H106" i="43"/>
  <c r="H105" i="43"/>
  <c r="C104" i="43"/>
  <c r="C106" i="43"/>
  <c r="C105" i="43"/>
  <c r="C102" i="43"/>
  <c r="C109" i="43"/>
  <c r="B115" i="43"/>
  <c r="D117" i="43"/>
  <c r="E117" i="43"/>
  <c r="F117" i="43"/>
  <c r="G117" i="43"/>
  <c r="H117" i="43"/>
  <c r="I118" i="43"/>
  <c r="J118" i="43"/>
  <c r="K118" i="43"/>
  <c r="L118" i="43"/>
  <c r="M118" i="43"/>
  <c r="D118" i="43"/>
  <c r="E118" i="43"/>
  <c r="F118" i="43"/>
  <c r="D115" i="43"/>
  <c r="E115" i="43"/>
  <c r="F115" i="43"/>
  <c r="G115" i="43"/>
  <c r="H115" i="43"/>
  <c r="F22" i="43"/>
  <c r="K101" i="43"/>
  <c r="F101" i="43"/>
  <c r="N101" i="43"/>
  <c r="E22" i="43"/>
  <c r="H22" i="43"/>
  <c r="D101" i="43"/>
  <c r="M101" i="43"/>
  <c r="I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H104" i="43"/>
  <c r="H102" i="43"/>
  <c r="I116" i="43"/>
  <c r="J116" i="43"/>
  <c r="K116" i="43"/>
  <c r="L116" i="43"/>
  <c r="M116" i="43"/>
  <c r="B118" i="43"/>
  <c r="C118" i="43"/>
  <c r="G118" i="43"/>
  <c r="H118" i="43"/>
  <c r="D116" i="43"/>
  <c r="E116" i="43"/>
  <c r="F116" i="43"/>
  <c r="G116" i="43"/>
  <c r="H116" i="43"/>
  <c r="C103" i="43"/>
  <c r="I115" i="43"/>
  <c r="J115" i="43"/>
  <c r="K115" i="43"/>
  <c r="L115" i="43"/>
  <c r="M115" i="43"/>
  <c r="J101" i="43"/>
  <c r="G101" i="43"/>
  <c r="D12" i="52"/>
  <c r="D127" i="9"/>
  <c r="D13" i="52"/>
  <c r="F59" i="34"/>
  <c r="G59" i="34"/>
  <c r="H59" i="34"/>
  <c r="I59" i="34"/>
  <c r="J59" i="34"/>
  <c r="K59" i="34"/>
  <c r="L59" i="34"/>
  <c r="M59" i="34"/>
  <c r="N59" i="34"/>
  <c r="O59" i="34"/>
  <c r="J7" i="34"/>
  <c r="D46" i="36"/>
  <c r="F7" i="21"/>
  <c r="J7" i="21"/>
  <c r="H7" i="21"/>
  <c r="D48" i="35"/>
  <c r="D52" i="37"/>
  <c r="F31" i="67"/>
  <c r="F31" i="15"/>
  <c r="K4" i="4"/>
  <c r="B46" i="48"/>
  <c r="B4" i="72"/>
  <c r="B4" i="62"/>
  <c r="B71" i="72"/>
  <c r="D9" i="53"/>
  <c r="B25" i="72"/>
  <c r="B24" i="72"/>
  <c r="K120" i="9"/>
  <c r="A18" i="62"/>
  <c r="B64" i="72"/>
  <c r="D8" i="71"/>
  <c r="C7" i="71"/>
  <c r="Y9" i="71"/>
  <c r="Z9" i="71"/>
  <c r="Y8" i="71"/>
  <c r="AA9" i="71"/>
  <c r="AB3" i="71"/>
  <c r="B9" i="71"/>
  <c r="B8" i="71"/>
  <c r="B7" i="71"/>
  <c r="B6" i="71"/>
  <c r="B5" i="71"/>
  <c r="X9" i="71"/>
  <c r="AB9" i="71"/>
  <c r="Z8" i="71"/>
  <c r="Y3" i="71"/>
  <c r="Z3" i="71"/>
  <c r="D9" i="71"/>
  <c r="F9" i="71"/>
  <c r="F8" i="71"/>
  <c r="F7" i="71"/>
  <c r="F6" i="71"/>
  <c r="F5" i="71"/>
  <c r="AF3" i="71"/>
  <c r="P22" i="43"/>
  <c r="C36" i="68"/>
  <c r="C6" i="67"/>
  <c r="B10" i="70"/>
  <c r="Q71" i="15"/>
  <c r="L56" i="15"/>
  <c r="Q50" i="15"/>
  <c r="I54" i="15"/>
  <c r="K1" i="73"/>
  <c r="B20" i="31"/>
  <c r="B21" i="31"/>
  <c r="F51" i="67"/>
  <c r="F65" i="67"/>
  <c r="J20" i="67"/>
  <c r="B12" i="70"/>
  <c r="J53" i="67"/>
  <c r="J57" i="67"/>
  <c r="J55" i="67"/>
  <c r="J58" i="67"/>
  <c r="Q50" i="67"/>
  <c r="L56" i="67"/>
  <c r="I54" i="67"/>
  <c r="F50" i="15"/>
  <c r="F51" i="15"/>
  <c r="F71" i="15"/>
  <c r="B7" i="70"/>
  <c r="F69" i="67"/>
  <c r="E20" i="43"/>
  <c r="F66" i="67"/>
  <c r="B11" i="70"/>
  <c r="L59" i="15"/>
  <c r="N59" i="15"/>
  <c r="L58" i="15"/>
  <c r="M59" i="15"/>
  <c r="B8" i="70"/>
  <c r="F66" i="15"/>
  <c r="Q71" i="67"/>
  <c r="F64" i="15"/>
  <c r="F70" i="67"/>
  <c r="C27" i="67"/>
  <c r="F71" i="67"/>
  <c r="F65" i="15"/>
  <c r="B9" i="70"/>
  <c r="N59" i="67"/>
  <c r="L59" i="67"/>
  <c r="L58" i="67"/>
  <c r="M59" i="67"/>
  <c r="B13" i="70"/>
  <c r="M7" i="67"/>
  <c r="J6" i="67"/>
  <c r="F50" i="67"/>
  <c r="F63" i="67"/>
  <c r="C62" i="67"/>
  <c r="C34" i="67"/>
  <c r="F68" i="67"/>
  <c r="F64" i="67"/>
  <c r="F68" i="15"/>
  <c r="C17" i="67"/>
  <c r="T6" i="1"/>
  <c r="C16" i="67"/>
  <c r="C14" i="67"/>
  <c r="C19" i="43"/>
  <c r="H63" i="40"/>
  <c r="G65" i="40"/>
  <c r="F59" i="67"/>
  <c r="D5" i="43"/>
  <c r="C48" i="68"/>
  <c r="C30" i="68"/>
  <c r="C48" i="11"/>
  <c r="C30" i="11"/>
  <c r="F48" i="69"/>
  <c r="C48" i="69"/>
  <c r="C30" i="69"/>
  <c r="D22" i="43"/>
  <c r="E60" i="40"/>
  <c r="E16" i="6"/>
  <c r="E65" i="39"/>
  <c r="E66" i="39"/>
  <c r="AY83" i="3"/>
  <c r="AY66" i="3"/>
  <c r="AY23" i="3"/>
  <c r="AY176" i="3"/>
  <c r="AY155" i="3"/>
  <c r="AY115" i="3"/>
  <c r="AY59" i="3"/>
  <c r="AY188" i="3"/>
  <c r="AY131" i="3"/>
  <c r="AY276" i="3"/>
  <c r="AY58" i="3"/>
  <c r="AY297" i="3"/>
  <c r="AY268" i="3"/>
  <c r="AY225" i="3"/>
  <c r="AY371" i="3"/>
  <c r="AY335" i="3"/>
  <c r="AY318" i="3"/>
  <c r="AY470" i="3"/>
  <c r="AY428" i="3"/>
  <c r="AY409" i="3"/>
  <c r="AY106" i="3"/>
  <c r="AY180" i="3"/>
  <c r="AY87" i="3"/>
  <c r="AY51" i="3"/>
  <c r="AY34" i="3"/>
  <c r="AY207" i="3"/>
  <c r="AY144" i="3"/>
  <c r="AY124" i="3"/>
  <c r="AY95" i="3"/>
  <c r="AY42" i="3"/>
  <c r="AY152" i="3"/>
  <c r="AY281" i="3"/>
  <c r="AY111" i="3"/>
  <c r="AY168" i="3"/>
  <c r="AY253" i="3"/>
  <c r="AY236" i="3"/>
  <c r="AY382" i="3"/>
  <c r="AY366" i="3"/>
  <c r="AY303" i="3"/>
  <c r="AY473" i="3"/>
  <c r="AY460" i="3"/>
  <c r="AY441" i="3"/>
  <c r="AY529" i="3"/>
  <c r="AY26" i="3"/>
  <c r="AC6" i="3"/>
  <c r="H6"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98" i="3"/>
  <c r="AY18" i="3"/>
  <c r="AY171" i="3"/>
  <c r="AY90" i="3"/>
  <c r="AY163" i="3"/>
  <c r="AY75" i="3"/>
  <c r="AY237" i="3"/>
  <c r="AY387" i="3"/>
  <c r="AY334" i="3"/>
  <c r="AY444" i="3"/>
  <c r="AY5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AY191" i="3"/>
  <c r="AY31" i="3"/>
  <c r="AY147" i="3"/>
  <c r="AY350" i="3"/>
  <c r="AY425" i="3"/>
  <c r="AY245" i="3"/>
  <c r="AY395" i="3"/>
  <c r="AY342" i="3"/>
  <c r="AY452" i="3"/>
  <c r="AY513" i="3"/>
  <c r="AY569" i="3"/>
  <c r="AY553" i="3"/>
  <c r="AY77" i="3"/>
  <c r="AY60" i="3"/>
  <c r="AY206" i="3"/>
  <c r="AY170"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AY82" i="3"/>
  <c r="AY132" i="3"/>
  <c r="AY292" i="3"/>
  <c r="AY220" i="3"/>
  <c r="AY486" i="3"/>
  <c r="AY199" i="3"/>
  <c r="AY228" i="3"/>
  <c r="AY358" i="3"/>
  <c r="AY465" i="3"/>
  <c r="AY433" i="3"/>
  <c r="BK6" i="3"/>
  <c r="AY541" i="3"/>
  <c r="AY108" i="3"/>
  <c r="AY45" i="3"/>
  <c r="AY28" i="3"/>
  <c r="AY201" i="3"/>
  <c r="AY138"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AY15" i="3"/>
  <c r="AY566" i="3"/>
  <c r="AY583" i="3"/>
  <c r="BT6" i="3"/>
  <c r="AY567"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BC6" i="3"/>
  <c r="AY511" i="3"/>
  <c r="AY504" i="3"/>
  <c r="AY586" i="3"/>
  <c r="AY498" i="3"/>
  <c r="F27" i="69"/>
  <c r="F27" i="68"/>
  <c r="F28" i="12"/>
  <c r="C29" i="12"/>
  <c r="D28" i="12"/>
  <c r="F27" i="11"/>
  <c r="D3" i="34"/>
  <c r="E6" i="6"/>
  <c r="D14" i="12"/>
  <c r="D37" i="11"/>
  <c r="C37" i="11"/>
  <c r="M18" i="9"/>
  <c r="B118" i="9"/>
  <c r="B14" i="74"/>
  <c r="B1" i="74"/>
  <c r="D3" i="33"/>
  <c r="E30" i="6"/>
  <c r="E31" i="6"/>
  <c r="K24" i="6"/>
  <c r="M24" i="6"/>
  <c r="I24" i="6"/>
  <c r="K14" i="1"/>
  <c r="K26" i="6"/>
  <c r="M26" i="6"/>
  <c r="I26" i="6"/>
  <c r="K21" i="6"/>
  <c r="M21" i="6"/>
  <c r="I21" i="6"/>
  <c r="K22" i="6"/>
  <c r="M22" i="6"/>
  <c r="I22" i="6"/>
  <c r="D28" i="6"/>
  <c r="K25" i="6"/>
  <c r="M25" i="6"/>
  <c r="I25" i="6"/>
  <c r="K23" i="6"/>
  <c r="M23" i="6"/>
  <c r="I23" i="6"/>
  <c r="G105" i="43"/>
  <c r="G102" i="43"/>
  <c r="G103" i="43"/>
  <c r="G109" i="43"/>
  <c r="G107" i="43"/>
  <c r="G104" i="43"/>
  <c r="G106" i="43"/>
  <c r="E104" i="43"/>
  <c r="E107" i="43"/>
  <c r="E105" i="43"/>
  <c r="E102" i="43"/>
  <c r="D102" i="43"/>
  <c r="F102" i="43"/>
  <c r="I102" i="43"/>
  <c r="J102" i="43"/>
  <c r="K102" i="43"/>
  <c r="M102" i="43"/>
  <c r="N102" i="43"/>
  <c r="D103" i="43"/>
  <c r="E103" i="43"/>
  <c r="F103" i="43"/>
  <c r="I103" i="43"/>
  <c r="J103" i="43"/>
  <c r="K103" i="43"/>
  <c r="M103" i="43"/>
  <c r="N103" i="43"/>
  <c r="D104" i="43"/>
  <c r="F104" i="43"/>
  <c r="I104" i="43"/>
  <c r="J104" i="43"/>
  <c r="K104" i="43"/>
  <c r="M104" i="43"/>
  <c r="N104" i="43"/>
  <c r="D105" i="43"/>
  <c r="F105" i="43"/>
  <c r="I105" i="43"/>
  <c r="J105" i="43"/>
  <c r="K105" i="43"/>
  <c r="M105" i="43"/>
  <c r="N105" i="43"/>
  <c r="D106" i="43"/>
  <c r="E106" i="43"/>
  <c r="F106" i="43"/>
  <c r="I106" i="43"/>
  <c r="J106" i="43"/>
  <c r="K106" i="43"/>
  <c r="M106" i="43"/>
  <c r="N106" i="43"/>
  <c r="D107" i="43"/>
  <c r="F107" i="43"/>
  <c r="I107" i="43"/>
  <c r="J107" i="43"/>
  <c r="K107" i="43"/>
  <c r="M107" i="43"/>
  <c r="N107" i="43"/>
  <c r="S6" i="43"/>
  <c r="E109" i="43"/>
  <c r="M109" i="43"/>
  <c r="J109" i="43"/>
  <c r="I109" i="43"/>
  <c r="D109" i="43"/>
  <c r="S3" i="43"/>
  <c r="F109" i="43"/>
  <c r="N109" i="43"/>
  <c r="K109" i="43"/>
  <c r="C115" i="43"/>
  <c r="D113" i="43"/>
  <c r="S5" i="43"/>
  <c r="W7" i="33"/>
  <c r="I48" i="33"/>
  <c r="E48" i="35"/>
  <c r="S7" i="21"/>
  <c r="AA7" i="21"/>
  <c r="R48" i="21"/>
  <c r="E46" i="36"/>
  <c r="F46" i="36"/>
  <c r="G46" i="36"/>
  <c r="H46" i="36"/>
  <c r="I46" i="36"/>
  <c r="J46" i="36"/>
  <c r="K46" i="36"/>
  <c r="L46" i="36"/>
  <c r="M46" i="36"/>
  <c r="N46" i="36"/>
  <c r="O46" i="36"/>
  <c r="J7" i="36"/>
  <c r="F7" i="36"/>
  <c r="U7" i="33"/>
  <c r="G48" i="33"/>
  <c r="U7" i="21"/>
  <c r="AB7" i="21"/>
  <c r="T48" i="21"/>
  <c r="G48" i="21"/>
  <c r="W7" i="34"/>
  <c r="AC7" i="34"/>
  <c r="V49" i="34"/>
  <c r="I49" i="34"/>
  <c r="E52" i="37"/>
  <c r="AC7" i="21"/>
  <c r="V48" i="21"/>
  <c r="I48" i="21"/>
  <c r="W7" i="21"/>
  <c r="H7" i="36"/>
  <c r="H7" i="34"/>
  <c r="F7" i="34"/>
  <c r="D7" i="71"/>
  <c r="C6" i="71"/>
  <c r="M17" i="67"/>
  <c r="M17" i="15"/>
  <c r="F59" i="15"/>
  <c r="P24" i="43"/>
  <c r="B66" i="40"/>
  <c r="P21" i="43"/>
  <c r="C49" i="67"/>
  <c r="P25" i="43"/>
  <c r="C49" i="15"/>
  <c r="C15" i="67"/>
  <c r="C18" i="67"/>
  <c r="J18" i="15"/>
  <c r="C32" i="67"/>
  <c r="Q60" i="67"/>
  <c r="Q73" i="67"/>
  <c r="M28" i="43"/>
  <c r="N28" i="43"/>
  <c r="O28" i="43"/>
  <c r="P28" i="43"/>
  <c r="G20" i="43"/>
  <c r="M11" i="67"/>
  <c r="J10" i="67"/>
  <c r="J5" i="67"/>
  <c r="F11" i="67"/>
  <c r="Q52" i="15"/>
  <c r="J18" i="67"/>
  <c r="F1" i="67"/>
  <c r="Q52" i="67"/>
  <c r="Q60" i="15"/>
  <c r="Q73" i="15"/>
  <c r="Q61" i="67"/>
  <c r="Q74" i="67"/>
  <c r="Q74" i="15"/>
  <c r="Q61" i="15"/>
  <c r="AE6" i="1"/>
  <c r="I63" i="40"/>
  <c r="H65" i="40"/>
  <c r="E41" i="43"/>
  <c r="C41" i="43"/>
  <c r="C20" i="43"/>
  <c r="S2" i="43"/>
  <c r="AQ6" i="1"/>
  <c r="S16" i="1"/>
  <c r="AR6" i="1"/>
  <c r="S4" i="43"/>
  <c r="C23" i="43"/>
  <c r="C21" i="43"/>
  <c r="S7" i="43"/>
  <c r="D19" i="11"/>
  <c r="C19" i="11"/>
  <c r="C20" i="11"/>
  <c r="C28" i="11"/>
  <c r="C27" i="11"/>
  <c r="L18" i="9"/>
  <c r="D3" i="21"/>
  <c r="C17" i="4"/>
  <c r="B4" i="52"/>
  <c r="B43" i="72"/>
  <c r="D3" i="37"/>
  <c r="E6" i="3"/>
  <c r="D10" i="11"/>
  <c r="C10" i="11"/>
  <c r="D20" i="12"/>
  <c r="C20" i="12"/>
  <c r="C18" i="12"/>
  <c r="D10" i="69"/>
  <c r="D10" i="68"/>
  <c r="C47" i="11"/>
  <c r="D45" i="11"/>
  <c r="C29" i="11"/>
  <c r="D27" i="11"/>
  <c r="C29" i="68"/>
  <c r="D27" i="68"/>
  <c r="F45" i="68"/>
  <c r="C47" i="68"/>
  <c r="D45" i="68"/>
  <c r="D19" i="6"/>
  <c r="D26" i="6"/>
  <c r="C18" i="4"/>
  <c r="D8" i="6"/>
  <c r="D23" i="6"/>
  <c r="D14" i="6"/>
  <c r="M19" i="9"/>
  <c r="C118" i="9"/>
  <c r="C14" i="74"/>
  <c r="B2" i="74"/>
  <c r="D25" i="6"/>
  <c r="D15" i="6"/>
  <c r="D22" i="6"/>
  <c r="D21" i="6"/>
  <c r="D24" i="6"/>
  <c r="D5" i="6"/>
  <c r="D12" i="6"/>
  <c r="D11" i="6"/>
  <c r="D13" i="6"/>
  <c r="D29" i="6"/>
  <c r="D30" i="6"/>
  <c r="D6" i="6"/>
  <c r="D9" i="6"/>
  <c r="D10" i="6"/>
  <c r="L19" i="9"/>
  <c r="E61" i="40"/>
  <c r="C8" i="74"/>
  <c r="C7" i="74"/>
  <c r="D17" i="12"/>
  <c r="C17" i="12"/>
  <c r="C14" i="12"/>
  <c r="C47" i="69"/>
  <c r="D45" i="69"/>
  <c r="F45" i="69"/>
  <c r="C29" i="69"/>
  <c r="D27" i="69"/>
  <c r="S23" i="6"/>
  <c r="H23" i="6"/>
  <c r="S22" i="6"/>
  <c r="H22" i="6"/>
  <c r="R22" i="6"/>
  <c r="S26" i="6"/>
  <c r="H26" i="6"/>
  <c r="R26" i="6"/>
  <c r="S24" i="6"/>
  <c r="H24" i="6"/>
  <c r="R24" i="6"/>
  <c r="S25" i="6"/>
  <c r="H25" i="6"/>
  <c r="R25" i="6"/>
  <c r="M19" i="6"/>
  <c r="K27" i="6"/>
  <c r="H21" i="6"/>
  <c r="S21" i="6"/>
  <c r="M14" i="1"/>
  <c r="C34" i="69"/>
  <c r="K16" i="1"/>
  <c r="S20" i="6"/>
  <c r="U7" i="34"/>
  <c r="AB7" i="34"/>
  <c r="T49" i="34"/>
  <c r="G49" i="34"/>
  <c r="F52" i="37"/>
  <c r="W7" i="36"/>
  <c r="AC7" i="36"/>
  <c r="V36" i="36"/>
  <c r="I36" i="36"/>
  <c r="R49" i="21"/>
  <c r="E48" i="21"/>
  <c r="I53" i="21"/>
  <c r="J53" i="21"/>
  <c r="I52" i="33"/>
  <c r="J52" i="33"/>
  <c r="AA7" i="34"/>
  <c r="R49" i="34"/>
  <c r="S7" i="34"/>
  <c r="U7" i="36"/>
  <c r="AB7" i="36"/>
  <c r="T36" i="36"/>
  <c r="G36" i="36"/>
  <c r="I52" i="21"/>
  <c r="J52" i="21"/>
  <c r="S7" i="33"/>
  <c r="I53" i="34"/>
  <c r="J53" i="34"/>
  <c r="G52" i="21"/>
  <c r="H52" i="21"/>
  <c r="G53" i="21"/>
  <c r="H53" i="21"/>
  <c r="G52" i="33"/>
  <c r="H52" i="33"/>
  <c r="G53" i="33"/>
  <c r="H53" i="33"/>
  <c r="AA7" i="36"/>
  <c r="R36" i="36"/>
  <c r="S7" i="36"/>
  <c r="F48" i="35"/>
  <c r="D6" i="71"/>
  <c r="C5" i="71"/>
  <c r="C19" i="67"/>
  <c r="C20" i="67"/>
  <c r="C26" i="67"/>
  <c r="J26" i="67"/>
  <c r="J29" i="67"/>
  <c r="J24" i="67"/>
  <c r="J24" i="15"/>
  <c r="C53" i="67"/>
  <c r="C48" i="67"/>
  <c r="C10" i="67"/>
  <c r="C5" i="67"/>
  <c r="C53" i="15"/>
  <c r="C48" i="15"/>
  <c r="F25" i="12"/>
  <c r="F22" i="69"/>
  <c r="F41" i="69"/>
  <c r="F24" i="67"/>
  <c r="C24" i="67"/>
  <c r="F22" i="11"/>
  <c r="F22" i="68"/>
  <c r="I65" i="40"/>
  <c r="J63" i="40"/>
  <c r="F69" i="15"/>
  <c r="C29" i="43"/>
  <c r="C30" i="43"/>
  <c r="E30" i="43"/>
  <c r="T2" i="43"/>
  <c r="V2" i="43"/>
  <c r="T7" i="43"/>
  <c r="V7" i="43"/>
  <c r="T4" i="43"/>
  <c r="V4" i="43"/>
  <c r="T11" i="43"/>
  <c r="V11" i="43"/>
  <c r="C35" i="43"/>
  <c r="T9" i="43"/>
  <c r="V9" i="43"/>
  <c r="C37" i="43"/>
  <c r="T15" i="43"/>
  <c r="V15" i="43"/>
  <c r="T10" i="43"/>
  <c r="V10" i="43"/>
  <c r="T16" i="43"/>
  <c r="V16" i="43"/>
  <c r="T8" i="43"/>
  <c r="V8" i="43"/>
  <c r="T14" i="43"/>
  <c r="V14" i="43"/>
  <c r="T12" i="43"/>
  <c r="V12" i="43"/>
  <c r="C36" i="43"/>
  <c r="C34" i="43"/>
  <c r="C33" i="43"/>
  <c r="T13" i="43"/>
  <c r="V13" i="43"/>
  <c r="G6" i="1"/>
  <c r="H16" i="1"/>
  <c r="T3" i="43"/>
  <c r="V3" i="43"/>
  <c r="C39" i="43"/>
  <c r="C38" i="43"/>
  <c r="T6" i="43"/>
  <c r="V6" i="43"/>
  <c r="T5" i="43"/>
  <c r="V5" i="43"/>
  <c r="D27" i="6"/>
  <c r="D31" i="6"/>
  <c r="I5" i="6"/>
  <c r="D16" i="6"/>
  <c r="I6" i="6"/>
  <c r="R21" i="6"/>
  <c r="R23" i="6"/>
  <c r="C10" i="69"/>
  <c r="C8" i="69"/>
  <c r="C5" i="69"/>
  <c r="C23" i="69"/>
  <c r="D19" i="69"/>
  <c r="D8" i="74"/>
  <c r="D7" i="74"/>
  <c r="C4" i="52"/>
  <c r="B45" i="72"/>
  <c r="A7" i="51"/>
  <c r="B7" i="72"/>
  <c r="A10" i="51"/>
  <c r="B9" i="72"/>
  <c r="C10" i="68"/>
  <c r="D19" i="68"/>
  <c r="C35" i="69"/>
  <c r="C38" i="69"/>
  <c r="O14" i="1"/>
  <c r="O16" i="1"/>
  <c r="M16" i="1"/>
  <c r="T16" i="1"/>
  <c r="I19" i="6"/>
  <c r="M27" i="6"/>
  <c r="G48" i="35"/>
  <c r="H48" i="35"/>
  <c r="I48" i="35"/>
  <c r="J48" i="35"/>
  <c r="K48" i="35"/>
  <c r="L48" i="35"/>
  <c r="M48" i="35"/>
  <c r="N48" i="35"/>
  <c r="O48" i="35"/>
  <c r="H7" i="35"/>
  <c r="J7" i="35"/>
  <c r="R37" i="36"/>
  <c r="E36" i="36"/>
  <c r="E48" i="33"/>
  <c r="R50" i="34"/>
  <c r="E49" i="34"/>
  <c r="C48" i="21"/>
  <c r="C49" i="21"/>
  <c r="B2" i="21"/>
  <c r="B3" i="21"/>
  <c r="G53" i="34"/>
  <c r="H53" i="34"/>
  <c r="G54" i="34"/>
  <c r="H54" i="34"/>
  <c r="F7" i="35"/>
  <c r="G40" i="36"/>
  <c r="H40" i="36"/>
  <c r="G41" i="36"/>
  <c r="H41" i="36"/>
  <c r="E52" i="21"/>
  <c r="F52" i="21"/>
  <c r="E53" i="21"/>
  <c r="F53" i="21"/>
  <c r="I41" i="36"/>
  <c r="J41" i="36"/>
  <c r="I40" i="36"/>
  <c r="J40" i="36"/>
  <c r="G52" i="37"/>
  <c r="D5" i="71"/>
  <c r="M20" i="43"/>
  <c r="F41" i="68"/>
  <c r="C60" i="15"/>
  <c r="C66" i="15"/>
  <c r="C26" i="69"/>
  <c r="D22" i="69"/>
  <c r="C44" i="69"/>
  <c r="D41" i="69"/>
  <c r="C44" i="68"/>
  <c r="D41" i="68"/>
  <c r="C26" i="68"/>
  <c r="D22" i="68"/>
  <c r="C26" i="12"/>
  <c r="D25" i="12"/>
  <c r="C44" i="11"/>
  <c r="D41" i="11"/>
  <c r="C23" i="11"/>
  <c r="C24" i="11"/>
  <c r="C25" i="11"/>
  <c r="C26" i="11"/>
  <c r="D22" i="11"/>
  <c r="C38" i="67"/>
  <c r="C66" i="67"/>
  <c r="C60" i="67"/>
  <c r="C23" i="67"/>
  <c r="C29" i="67"/>
  <c r="K63" i="40"/>
  <c r="J65" i="40"/>
  <c r="E29" i="43"/>
  <c r="E39" i="43"/>
  <c r="G39" i="43"/>
  <c r="I39" i="43"/>
  <c r="E34" i="43"/>
  <c r="G34" i="43"/>
  <c r="I34" i="43"/>
  <c r="E37" i="43"/>
  <c r="G37" i="43"/>
  <c r="I37" i="43"/>
  <c r="E35" i="43"/>
  <c r="G35" i="43"/>
  <c r="I35" i="43"/>
  <c r="G38" i="43"/>
  <c r="I38" i="43"/>
  <c r="E38" i="43"/>
  <c r="E33" i="43"/>
  <c r="G33" i="43"/>
  <c r="I33" i="43"/>
  <c r="E36" i="43"/>
  <c r="G36" i="43"/>
  <c r="I36" i="43"/>
  <c r="C19" i="69"/>
  <c r="C24" i="69"/>
  <c r="D37" i="69"/>
  <c r="C37" i="69"/>
  <c r="C33" i="69"/>
  <c r="C19" i="68"/>
  <c r="D37" i="68"/>
  <c r="C37" i="68"/>
  <c r="S19" i="6"/>
  <c r="S27" i="6"/>
  <c r="I27" i="6"/>
  <c r="H19" i="6"/>
  <c r="L16" i="1"/>
  <c r="N16" i="1"/>
  <c r="C34" i="11"/>
  <c r="C34" i="68"/>
  <c r="P14" i="1"/>
  <c r="P16" i="1"/>
  <c r="C11" i="12"/>
  <c r="AA7" i="35"/>
  <c r="R38" i="35"/>
  <c r="S7" i="35"/>
  <c r="C50" i="34"/>
  <c r="B2" i="34"/>
  <c r="B3" i="34"/>
  <c r="C49" i="34"/>
  <c r="B2" i="33"/>
  <c r="C48" i="33"/>
  <c r="C37" i="36"/>
  <c r="B2" i="36"/>
  <c r="B3" i="36"/>
  <c r="C36" i="36"/>
  <c r="AB7" i="35"/>
  <c r="T38" i="35"/>
  <c r="G38" i="35"/>
  <c r="U7" i="35"/>
  <c r="H52" i="37"/>
  <c r="E54" i="34"/>
  <c r="F54" i="34"/>
  <c r="E53" i="34"/>
  <c r="F53" i="34"/>
  <c r="I54" i="34"/>
  <c r="J54" i="34"/>
  <c r="E53" i="33"/>
  <c r="F53" i="33"/>
  <c r="E52" i="33"/>
  <c r="F52" i="33"/>
  <c r="I53" i="33"/>
  <c r="J53" i="33"/>
  <c r="E40" i="36"/>
  <c r="F40" i="36"/>
  <c r="E41" i="36"/>
  <c r="F41" i="36"/>
  <c r="AC7" i="35"/>
  <c r="V38" i="35"/>
  <c r="I38" i="35"/>
  <c r="W7" i="35"/>
  <c r="J14" i="15"/>
  <c r="C57" i="15"/>
  <c r="Q49" i="15"/>
  <c r="J19" i="15"/>
  <c r="C22" i="11"/>
  <c r="C31" i="11"/>
  <c r="C36" i="67"/>
  <c r="C33" i="67"/>
  <c r="C31" i="67"/>
  <c r="J14" i="67"/>
  <c r="C13" i="67"/>
  <c r="J19" i="67"/>
  <c r="J17" i="67"/>
  <c r="C57" i="67"/>
  <c r="Q49" i="67"/>
  <c r="J59" i="67"/>
  <c r="J60" i="67"/>
  <c r="L63" i="40"/>
  <c r="K65" i="40"/>
  <c r="C27" i="43"/>
  <c r="C26" i="43"/>
  <c r="B2" i="43"/>
  <c r="C20" i="69"/>
  <c r="C25" i="69"/>
  <c r="C22" i="69"/>
  <c r="C39" i="69"/>
  <c r="C43" i="69"/>
  <c r="C42" i="69"/>
  <c r="C24" i="68"/>
  <c r="C15" i="12"/>
  <c r="C12" i="12"/>
  <c r="C38" i="68"/>
  <c r="C35" i="68"/>
  <c r="F50" i="69"/>
  <c r="F50" i="11"/>
  <c r="F50" i="68"/>
  <c r="H27" i="6"/>
  <c r="R19" i="6"/>
  <c r="C38" i="11"/>
  <c r="C35" i="11"/>
  <c r="I42" i="35"/>
  <c r="J42" i="35"/>
  <c r="I52" i="37"/>
  <c r="G42" i="35"/>
  <c r="H42" i="35"/>
  <c r="G43" i="35"/>
  <c r="H43" i="35"/>
  <c r="R39" i="35"/>
  <c r="E38" i="35"/>
  <c r="I43" i="35"/>
  <c r="J43" i="35"/>
  <c r="Q48" i="15"/>
  <c r="J13" i="67"/>
  <c r="J23" i="67"/>
  <c r="J22" i="67"/>
  <c r="C61" i="67"/>
  <c r="C59" i="67"/>
  <c r="C64" i="67"/>
  <c r="C64" i="15"/>
  <c r="C61" i="15"/>
  <c r="Q48" i="67"/>
  <c r="L46" i="67"/>
  <c r="C56" i="67"/>
  <c r="C65" i="67"/>
  <c r="C75" i="67"/>
  <c r="Q70" i="67"/>
  <c r="C37" i="67"/>
  <c r="C30" i="67"/>
  <c r="C39" i="67"/>
  <c r="C56" i="15"/>
  <c r="C65" i="15"/>
  <c r="Q70" i="15"/>
  <c r="C75" i="15"/>
  <c r="J22" i="15"/>
  <c r="J13" i="15"/>
  <c r="J23" i="15"/>
  <c r="B6" i="76"/>
  <c r="E6" i="76"/>
  <c r="L51" i="67"/>
  <c r="M63" i="40"/>
  <c r="L65" i="40"/>
  <c r="E2" i="76"/>
  <c r="C28" i="69"/>
  <c r="C27" i="69"/>
  <c r="C31" i="69"/>
  <c r="B2" i="76"/>
  <c r="B3" i="43"/>
  <c r="C41" i="69"/>
  <c r="R27" i="6"/>
  <c r="R6" i="1"/>
  <c r="C46" i="69"/>
  <c r="C45" i="69"/>
  <c r="C33" i="68"/>
  <c r="C42" i="68"/>
  <c r="C16" i="12"/>
  <c r="C21" i="12"/>
  <c r="C22" i="12"/>
  <c r="C33" i="11"/>
  <c r="C39" i="11"/>
  <c r="C39" i="68"/>
  <c r="E43" i="35"/>
  <c r="F43" i="35"/>
  <c r="E42" i="35"/>
  <c r="F42" i="35"/>
  <c r="C39" i="35"/>
  <c r="B2" i="35"/>
  <c r="B3" i="35"/>
  <c r="C38" i="35"/>
  <c r="J52" i="37"/>
  <c r="J16" i="67"/>
  <c r="J25" i="67"/>
  <c r="C80" i="67"/>
  <c r="C79" i="67"/>
  <c r="C58" i="67"/>
  <c r="C67" i="67"/>
  <c r="C68" i="67"/>
  <c r="Q69" i="67"/>
  <c r="Q68" i="67"/>
  <c r="C40" i="67"/>
  <c r="M21" i="15"/>
  <c r="M65" i="40"/>
  <c r="N63" i="40"/>
  <c r="B3" i="76"/>
  <c r="J20" i="15"/>
  <c r="J17" i="15"/>
  <c r="J16" i="15"/>
  <c r="J25" i="15"/>
  <c r="F63" i="15"/>
  <c r="C62" i="15"/>
  <c r="C59" i="15"/>
  <c r="C58" i="15"/>
  <c r="C67" i="15"/>
  <c r="C68" i="15"/>
  <c r="C71" i="15"/>
  <c r="R16" i="1"/>
  <c r="C49" i="69"/>
  <c r="C51" i="69"/>
  <c r="C52" i="69"/>
  <c r="B2" i="69"/>
  <c r="B3" i="69"/>
  <c r="C27" i="12"/>
  <c r="C25" i="12"/>
  <c r="C42" i="11"/>
  <c r="C30" i="12"/>
  <c r="C28" i="12"/>
  <c r="C46" i="68"/>
  <c r="C45" i="68"/>
  <c r="C43" i="68"/>
  <c r="C41" i="68"/>
  <c r="C46" i="11"/>
  <c r="C45" i="11"/>
  <c r="C43" i="11"/>
  <c r="K52" i="37"/>
  <c r="Q67" i="67"/>
  <c r="L57" i="67"/>
  <c r="L60" i="67"/>
  <c r="C45" i="67"/>
  <c r="C46" i="67"/>
  <c r="C71" i="67"/>
  <c r="C43" i="67"/>
  <c r="D2" i="67"/>
  <c r="Q47" i="67"/>
  <c r="Q53" i="67"/>
  <c r="Q56" i="67"/>
  <c r="Q65" i="67"/>
  <c r="C83" i="67"/>
  <c r="C82" i="67"/>
  <c r="L51" i="15"/>
  <c r="O63" i="40"/>
  <c r="O65" i="40"/>
  <c r="N65" i="40"/>
  <c r="F7" i="40"/>
  <c r="C57" i="69"/>
  <c r="C56" i="69"/>
  <c r="L57" i="15"/>
  <c r="L60" i="15"/>
  <c r="Q67" i="15"/>
  <c r="C80" i="15"/>
  <c r="C79" i="15"/>
  <c r="Q69" i="15"/>
  <c r="Q68" i="15"/>
  <c r="C49" i="68"/>
  <c r="C51" i="68"/>
  <c r="C41" i="11"/>
  <c r="C49" i="11"/>
  <c r="C51" i="11"/>
  <c r="C52" i="11"/>
  <c r="B2" i="11"/>
  <c r="B3" i="11"/>
  <c r="C32" i="12"/>
  <c r="B2" i="12"/>
  <c r="B3" i="12"/>
  <c r="L52" i="37"/>
  <c r="Q66" i="67"/>
  <c r="Q75" i="67"/>
  <c r="Q57" i="67"/>
  <c r="Q62" i="67"/>
  <c r="B2" i="67"/>
  <c r="B3" i="67"/>
  <c r="AA7" i="40"/>
  <c r="R42" i="40"/>
  <c r="S7" i="40"/>
  <c r="J7" i="40"/>
  <c r="H7" i="40"/>
  <c r="Q57" i="15"/>
  <c r="Q65" i="15"/>
  <c r="Q47" i="15"/>
  <c r="Q53" i="15"/>
  <c r="C46" i="15"/>
  <c r="Q56" i="15"/>
  <c r="C43" i="15"/>
  <c r="C83" i="15"/>
  <c r="C82" i="15"/>
  <c r="Q66" i="15"/>
  <c r="Q75" i="15"/>
  <c r="C56" i="11"/>
  <c r="C57" i="11"/>
  <c r="M52" i="37"/>
  <c r="N52" i="37"/>
  <c r="O52" i="37"/>
  <c r="AO6" i="1"/>
  <c r="B6" i="70"/>
  <c r="B2" i="70"/>
  <c r="D19" i="9"/>
  <c r="U7" i="40"/>
  <c r="AB7" i="40"/>
  <c r="T42" i="40"/>
  <c r="G42" i="40"/>
  <c r="AC7" i="40"/>
  <c r="V42" i="40"/>
  <c r="I42" i="40"/>
  <c r="W7" i="40"/>
  <c r="R43" i="40"/>
  <c r="E42" i="40"/>
  <c r="D102" i="9"/>
  <c r="D21" i="9"/>
  <c r="Q62" i="15"/>
  <c r="B3" i="70"/>
  <c r="B3" i="15"/>
  <c r="H7" i="37"/>
  <c r="F7" i="37"/>
  <c r="J7" i="37"/>
  <c r="D20" i="9"/>
  <c r="E46" i="40"/>
  <c r="F46" i="40"/>
  <c r="E47" i="40"/>
  <c r="F47" i="40"/>
  <c r="G47" i="40"/>
  <c r="H47" i="40"/>
  <c r="G46" i="40"/>
  <c r="H46" i="40"/>
  <c r="C42" i="40"/>
  <c r="C43" i="40"/>
  <c r="I46" i="40"/>
  <c r="J46" i="40"/>
  <c r="I47" i="40"/>
  <c r="J47" i="40"/>
  <c r="D103" i="9"/>
  <c r="W7" i="37"/>
  <c r="AC7" i="37"/>
  <c r="V42" i="37"/>
  <c r="I42" i="37"/>
  <c r="S7" i="37"/>
  <c r="AA7" i="37"/>
  <c r="R42" i="37"/>
  <c r="U7" i="37"/>
  <c r="AB7" i="37"/>
  <c r="T42" i="37"/>
  <c r="G42" i="37"/>
  <c r="B56" i="40"/>
  <c r="F56" i="40"/>
  <c r="B57" i="40"/>
  <c r="F57" i="40"/>
  <c r="F61" i="40"/>
  <c r="B2" i="40"/>
  <c r="B3" i="40"/>
  <c r="B58" i="40"/>
  <c r="F58" i="40"/>
  <c r="B53" i="40"/>
  <c r="F53" i="40"/>
  <c r="B52" i="40"/>
  <c r="F52" i="40"/>
  <c r="B60" i="40"/>
  <c r="F60" i="40"/>
  <c r="B51" i="40"/>
  <c r="F51" i="40"/>
  <c r="B55" i="40"/>
  <c r="F55" i="40"/>
  <c r="B54" i="40"/>
  <c r="F54" i="40"/>
  <c r="B59" i="40"/>
  <c r="F59" i="40"/>
  <c r="H7" i="39"/>
  <c r="J7" i="39"/>
  <c r="G46" i="37"/>
  <c r="H46" i="37"/>
  <c r="G47" i="37"/>
  <c r="H47" i="37"/>
  <c r="R43" i="37"/>
  <c r="E42" i="37"/>
  <c r="I47" i="37"/>
  <c r="J47" i="37"/>
  <c r="I46" i="37"/>
  <c r="J46" i="37"/>
  <c r="W7" i="39"/>
  <c r="AC7" i="39"/>
  <c r="U7" i="39"/>
  <c r="AB7" i="39"/>
  <c r="S7" i="39"/>
  <c r="E47" i="37"/>
  <c r="F47" i="37"/>
  <c r="E46" i="37"/>
  <c r="F46" i="37"/>
  <c r="C43" i="37"/>
  <c r="B2" i="37"/>
  <c r="B3" i="37"/>
  <c r="C42" i="37"/>
  <c r="G16" i="1"/>
  <c r="F10" i="39"/>
  <c r="AA10" i="39"/>
  <c r="R47" i="39"/>
  <c r="H10" i="39"/>
  <c r="AB10" i="39"/>
  <c r="T47" i="39"/>
  <c r="J10" i="39"/>
  <c r="AC10" i="39"/>
  <c r="V47" i="39"/>
  <c r="R48" i="39"/>
  <c r="C48" i="39"/>
  <c r="F66" i="39"/>
  <c r="C6" i="68"/>
  <c r="C7" i="68"/>
  <c r="C5" i="68"/>
  <c r="C20" i="68"/>
  <c r="C23" i="68"/>
  <c r="C25" i="68"/>
  <c r="C22" i="68"/>
  <c r="C28" i="68"/>
  <c r="C27" i="68"/>
  <c r="C31" i="68"/>
  <c r="C52" i="68"/>
  <c r="B2" i="68"/>
  <c r="C19" i="9"/>
  <c r="G19" i="9"/>
  <c r="C32" i="9"/>
  <c r="H118" i="9"/>
  <c r="H101" i="9"/>
  <c r="H107" i="9"/>
  <c r="M49" i="9"/>
  <c r="D45" i="9"/>
  <c r="D55" i="9"/>
  <c r="M53" i="9"/>
  <c r="C85" i="9"/>
  <c r="C93" i="9"/>
  <c r="C86" i="9"/>
  <c r="C95" i="9"/>
  <c r="C96" i="9"/>
  <c r="C97" i="9"/>
  <c r="D58" i="9"/>
  <c r="D56" i="9"/>
  <c r="M54" i="9"/>
  <c r="C64" i="9"/>
  <c r="C63" i="9"/>
  <c r="C67" i="9"/>
  <c r="D59" i="9"/>
  <c r="M55" i="9"/>
  <c r="N57" i="9"/>
  <c r="N59" i="9"/>
  <c r="N60" i="9"/>
  <c r="N58" i="9"/>
  <c r="N61" i="9"/>
  <c r="P57" i="9"/>
  <c r="C72" i="9"/>
  <c r="C78" i="9"/>
  <c r="C73" i="9"/>
  <c r="C79" i="9"/>
  <c r="C80" i="9"/>
  <c r="C81" i="9"/>
  <c r="E80" i="9"/>
  <c r="E81" i="9"/>
  <c r="L63" i="9"/>
  <c r="M63" i="9"/>
  <c r="L64" i="9"/>
  <c r="M64" i="9"/>
  <c r="L65" i="9"/>
  <c r="M65" i="9"/>
  <c r="L66" i="9"/>
  <c r="M66" i="9"/>
  <c r="L67" i="9"/>
  <c r="M67" i="9"/>
  <c r="L68" i="9"/>
  <c r="M68" i="9"/>
  <c r="M69" i="9"/>
  <c r="N69" i="9"/>
  <c r="E96" i="9"/>
  <c r="E97" i="9"/>
  <c r="D122" i="9"/>
  <c r="G14" i="74"/>
  <c r="B6" i="74"/>
  <c r="C6" i="74"/>
  <c r="D6" i="74"/>
  <c r="D14" i="74"/>
  <c r="B5" i="74"/>
  <c r="C5" i="74"/>
  <c r="D5" i="74"/>
  <c r="C68" i="9"/>
  <c r="D54" i="9"/>
  <c r="D52" i="9"/>
  <c r="D53" i="9"/>
  <c r="D5" i="53"/>
  <c r="B20" i="72"/>
  <c r="D13" i="53"/>
  <c r="B30" i="72"/>
  <c r="E14" i="74"/>
  <c r="F14" i="74"/>
  <c r="D123" i="9"/>
  <c r="D9" i="52"/>
  <c r="D8" i="52"/>
  <c r="I118" i="9"/>
  <c r="I4" i="52"/>
  <c r="C105" i="9"/>
  <c r="B3" i="68"/>
  <c r="C57" i="68"/>
  <c r="D35" i="9"/>
  <c r="C35" i="9"/>
  <c r="F118" i="9"/>
  <c r="G118" i="9"/>
  <c r="E118" i="9"/>
  <c r="E4" i="52"/>
  <c r="B48" i="72"/>
  <c r="M48" i="9"/>
  <c r="D6" i="53"/>
  <c r="B22" i="72"/>
  <c r="D14" i="53"/>
  <c r="B32" i="72"/>
  <c r="H119" i="9"/>
  <c r="H5" i="52"/>
  <c r="H108" i="9"/>
  <c r="D15" i="53"/>
  <c r="B31" i="72"/>
  <c r="F4" i="52"/>
  <c r="B51" i="72"/>
  <c r="F119" i="9"/>
  <c r="F5" i="52"/>
  <c r="B53" i="72"/>
  <c r="G4" i="52"/>
  <c r="B52" i="72"/>
  <c r="C104" i="9"/>
  <c r="H102" i="9"/>
  <c r="D7" i="53"/>
  <c r="B21" i="72"/>
  <c r="C34" i="9"/>
  <c r="D118" i="9"/>
  <c r="D119" i="9"/>
  <c r="D5" i="52"/>
  <c r="B49" i="72"/>
  <c r="H4" i="52"/>
  <c r="D4" i="52"/>
  <c r="B47" i="72"/>
  <c r="B2" i="39"/>
  <c r="B3" i="39"/>
  <c r="B64" i="39"/>
  <c r="F64" i="39"/>
  <c r="B63" i="39"/>
  <c r="F63" i="39"/>
  <c r="B61" i="39"/>
  <c r="F61" i="39"/>
  <c r="B57" i="39"/>
  <c r="F57" i="39"/>
  <c r="B56" i="39"/>
  <c r="F56" i="39"/>
  <c r="B62" i="39"/>
  <c r="F62" i="39"/>
  <c r="B65" i="39"/>
  <c r="F65" i="39"/>
  <c r="B60" i="39"/>
  <c r="F60" i="39"/>
  <c r="B58" i="39"/>
  <c r="F58" i="39"/>
  <c r="B59" i="39"/>
  <c r="F59" i="39"/>
  <c r="C47" i="39"/>
  <c r="E47" i="39"/>
  <c r="E51" i="39"/>
  <c r="F51" i="39"/>
  <c r="G47" i="39"/>
  <c r="E52" i="39"/>
  <c r="F52" i="39"/>
  <c r="I47" i="39"/>
  <c r="I52" i="39"/>
  <c r="J52" i="39"/>
  <c r="I51" i="39"/>
  <c r="J51" i="39"/>
  <c r="G51" i="39"/>
  <c r="H51" i="39"/>
  <c r="G52" i="39"/>
  <c r="H52" i="39"/>
  <c r="C20" i="9"/>
  <c r="G20" i="9"/>
  <c r="C103" i="9"/>
  <c r="G21" i="9"/>
  <c r="D22" i="9"/>
  <c r="C56" i="68"/>
  <c r="D34" i="9"/>
  <c r="C21" i="9"/>
  <c r="C102" i="9"/>
  <c r="W10" i="39"/>
  <c r="S10" i="39"/>
  <c r="U10" i="39"/>
  <c r="J10" i="40"/>
  <c r="W10" i="40"/>
  <c r="AC10" i="40"/>
  <c r="F10" i="40"/>
  <c r="S10" i="40"/>
  <c r="AA10" i="40"/>
  <c r="H10" i="40"/>
  <c r="U10" i="40"/>
  <c r="AB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<sst xmlns="http://schemas.openxmlformats.org/spreadsheetml/2006/main" count="7521" uniqueCount="3198">
  <si>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</si>
  <si>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</si>
  <si>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</si>
  <si>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</si>
  <si>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</si>
  <si>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</si>
  <si>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</si>
  <si>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</si>
  <si>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</si>
  <si>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</si>
  <si>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</si>
  <si>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</si>
  <si>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</si>
  <si>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</si>
  <si>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</si>
  <si>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</si>
  <si>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</si>
  <si>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</si>
  <si>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</si>
  <si>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</si>
  <si>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</si>
  <si>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</si>
  <si>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</si>
  <si>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</si>
  <si>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</si>
  <si>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</si>
  <si>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</si>
  <si>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</si>
  <si>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</si>
  <si>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</si>
  <si>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</si>
  <si>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</si>
  <si>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</si>
  <si>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</si>
  <si>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</si>
  <si>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</si>
  <si>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</si>
  <si>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</si>
  <si>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</si>
  <si>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</si>
  <si>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</si>
  <si>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</si>
  <si>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</si>
  <si>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</si>
  <si>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</si>
  <si>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</si>
  <si>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</si>
  <si>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</si>
  <si>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</si>
  <si>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</si>
  <si>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</si>
  <si>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</si>
  <si>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</si>
  <si>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</si>
  <si>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</si>
  <si>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</si>
  <si>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</si>
  <si>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</si>
  <si>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</si>
  <si>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</si>
  <si>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</si>
  <si>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</si>
  <si>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</si>
  <si>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</si>
  <si>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</si>
  <si>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</si>
  <si>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</si>
  <si>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</si>
  <si>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</si>
  <si>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</si>
  <si>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</si>
  <si>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</si>
  <si>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</si>
  <si>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</si>
  <si>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</si>
  <si>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</si>
  <si>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</si>
  <si>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</si>
  <si>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</si>
  <si>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</si>
  <si>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</si>
  <si>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</si>
  <si>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</si>
  <si>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</si>
  <si>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</si>
  <si>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</si>
  <si>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</si>
  <si>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</si>
  <si>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</si>
  <si>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</si>
  <si>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</si>
  <si>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</si>
  <si>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</si>
  <si>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</si>
  <si>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</si>
  <si>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</si>
  <si>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</si>
  <si>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</si>
  <si>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</si>
  <si>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</si>
  <si>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</si>
  <si>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</si>
  <si>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</si>
  <si>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</si>
  <si>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</si>
  <si>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</si>
  <si>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</si>
  <si>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</si>
  <si>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</si>
  <si>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</si>
  <si>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</si>
  <si>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</si>
  <si>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</si>
  <si>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</si>
  <si>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</si>
  <si>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</si>
  <si>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</si>
  <si>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</si>
  <si>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</si>
  <si>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</si>
  <si>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</si>
  <si>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</si>
  <si>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</si>
  <si>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</si>
  <si>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</si>
  <si>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</si>
  <si>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</si>
  <si>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</si>
  <si>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</si>
  <si>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</si>
  <si>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</si>
  <si>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</si>
  <si>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</si>
  <si>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</si>
  <si>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</si>
  <si>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</si>
  <si>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</si>
  <si>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</si>
  <si>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</si>
  <si>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</si>
  <si>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</si>
  <si>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</si>
  <si>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</si>
  <si>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</si>
  <si>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</si>
  <si>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</si>
  <si>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</si>
  <si>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</si>
  <si>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</si>
  <si>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</si>
  <si>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</si>
  <si>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</si>
  <si>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</si>
  <si>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</si>
  <si>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</si>
  <si>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</si>
  <si>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</si>
  <si>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</si>
  <si>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</si>
  <si>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</si>
  <si>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</si>
  <si>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</si>
  <si>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</si>
  <si>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</si>
  <si>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</si>
  <si>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</si>
  <si>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</si>
  <si>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</si>
  <si>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</si>
  <si>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</si>
  <si>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</si>
  <si>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</si>
  <si>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</si>
  <si>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</si>
  <si>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</si>
  <si>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</si>
  <si>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</si>
  <si>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</si>
  <si>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</si>
  <si>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</si>
  <si>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</si>
  <si>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</si>
  <si>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</si>
  <si>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</si>
  <si>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</si>
  <si>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</si>
  <si>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</si>
  <si>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</si>
  <si>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</si>
  <si>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</si>
  <si>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</si>
  <si>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</si>
  <si>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</si>
  <si>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</si>
  <si>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</si>
  <si>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</si>
  <si>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</si>
  <si>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</si>
  <si>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</si>
  <si>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</si>
  <si>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</si>
  <si>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</si>
  <si>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</si>
  <si>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</si>
  <si>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</si>
  <si>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</si>
  <si>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</si>
  <si>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</si>
  <si>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</si>
  <si>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</si>
  <si>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</si>
  <si>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</si>
  <si>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</si>
  <si>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</si>
  <si>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</si>
  <si>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</si>
  <si>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</si>
  <si>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</si>
  <si>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</si>
  <si>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</si>
  <si>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</si>
  <si>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</si>
  <si>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</si>
  <si>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</si>
  <si>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</si>
  <si>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</si>
  <si>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</si>
  <si>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</si>
  <si>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</si>
  <si>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</si>
  <si>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</si>
  <si>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</si>
  <si>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</si>
  <si>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</si>
  <si>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</si>
  <si>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</si>
  <si>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</si>
  <si>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</si>
  <si>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</si>
  <si>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</si>
  <si>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</si>
  <si>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</si>
  <si>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</si>
  <si>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</si>
  <si>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</si>
  <si>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</si>
  <si>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</si>
  <si>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</si>
  <si>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</si>
  <si>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</si>
  <si>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</si>
  <si>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</si>
  <si>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</si>
  <si>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</si>
  <si>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</si>
  <si>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</si>
  <si>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</si>
  <si>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</si>
  <si>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</si>
  <si>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</si>
  <si>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</si>
  <si>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</si>
  <si>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</si>
  <si>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</si>
  <si>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</si>
  <si>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</si>
  <si>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</si>
  <si>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</si>
  <si>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</si>
  <si>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</si>
  <si>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</si>
  <si>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</si>
  <si>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</si>
  <si>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</si>
  <si>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</si>
  <si>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</si>
  <si>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</si>
  <si>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</si>
  <si>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</si>
  <si>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</si>
  <si>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</si>
  <si>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</si>
  <si>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</si>
  <si>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</si>
  <si>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</si>
  <si>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</si>
  <si>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</si>
  <si>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</si>
  <si>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</si>
  <si>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</si>
  <si>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</si>
  <si>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</si>
  <si>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</si>
  <si>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</si>
  <si>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</si>
  <si>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</si>
  <si>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</si>
  <si>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</si>
  <si>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</si>
  <si>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</si>
  <si>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</si>
  <si>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</si>
  <si>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</si>
  <si>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</si>
  <si>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</si>
  <si>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</si>
  <si>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</si>
  <si>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</si>
  <si>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</si>
  <si>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</si>
  <si>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</si>
  <si>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</si>
  <si>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</si>
  <si>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</si>
  <si>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</si>
  <si>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</si>
  <si>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</si>
  <si>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</si>
  <si>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</si>
  <si>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</si>
  <si>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</si>
  <si>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</si>
  <si>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</si>
  <si>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</si>
  <si>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</si>
  <si>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</si>
  <si>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</si>
  <si>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</si>
  <si>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</si>
  <si>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</si>
  <si>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</si>
  <si>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</si>
  <si>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</si>
  <si>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</si>
  <si>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</si>
  <si>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</si>
  <si>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</si>
  <si>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</si>
  <si>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</si>
  <si>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</si>
  <si>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</si>
  <si>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</si>
  <si>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</si>
  <si>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</si>
  <si>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</si>
  <si>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</si>
  <si>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</si>
  <si>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</si>
  <si>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</si>
  <si>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</si>
  <si>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</si>
  <si>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</si>
  <si>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</si>
  <si>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</si>
  <si>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</si>
  <si>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</si>
  <si>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</si>
  <si>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</si>
  <si>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</si>
  <si>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</si>
  <si>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</si>
  <si>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</si>
  <si>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</si>
  <si>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</si>
  <si>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</si>
  <si>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</si>
  <si>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</si>
  <si>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</si>
  <si>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</si>
  <si>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</si>
  <si>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</si>
  <si>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</si>
  <si>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</si>
  <si>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</si>
  <si>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</si>
  <si>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</si>
  <si>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</si>
  <si>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</si>
  <si>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</si>
  <si>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</si>
  <si>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</si>
  <si>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</si>
  <si>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</si>
  <si>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</si>
  <si>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</si>
  <si>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</si>
  <si>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</si>
  <si>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</si>
  <si>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</si>
  <si>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</si>
  <si>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</si>
  <si>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</si>
  <si>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</si>
  <si>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</si>
  <si>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</si>
  <si>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</si>
  <si>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</si>
  <si>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</si>
  <si>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</si>
  <si>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</si>
  <si>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</si>
  <si>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</si>
  <si>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</si>
  <si>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</si>
  <si>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</si>
  <si>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</si>
  <si>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</si>
  <si>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</si>
  <si>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</si>
  <si>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</si>
  <si>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</si>
  <si>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</si>
  <si>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</si>
  <si>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</si>
  <si>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</si>
  <si>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</si>
  <si>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</si>
  <si>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</si>
  <si>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</si>
  <si>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</si>
  <si>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</si>
  <si>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</si>
  <si>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</si>
  <si>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</si>
  <si>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</si>
  <si>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</si>
  <si>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</si>
  <si>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</si>
  <si>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</si>
  <si>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</si>
  <si>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</si>
  <si>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</si>
  <si>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</si>
  <si>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</si>
  <si>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</si>
  <si>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</si>
  <si>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</si>
  <si>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</si>
  <si>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</si>
  <si>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</si>
  <si>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</si>
  <si>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</si>
  <si>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</si>
  <si>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</si>
  <si>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</si>
  <si>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</si>
  <si>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</si>
  <si>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</si>
  <si>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</si>
  <si>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</si>
  <si>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</si>
  <si>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</si>
  <si>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</si>
  <si>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</si>
  <si>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</si>
  <si>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</si>
  <si>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</si>
  <si>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</si>
  <si>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</si>
  <si>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</si>
  <si>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</si>
  <si>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</si>
  <si>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</si>
  <si>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</si>
  <si>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</si>
  <si>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</si>
  <si>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</si>
  <si>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</si>
  <si>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</si>
  <si>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</si>
  <si>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</si>
  <si>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</si>
  <si>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</si>
  <si>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</si>
  <si>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</si>
  <si>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</si>
  <si>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</si>
  <si>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</si>
  <si>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</si>
  <si>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</si>
  <si>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</si>
  <si>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</si>
  <si>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</si>
  <si>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</si>
  <si>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</si>
  <si>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</si>
  <si>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</si>
  <si>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</si>
  <si>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</si>
  <si>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</si>
  <si>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</si>
  <si>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</si>
  <si>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</si>
  <si>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</si>
  <si>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</si>
  <si>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</si>
  <si>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</si>
  <si>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</si>
  <si>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</si>
  <si>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</si>
  <si>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</si>
  <si>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</si>
  <si>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</si>
  <si>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</si>
  <si>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</si>
  <si>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</si>
  <si>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</si>
  <si>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</si>
  <si>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</si>
  <si>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</si>
  <si>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</si>
  <si>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</si>
  <si>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</si>
  <si>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</si>
  <si>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</si>
  <si>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</si>
  <si>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</si>
  <si>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</si>
  <si>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</si>
  <si>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</si>
  <si>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</si>
  <si>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</si>
  <si>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</si>
  <si>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</si>
  <si>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</si>
  <si>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</si>
  <si>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</si>
  <si>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</si>
  <si>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</si>
  <si>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</si>
  <si>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</si>
  <si>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</si>
  <si>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</si>
  <si>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</si>
  <si>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</si>
  <si>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</si>
  <si>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</si>
  <si>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</si>
  <si>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</si>
  <si>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</si>
  <si>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</si>
  <si>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</si>
  <si>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</si>
  <si>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</si>
  <si>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</si>
  <si>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</si>
  <si>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</si>
  <si>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</si>
  <si>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</si>
  <si>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</si>
  <si>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</si>
  <si>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</si>
  <si>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</si>
  <si>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</si>
  <si>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</si>
  <si>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</si>
  <si>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</si>
  <si>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</si>
  <si>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</si>
  <si>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</si>
  <si>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</si>
  <si>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</si>
  <si>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</si>
  <si>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</si>
  <si>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</si>
  <si>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</si>
  <si>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</si>
  <si>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</si>
  <si>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</si>
  <si>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</si>
  <si>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</si>
  <si>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</si>
  <si>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</si>
  <si>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</si>
  <si>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</si>
  <si>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</si>
  <si>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</si>
  <si>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</si>
  <si>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</si>
  <si>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</si>
  <si>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</si>
  <si>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</si>
  <si>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</si>
  <si>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</si>
  <si>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</si>
  <si>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</si>
  <si>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</si>
  <si>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</si>
  <si>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</si>
  <si>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</si>
  <si>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</si>
  <si>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</si>
  <si>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</si>
  <si>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</si>
  <si>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</si>
  <si>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</si>
  <si>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</si>
  <si>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</si>
  <si>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</si>
  <si>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</si>
  <si>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</si>
  <si>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</si>
  <si>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</si>
  <si>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</si>
  <si>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</si>
  <si>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</si>
  <si>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</si>
  <si>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</si>
  <si>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</si>
  <si>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</si>
  <si>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</si>
  <si>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</si>
  <si>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</si>
  <si>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</si>
  <si>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</si>
  <si>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</si>
  <si>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</si>
  <si>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</si>
  <si>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</si>
  <si>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</si>
  <si>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</si>
  <si>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</si>
  <si>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</si>
  <si>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</si>
  <si>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</si>
  <si>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</si>
  <si>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</si>
  <si>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</si>
  <si>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</si>
  <si>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</si>
  <si>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</si>
  <si>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</si>
  <si>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</si>
  <si>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</si>
  <si>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</si>
  <si>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</si>
  <si>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</si>
  <si>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</si>
  <si>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</si>
  <si>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</si>
  <si>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</si>
  <si>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</si>
  <si>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</si>
  <si>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</si>
  <si>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</si>
  <si>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</si>
  <si>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</si>
  <si>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</si>
  <si>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</si>
  <si>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</si>
  <si>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</si>
  <si>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</si>
  <si>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</si>
  <si>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</si>
  <si>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</si>
  <si>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</si>
  <si>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</si>
  <si>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</si>
  <si>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</si>
  <si>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</si>
  <si>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</si>
  <si>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</si>
  <si>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</si>
  <si>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</si>
  <si>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</si>
  <si>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</si>
  <si>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</si>
  <si>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</si>
  <si>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</si>
  <si>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</si>
  <si>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</si>
  <si>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</si>
  <si>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</si>
  <si>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</si>
  <si>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</si>
  <si>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</si>
  <si>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</si>
  <si>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</si>
  <si>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</si>
  <si>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</si>
  <si>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</si>
  <si>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</si>
  <si>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</si>
  <si>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</si>
  <si>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</si>
  <si>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</si>
  <si>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</si>
  <si>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</si>
  <si>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</si>
  <si>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</si>
  <si>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</si>
  <si>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</si>
  <si>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</si>
  <si>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</si>
  <si>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</si>
  <si>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</si>
  <si>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</si>
  <si>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</si>
  <si>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</si>
  <si>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</si>
  <si>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</si>
  <si>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</si>
  <si>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</si>
  <si>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</si>
  <si>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</si>
  <si>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</si>
  <si>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</si>
  <si>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</si>
  <si>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</si>
  <si>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</si>
  <si>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</si>
  <si>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</si>
  <si>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</si>
  <si>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</si>
  <si>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</si>
  <si>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</si>
  <si>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</si>
  <si>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</si>
  <si>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</si>
  <si>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</si>
  <si>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</si>
  <si>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</si>
  <si>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</si>
  <si>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</si>
  <si>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</si>
  <si>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</si>
  <si>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</si>
  <si>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</si>
  <si>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</si>
  <si>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</si>
  <si>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</si>
  <si>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</si>
  <si>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</si>
  <si>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</si>
  <si>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</si>
  <si>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</si>
  <si>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</si>
  <si>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</si>
  <si>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</si>
  <si>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</si>
  <si>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</si>
  <si>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</si>
  <si>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</si>
  <si>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</si>
  <si>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</si>
  <si>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</si>
  <si>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</si>
  <si>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</si>
  <si>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</si>
  <si>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</si>
  <si>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</si>
  <si>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</si>
  <si>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</si>
  <si>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</si>
  <si>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</si>
  <si>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</si>
  <si>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</si>
  <si>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</si>
  <si>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</si>
  <si>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</si>
  <si>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</si>
  <si>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</si>
  <si>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</si>
  <si>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</si>
  <si>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</si>
  <si>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</si>
  <si>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</si>
  <si>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</si>
  <si>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</si>
  <si>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</si>
  <si>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</si>
  <si>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</si>
  <si>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</si>
  <si>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</si>
  <si>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</si>
  <si>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</si>
  <si>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</si>
  <si>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</si>
  <si>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</si>
  <si>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</si>
  <si>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</si>
  <si>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</si>
  <si>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</si>
  <si>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</si>
  <si>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</si>
  <si>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</si>
  <si>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</si>
  <si>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</si>
  <si>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</si>
  <si>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</si>
  <si>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</si>
  <si>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</si>
  <si>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</si>
  <si>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</si>
  <si>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</si>
  <si>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</si>
  <si>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</si>
  <si>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</si>
  <si>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</si>
  <si>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</si>
  <si>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</si>
  <si>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</si>
  <si>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</si>
  <si>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</si>
  <si>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</si>
  <si>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</si>
  <si>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</si>
  <si>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</si>
  <si>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</si>
  <si>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</si>
  <si>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</si>
  <si>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</si>
  <si>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</si>
  <si>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</si>
  <si>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</si>
  <si>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</si>
  <si>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</si>
  <si>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</si>
  <si>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</si>
  <si>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</si>
  <si>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</si>
  <si>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</si>
  <si>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</si>
  <si>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</si>
  <si>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</si>
  <si>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</si>
  <si>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</si>
  <si>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</si>
  <si>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</si>
  <si>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</si>
  <si>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</si>
  <si>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</si>
  <si>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</si>
  <si>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</si>
  <si>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</si>
  <si>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</si>
  <si>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</si>
  <si>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</si>
  <si>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</si>
  <si>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</si>
  <si>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</si>
  <si>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</si>
  <si>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</si>
  <si>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</si>
  <si>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</si>
  <si>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</si>
  <si>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</si>
  <si>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</si>
  <si>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</si>
  <si>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</si>
  <si>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</si>
  <si>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</si>
  <si>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</si>
  <si>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</si>
  <si>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</si>
  <si>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</si>
  <si>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</si>
  <si>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</si>
  <si>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</si>
  <si>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</si>
  <si>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</si>
  <si>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</si>
  <si>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</si>
  <si>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</si>
  <si>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</si>
  <si>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</si>
  <si>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</si>
  <si>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</si>
  <si>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</si>
  <si>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</si>
  <si>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</si>
  <si>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</si>
  <si>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</si>
  <si>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</si>
  <si>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</si>
  <si>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</si>
  <si>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</si>
  <si>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</si>
  <si>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</si>
  <si>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</si>
  <si>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</si>
  <si>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</si>
  <si>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</si>
  <si>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</si>
  <si>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</si>
  <si>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</si>
  <si>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</si>
  <si>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</si>
  <si>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</si>
  <si>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</si>
  <si>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</si>
  <si>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</si>
  <si>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</si>
  <si>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</si>
  <si>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</si>
  <si>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</si>
  <si>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</si>
  <si>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</si>
  <si>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</si>
  <si>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</si>
  <si>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</si>
  <si>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</si>
  <si>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</si>
  <si>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</si>
  <si>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</si>
  <si>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</si>
  <si>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</si>
  <si>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</si>
  <si>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</si>
  <si>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</si>
  <si>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</si>
  <si>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</si>
  <si>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</si>
  <si>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</si>
  <si>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</si>
  <si>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</si>
  <si>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</si>
  <si>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</si>
  <si>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</si>
  <si>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</si>
  <si>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</si>
  <si>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</si>
  <si>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</si>
  <si>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</si>
  <si>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</si>
  <si>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</si>
  <si>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</si>
  <si>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</si>
  <si>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</si>
  <si>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</si>
  <si>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</si>
  <si>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</si>
  <si>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</si>
  <si>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</si>
  <si>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</si>
  <si>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</si>
  <si>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</si>
  <si>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</si>
  <si>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</si>
  <si>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</si>
  <si>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</si>
  <si>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</si>
  <si>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</si>
  <si>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</si>
  <si>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</si>
  <si>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</si>
  <si>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</si>
  <si>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</si>
  <si>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</si>
  <si>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</si>
  <si>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</si>
  <si>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</si>
  <si>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</si>
  <si>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</si>
  <si>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</si>
  <si>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</si>
  <si>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</si>
  <si>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</si>
  <si>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</si>
  <si>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</si>
  <si>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</si>
  <si>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</si>
  <si>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</si>
  <si>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</si>
  <si>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</si>
  <si>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</si>
  <si>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</si>
  <si>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</si>
  <si>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</si>
  <si>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</si>
  <si>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</si>
  <si>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</si>
  <si>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</si>
  <si>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</si>
  <si>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</si>
  <si>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</si>
  <si>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</si>
  <si>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</si>
  <si>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</si>
  <si>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</si>
  <si>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</si>
  <si>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</si>
  <si>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</si>
  <si>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</si>
  <si>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</si>
  <si>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</si>
  <si>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</si>
  <si>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</si>
  <si>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</si>
  <si>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</si>
  <si>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</si>
  <si>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</si>
  <si>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</si>
  <si>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</si>
  <si>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</si>
  <si>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</si>
  <si>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</si>
  <si>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</si>
  <si>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</si>
  <si>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</si>
  <si>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</si>
  <si>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</si>
  <si>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</si>
  <si>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</si>
  <si>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</si>
  <si>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</si>
  <si>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</si>
  <si>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</si>
  <si>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</si>
  <si>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</si>
  <si>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</si>
  <si>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</si>
  <si>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</si>
  <si>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</si>
  <si>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</si>
  <si>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</si>
  <si>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</si>
  <si>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</si>
  <si>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</si>
  <si>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</si>
  <si>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</si>
  <si>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</si>
  <si>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</si>
  <si>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</si>
  <si>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</si>
  <si>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</si>
  <si>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</si>
  <si>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</si>
  <si>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</si>
  <si>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</si>
  <si>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</si>
  <si>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</si>
  <si>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</si>
  <si>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</si>
  <si>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</si>
  <si>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</si>
  <si>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</si>
  <si>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</si>
  <si>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</si>
  <si>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</si>
  <si>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</si>
  <si>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</si>
  <si>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</si>
  <si>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</si>
  <si>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</si>
  <si>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</si>
  <si>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</si>
  <si>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</si>
  <si>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</si>
  <si>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</si>
  <si>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</si>
  <si>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</si>
  <si>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</si>
  <si>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</si>
  <si>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</si>
  <si>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</si>
  <si>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</si>
  <si>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</si>
  <si>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</si>
  <si>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</si>
  <si>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</si>
  <si>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</si>
  <si>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</si>
  <si>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</si>
  <si>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</si>
  <si>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</si>
  <si>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</si>
  <si>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</si>
  <si>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</si>
  <si>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</si>
  <si>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</si>
  <si>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</si>
  <si>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</si>
  <si>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</si>
  <si>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</si>
  <si>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</si>
  <si>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</si>
  <si>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</si>
  <si>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</si>
  <si>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</si>
  <si>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</si>
  <si>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</si>
  <si>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</si>
  <si>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</si>
  <si>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</si>
  <si>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</si>
  <si>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</si>
  <si>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</si>
  <si>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</si>
  <si>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</si>
  <si>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</si>
  <si>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</si>
  <si>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</si>
  <si>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</si>
  <si>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</si>
  <si>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</si>
  <si>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</si>
  <si>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</si>
  <si>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</si>
  <si>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</si>
  <si>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</si>
  <si>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</si>
  <si>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</si>
  <si>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</si>
  <si>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</si>
  <si>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</si>
  <si>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</si>
  <si>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</si>
  <si>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</si>
  <si>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</si>
  <si>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</si>
  <si>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</si>
  <si>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</si>
  <si>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</si>
  <si>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</si>
  <si>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</si>
  <si>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</si>
  <si>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</si>
  <si>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</si>
  <si>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</si>
  <si>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</si>
  <si>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</si>
  <si>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</si>
  <si>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</si>
  <si>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</si>
  <si>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</si>
  <si>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</si>
  <si>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</si>
  <si>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</si>
  <si>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</si>
  <si>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</si>
  <si>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</si>
  <si>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</si>
  <si>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</si>
  <si>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</si>
  <si>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</si>
  <si>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</si>
  <si>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</si>
  <si>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</si>
  <si>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</si>
  <si>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</si>
  <si>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</si>
  <si>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</si>
  <si>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</si>
  <si>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</si>
  <si>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</si>
  <si>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</si>
  <si>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</si>
  <si>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</si>
  <si>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</si>
  <si>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</si>
  <si>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</si>
  <si>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</si>
  <si>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</si>
  <si>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</si>
  <si>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</si>
  <si>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</si>
  <si>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</si>
  <si>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</si>
  <si>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</si>
  <si>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</si>
  <si>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</si>
  <si>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</si>
  <si>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</si>
  <si>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</si>
  <si>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</si>
  <si>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</si>
  <si>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</si>
  <si>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</si>
  <si>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</si>
  <si>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</si>
  <si>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</si>
  <si>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</si>
  <si>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</si>
  <si>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</si>
  <si>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</si>
  <si>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</si>
  <si>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</si>
  <si>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</si>
  <si>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</si>
  <si>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</si>
  <si>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</si>
  <si>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</si>
  <si>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</si>
  <si>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</si>
  <si>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</si>
  <si>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</si>
  <si>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</si>
  <si>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</si>
  <si>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</si>
  <si>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</si>
  <si>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</si>
  <si>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</si>
  <si>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</si>
  <si>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</si>
  <si>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</si>
  <si>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</si>
  <si>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</si>
  <si>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</si>
  <si>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</si>
  <si>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</si>
  <si>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</si>
  <si>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</si>
  <si>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</si>
  <si>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</si>
  <si>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</si>
  <si>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</si>
  <si>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</si>
  <si>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</si>
  <si>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</si>
  <si>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</si>
  <si>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</si>
  <si>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</si>
  <si>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</si>
  <si>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</si>
  <si>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</si>
  <si>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</si>
  <si>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</si>
  <si>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</si>
  <si>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</si>
  <si>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</si>
  <si>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</si>
  <si>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</si>
  <si>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</si>
  <si>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</si>
  <si>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</si>
  <si>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</si>
  <si>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</si>
  <si>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</si>
  <si>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</si>
  <si>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</si>
  <si>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</si>
  <si>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</si>
  <si>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</si>
  <si>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</si>
  <si>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</si>
  <si>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</si>
  <si>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</si>
  <si>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</si>
  <si>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</si>
  <si>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</si>
  <si>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</si>
  <si>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</si>
  <si>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</si>
  <si>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</si>
  <si>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</si>
  <si>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</si>
  <si>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</si>
  <si>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</si>
  <si>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</si>
  <si>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</si>
  <si>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</si>
  <si>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</si>
  <si>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</si>
  <si>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</si>
  <si>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</si>
  <si>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</si>
  <si>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</si>
  <si>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</si>
  <si>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</si>
  <si>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</si>
  <si>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</si>
  <si>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</si>
  <si>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</si>
  <si>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</si>
  <si>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</si>
  <si>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</si>
  <si>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</si>
  <si>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</si>
  <si>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</si>
  <si>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</si>
  <si>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</si>
  <si>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</si>
  <si>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</si>
  <si>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</si>
  <si>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</si>
  <si>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</si>
  <si>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</si>
  <si>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</si>
  <si>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</si>
  <si>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</si>
  <si>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</si>
  <si>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</si>
  <si>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</si>
  <si>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</si>
  <si>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</si>
  <si>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</si>
  <si>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</si>
  <si>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</si>
  <si>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</si>
  <si>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</si>
  <si>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</si>
  <si>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</si>
  <si>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</si>
  <si>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</si>
  <si>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</si>
  <si>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</si>
  <si>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</si>
  <si>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</si>
  <si>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</si>
  <si>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</si>
  <si>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</si>
  <si>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</si>
  <si>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</si>
  <si>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</si>
  <si>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</si>
  <si>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</si>
  <si>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</si>
  <si>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</si>
  <si>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</si>
  <si>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</si>
  <si>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</si>
  <si>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</si>
  <si>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</si>
  <si>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</si>
  <si>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</si>
  <si>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</si>
  <si>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</si>
  <si>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</si>
  <si>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</si>
  <si>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</si>
  <si>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</si>
  <si>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</si>
  <si>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</si>
  <si>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</si>
  <si>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</si>
  <si>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</si>
  <si>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</si>
  <si>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</si>
  <si>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</si>
  <si>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</si>
  <si>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</si>
  <si>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</si>
  <si>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</si>
  <si>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</si>
  <si>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</si>
  <si>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</si>
  <si>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</si>
  <si>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</si>
  <si>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</si>
  <si>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</si>
  <si>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</si>
  <si>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</si>
  <si>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</si>
  <si>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</si>
  <si>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</si>
  <si>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</si>
  <si>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</si>
  <si>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</si>
  <si>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</si>
  <si>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</si>
  <si>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</si>
  <si>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</si>
  <si>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</si>
  <si>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</si>
  <si>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</si>
  <si>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</si>
  <si>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</si>
  <si>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</si>
  <si>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</si>
  <si>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</si>
  <si>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</si>
  <si>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</si>
  <si>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</si>
  <si>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</si>
  <si>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</si>
  <si>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</si>
  <si>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</si>
  <si>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</si>
  <si>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</si>
  <si>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</si>
  <si>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</si>
  <si>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</si>
  <si>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</si>
  <si>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</si>
  <si>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</si>
  <si>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</si>
  <si>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</si>
  <si>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</si>
  <si>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</si>
  <si>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</si>
  <si>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</si>
  <si>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</si>
  <si>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</si>
  <si>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</si>
  <si>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</si>
  <si>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</si>
  <si>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</si>
  <si>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</si>
  <si>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</si>
  <si>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</si>
  <si>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</si>
  <si>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</si>
  <si>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</si>
  <si>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</si>
  <si>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</si>
  <si>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</si>
  <si>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</si>
  <si>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</si>
  <si>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</si>
  <si>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</si>
  <si>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</si>
  <si>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</si>
  <si>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</si>
  <si>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</si>
  <si>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</si>
  <si>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</si>
  <si>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</si>
  <si>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</si>
  <si>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</si>
  <si>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</si>
  <si>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</si>
  <si>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</si>
  <si>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</si>
  <si>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</si>
  <si>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</si>
  <si>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</si>
  <si>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</si>
  <si>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</si>
  <si>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</si>
  <si>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</si>
  <si>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</si>
  <si>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</si>
  <si>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</si>
  <si>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</si>
  <si>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</si>
  <si>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</si>
  <si>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</si>
  <si>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</si>
  <si>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</si>
  <si>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</si>
  <si>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</si>
  <si>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</si>
  <si>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</si>
  <si>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</si>
  <si>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</si>
  <si>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</si>
  <si>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</si>
  <si>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</si>
  <si>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</si>
  <si>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</si>
  <si>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</si>
  <si>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</si>
  <si>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</si>
  <si>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</si>
  <si>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</si>
  <si>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</si>
  <si>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</si>
  <si>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</si>
  <si>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</si>
  <si>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</si>
  <si>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</si>
  <si>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</si>
  <si>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</si>
  <si>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</si>
  <si>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</si>
  <si>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</si>
  <si>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</si>
  <si>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</si>
  <si>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</si>
  <si>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</si>
  <si>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</si>
  <si>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</si>
  <si>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</si>
  <si>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</si>
  <si>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</si>
  <si>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</si>
  <si>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</si>
  <si>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</si>
  <si>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</si>
  <si>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</si>
  <si>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</si>
  <si>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</si>
  <si>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</si>
  <si>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</si>
  <si>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</si>
  <si>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</si>
  <si>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</si>
  <si>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</si>
  <si>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</si>
  <si>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</si>
  <si>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</si>
  <si>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</si>
  <si>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</si>
  <si>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</si>
  <si>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</si>
  <si>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</si>
  <si>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</si>
  <si>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</si>
  <si>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</si>
  <si>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</si>
  <si>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</si>
  <si>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</si>
  <si>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</si>
  <si>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</si>
  <si>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</si>
  <si>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</si>
  <si>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</si>
  <si>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</si>
  <si>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</si>
  <si>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</si>
  <si>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</si>
  <si>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</si>
  <si>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</si>
  <si>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</si>
  <si>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</si>
  <si>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</si>
  <si>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</si>
  <si>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</si>
  <si>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</si>
  <si>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</si>
  <si>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</si>
  <si>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</si>
  <si>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</si>
  <si>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</si>
  <si>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</si>
  <si>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</si>
  <si>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</si>
  <si>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</si>
  <si>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</si>
  <si>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</si>
  <si>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</si>
  <si>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</si>
  <si>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</si>
  <si>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</si>
  <si>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</si>
  <si>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</si>
  <si>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</si>
  <si>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</si>
  <si>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</si>
  <si>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</si>
  <si>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</si>
  <si>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</si>
  <si>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</si>
  <si>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</si>
  <si>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</si>
  <si>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</si>
  <si>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</si>
  <si>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</si>
  <si>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</si>
  <si>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</si>
  <si>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</si>
  <si>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</si>
  <si>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</si>
  <si>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</si>
  <si>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</si>
  <si>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</si>
  <si>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</si>
  <si>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</si>
  <si>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</si>
  <si>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</si>
  <si>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</si>
  <si>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</si>
  <si>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</si>
  <si>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</si>
  <si>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</si>
  <si>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</si>
  <si>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</si>
  <si>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</si>
  <si>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</si>
  <si>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</si>
  <si>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</si>
  <si>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</si>
  <si>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</si>
  <si>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</si>
  <si>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</si>
  <si>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</si>
  <si>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</si>
  <si>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</si>
  <si>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</si>
  <si>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</si>
  <si>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</si>
  <si>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</si>
  <si>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</si>
  <si>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</si>
  <si>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</si>
  <si>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</si>
  <si>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</si>
  <si>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</si>
  <si>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</si>
  <si>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</si>
  <si>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</si>
  <si>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</si>
  <si>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</si>
  <si>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</si>
  <si>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</si>
  <si>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</si>
  <si>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</si>
  <si>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</si>
  <si>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</si>
  <si>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</si>
  <si>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</si>
  <si>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</si>
  <si>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</si>
  <si>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</si>
  <si>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</si>
  <si>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</si>
  <si>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</si>
  <si>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</si>
  <si>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</si>
  <si>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</si>
  <si>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</si>
  <si>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</si>
  <si>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</si>
  <si>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</si>
  <si>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</si>
  <si>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</si>
  <si>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</si>
  <si>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</si>
  <si>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</si>
  <si>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</si>
  <si>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</si>
  <si>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</si>
  <si>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</si>
  <si>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</si>
  <si>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</si>
  <si>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</si>
  <si>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</si>
  <si>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</si>
  <si>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</si>
  <si>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</si>
  <si>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</si>
  <si>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</si>
  <si>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</si>
  <si>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</si>
  <si>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</si>
  <si>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</si>
  <si>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</si>
  <si>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</si>
  <si>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</si>
  <si>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</si>
  <si>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</si>
  <si>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</si>
  <si>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</si>
  <si>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</si>
  <si>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</si>
  <si>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</si>
  <si>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</si>
  <si>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</si>
  <si>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</si>
  <si>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</si>
  <si>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</si>
  <si>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</si>
  <si>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</si>
  <si>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</si>
  <si>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</si>
  <si>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</si>
  <si>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</si>
  <si>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</si>
  <si>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</si>
  <si>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</si>
  <si>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</si>
  <si>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</si>
  <si>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</si>
  <si>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</si>
  <si>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</si>
  <si>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</si>
  <si>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</si>
  <si>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</si>
  <si>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</si>
  <si>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</si>
  <si>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</si>
  <si>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</si>
  <si>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</si>
  <si>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</si>
  <si>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</si>
  <si>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</si>
  <si>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</si>
  <si>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</si>
  <si>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</si>
  <si>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</si>
  <si>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</si>
  <si>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</si>
  <si>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</si>
  <si>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</si>
  <si>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</si>
  <si>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</si>
  <si>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</si>
  <si>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</si>
  <si>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</si>
  <si>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</si>
  <si>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</si>
  <si>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</si>
  <si>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</si>
  <si>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</si>
  <si>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</si>
  <si>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</si>
  <si>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</si>
  <si>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</si>
  <si>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</si>
  <si>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</si>
  <si>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</si>
  <si>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</si>
  <si>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</si>
  <si>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</si>
  <si>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</si>
  <si>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</si>
  <si>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</si>
  <si>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</si>
  <si>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</si>
  <si>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</si>
  <si>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</si>
  <si>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</si>
  <si>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</si>
  <si>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</si>
  <si>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</si>
  <si>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</si>
  <si>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</si>
  <si>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</si>
  <si>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</si>
  <si>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</si>
  <si>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</si>
  <si>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</si>
  <si>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</si>
  <si>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</si>
  <si>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</si>
  <si>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</si>
  <si>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</si>
  <si>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</si>
  <si>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</si>
  <si>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</si>
  <si>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</si>
  <si>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</si>
  <si>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</si>
  <si>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</si>
  <si>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</si>
  <si>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</si>
  <si>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</si>
  <si>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</si>
  <si>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</si>
  <si>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</si>
  <si>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</si>
  <si>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</si>
  <si>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</si>
  <si>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</si>
  <si>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</si>
  <si>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</si>
  <si>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</si>
  <si>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</si>
  <si>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</si>
  <si>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</si>
  <si>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</si>
  <si>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</si>
  <si>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</si>
  <si>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</si>
  <si>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</si>
  <si>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</si>
  <si>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</si>
  <si>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</si>
  <si>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</si>
  <si>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</si>
  <si>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</si>
  <si>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</si>
  <si>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</si>
  <si>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</si>
  <si>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</si>
  <si>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</si>
  <si>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</si>
  <si>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</si>
  <si>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</si>
  <si>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</si>
  <si>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</si>
  <si>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</si>
  <si>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</si>
  <si>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</si>
  <si>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</si>
  <si>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</si>
  <si>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</si>
  <si>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</si>
  <si>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</si>
  <si>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</si>
  <si>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</si>
  <si>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</si>
  <si>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</si>
  <si>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</si>
  <si>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</si>
  <si>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</si>
  <si>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</si>
  <si>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</si>
  <si>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</si>
  <si>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</si>
  <si>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</si>
  <si>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</si>
  <si>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</si>
  <si>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</si>
  <si>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</si>
  <si>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</si>
  <si>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</si>
  <si>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</si>
  <si>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</si>
  <si>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</si>
  <si>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</si>
  <si>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</si>
  <si>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</si>
  <si>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</si>
  <si>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</si>
  <si>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</si>
  <si>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</si>
  <si>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</si>
  <si>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</si>
  <si>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</si>
  <si>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</si>
  <si>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</si>
  <si>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</si>
  <si>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</si>
  <si>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</si>
  <si>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</si>
  <si>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</si>
  <si>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</si>
  <si>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</si>
  <si>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</si>
  <si>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</si>
  <si>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</si>
  <si>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</si>
  <si>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</si>
  <si>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</si>
  <si>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</si>
  <si>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</si>
  <si>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</si>
  <si>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</si>
  <si>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</si>
  <si>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</si>
  <si>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</si>
  <si>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</si>
  <si>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</si>
  <si>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</si>
  <si>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</si>
  <si>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</si>
  <si>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</si>
  <si>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</si>
  <si>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</si>
  <si>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</si>
  <si>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</si>
  <si>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</si>
  <si>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</si>
  <si>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</si>
  <si>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</si>
  <si>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</si>
  <si>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</si>
  <si>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</si>
  <si>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</si>
  <si>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</si>
  <si>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</si>
  <si>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</si>
  <si>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</si>
  <si>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</si>
  <si>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</si>
  <si>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</si>
  <si>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</si>
  <si>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</si>
  <si>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</si>
  <si>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</si>
  <si>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</si>
  <si>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</si>
  <si>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</si>
  <si>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</si>
  <si>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</si>
  <si>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</si>
  <si>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</si>
  <si>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</si>
  <si>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</si>
  <si>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</si>
  <si>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</si>
  <si>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</si>
  <si>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</si>
  <si>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</si>
  <si>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</si>
  <si>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</si>
  <si>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</si>
  <si>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</si>
  <si>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</si>
  <si>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</si>
  <si>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</si>
  <si>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</si>
  <si>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</si>
  <si>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</si>
  <si>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</si>
  <si>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</si>
  <si>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</si>
  <si>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</si>
  <si>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</si>
  <si>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</si>
  <si>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</si>
  <si>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</si>
  <si>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</si>
  <si>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</si>
  <si>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</si>
  <si>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</si>
  <si>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</si>
  <si>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</si>
  <si>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</si>
  <si>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</si>
  <si>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</si>
  <si>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</si>
  <si>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</si>
  <si>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</si>
  <si>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</si>
  <si>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</si>
  <si>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</si>
  <si>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</si>
  <si>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</si>
  <si>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</si>
  <si>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</si>
  <si>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</si>
  <si>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</si>
  <si>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</si>
  <si>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</si>
  <si>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</si>
  <si>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</si>
  <si>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</si>
  <si>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</si>
  <si>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</si>
  <si>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</si>
  <si>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</si>
  <si>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</si>
  <si>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</si>
  <si>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</si>
  <si>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</si>
  <si>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</si>
  <si>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</si>
  <si>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</si>
  <si>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</si>
  <si>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</si>
  <si>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</si>
  <si>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</si>
  <si>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</si>
  <si>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</si>
  <si>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</si>
  <si>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</si>
  <si>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</si>
  <si>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</si>
  <si>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</si>
  <si>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</si>
  <si>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</si>
  <si>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</si>
  <si>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</si>
  <si>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</si>
  <si>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</si>
  <si>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</si>
  <si>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</si>
  <si>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</si>
  <si>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</si>
  <si>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</si>
  <si>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</si>
  <si>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</si>
  <si>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</si>
  <si>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</si>
  <si>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</si>
  <si>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</si>
  <si>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</si>
  <si>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</si>
  <si>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</si>
  <si>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</si>
  <si>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</si>
  <si>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</si>
  <si>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</si>
  <si>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</si>
  <si>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</si>
  <si>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</si>
  <si>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</si>
  <si>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</si>
  <si>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</si>
  <si>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</si>
  <si>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</si>
  <si>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</si>
  <si>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</si>
  <si>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</si>
  <si>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</si>
  <si>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</si>
  <si>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</si>
  <si>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</si>
  <si>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</si>
  <si>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</si>
  <si>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</si>
  <si>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</si>
  <si>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</si>
  <si>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</si>
  <si>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</si>
  <si>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</si>
  <si>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</si>
  <si>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</si>
  <si>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</si>
  <si>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</si>
  <si>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</si>
  <si>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</si>
  <si>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</si>
  <si>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</si>
  <si>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</si>
  <si>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</si>
  <si>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</si>
  <si>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</si>
  <si>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</si>
  <si>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</si>
  <si>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</si>
  <si>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</si>
  <si>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</si>
  <si>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</si>
  <si>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</si>
  <si>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</si>
  <si>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</si>
  <si>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</si>
  <si>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</si>
  <si>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</si>
  <si>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</si>
  <si>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</si>
  <si>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</si>
  <si>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</si>
  <si>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</si>
  <si>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</si>
  <si>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</si>
  <si>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</si>
  <si>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</si>
  <si>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</si>
  <si>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</si>
  <si>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</si>
  <si>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</si>
  <si>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</si>
  <si>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</si>
  <si>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</si>
  <si>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</si>
  <si>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</si>
  <si>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</si>
  <si>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</si>
  <si>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</si>
  <si>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</si>
  <si>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</si>
  <si>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</si>
  <si>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</si>
  <si>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</si>
  <si>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</si>
  <si>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</si>
  <si>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</si>
  <si>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</si>
  <si>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</si>
  <si>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</si>
  <si>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</si>
  <si>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</si>
  <si>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</si>
  <si>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</si>
  <si>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</si>
  <si>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</si>
  <si>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</si>
  <si>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</si>
  <si>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</si>
  <si>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</si>
  <si>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</si>
  <si>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</si>
  <si>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</si>
  <si>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</si>
  <si>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</si>
  <si>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</si>
  <si>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</si>
  <si>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</si>
  <si>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</si>
  <si>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</si>
  <si>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</si>
  <si>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</si>
  <si>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</si>
  <si>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</si>
  <si>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</si>
  <si>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</si>
  <si>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</si>
  <si>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</si>
  <si>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</si>
  <si>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</si>
  <si>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</si>
  <si>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</si>
  <si>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</si>
  <si>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</si>
  <si>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</si>
  <si>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</si>
  <si>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</si>
  <si>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</si>
  <si>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</si>
  <si>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</si>
  <si>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</si>
  <si>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</si>
  <si>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</si>
  <si>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</si>
  <si>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</si>
  <si>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</si>
  <si>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</si>
  <si>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</si>
  <si>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</si>
  <si>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</si>
  <si>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</si>
  <si>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</si>
  <si>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</si>
  <si>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</si>
  <si>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</si>
  <si>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</si>
  <si>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</si>
  <si>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</si>
  <si>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</si>
  <si>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</si>
  <si>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</si>
  <si>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</si>
  <si>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</si>
  <si>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</si>
  <si>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</si>
  <si>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</si>
  <si>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</si>
  <si>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</si>
  <si>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</si>
  <si>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</si>
  <si>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</si>
  <si>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</si>
  <si>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</si>
  <si>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</si>
  <si>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</si>
  <si>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</si>
  <si>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</si>
  <si>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</si>
  <si>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</si>
  <si>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</si>
  <si>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</si>
  <si>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</si>
  <si>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</si>
  <si>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</si>
  <si>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</si>
  <si>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</si>
  <si>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</si>
  <si>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</si>
  <si>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</si>
  <si>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</si>
  <si>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</si>
  <si>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</si>
  <si>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</si>
  <si>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</si>
  <si>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</si>
  <si>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</si>
  <si>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</si>
  <si>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</si>
  <si>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</si>
  <si>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</si>
  <si>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</si>
  <si>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</si>
  <si>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</si>
  <si>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</si>
  <si>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</si>
  <si>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</si>
  <si>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</si>
  <si>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</si>
  <si>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</si>
  <si>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</si>
  <si>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</si>
  <si>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</si>
  <si>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</si>
  <si>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</si>
  <si>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</si>
  <si>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</si>
  <si>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</si>
  <si>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</si>
  <si>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</si>
  <si>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</si>
  <si>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</si>
  <si>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</si>
  <si>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</si>
  <si>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</si>
  <si>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</si>
  <si>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</si>
  <si>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</si>
  <si>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</si>
  <si>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</si>
  <si>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</si>
  <si>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</si>
  <si>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</si>
  <si>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</si>
  <si>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</si>
  <si>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</si>
  <si>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</si>
  <si>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</si>
  <si>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</si>
  <si>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</si>
  <si>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</si>
  <si>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</si>
  <si>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</si>
  <si>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</si>
  <si>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</si>
  <si>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</si>
  <si>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</si>
  <si>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</si>
  <si>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</si>
  <si>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</si>
  <si>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</si>
  <si>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</si>
  <si>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</si>
  <si>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</si>
  <si>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</si>
  <si>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</si>
  <si>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</si>
  <si>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</si>
  <si>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</si>
  <si>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</si>
  <si>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</si>
  <si>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</si>
  <si>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</si>
  <si>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</si>
  <si>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</si>
  <si>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</si>
  <si>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</si>
  <si>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</si>
  <si>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</si>
  <si>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</si>
  <si>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</si>
  <si>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</si>
  <si>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</si>
  <si>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</si>
  <si>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</si>
  <si>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</si>
  <si>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</si>
  <si>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</si>
  <si>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</si>
  <si>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</si>
  <si>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</si>
  <si>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</si>
  <si>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</si>
  <si>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</si>
  <si>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</si>
  <si>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</si>
  <si>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</si>
  <si>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</si>
  <si>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</si>
  <si>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</si>
  <si>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</si>
  <si>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</si>
  <si>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</si>
  <si>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</si>
  <si>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</si>
  <si>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</si>
  <si>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</si>
  <si>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</si>
  <si>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</si>
  <si>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</si>
  <si>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</si>
  <si>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</si>
  <si>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</si>
  <si>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</si>
  <si>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</si>
  <si>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</si>
  <si>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</si>
  <si>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</si>
  <si>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</si>
  <si>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</si>
  <si>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</si>
  <si>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</si>
  <si>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</si>
  <si>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</si>
  <si>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</si>
  <si>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</si>
  <si>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</si>
  <si>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</si>
  <si>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</si>
  <si>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</si>
  <si>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</si>
  <si>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</si>
  <si>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</si>
  <si>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</si>
  <si>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</si>
  <si>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</si>
  <si>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</si>
  <si>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</si>
  <si>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</si>
  <si>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</si>
  <si>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</si>
  <si>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</si>
  <si>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</si>
  <si>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</si>
  <si>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</si>
  <si>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</si>
  <si>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</si>
  <si>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</si>
  <si>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</si>
  <si>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</si>
  <si>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</si>
  <si>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</si>
  <si>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</si>
  <si>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</si>
  <si>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</si>
  <si>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</si>
  <si>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</si>
  <si>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</si>
  <si>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</si>
  <si>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</si>
  <si>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</si>
  <si>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</si>
  <si>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</si>
  <si>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</si>
  <si>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</si>
  <si>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</si>
  <si>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</si>
  <si>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</si>
  <si>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</si>
  <si>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</si>
  <si>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</si>
  <si>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</si>
  <si>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</si>
  <si>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</si>
  <si>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</si>
  <si>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</si>
  <si>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</si>
  <si>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</si>
  <si>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</si>
  <si>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</si>
  <si>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</si>
  <si>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</si>
  <si>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</si>
  <si>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</si>
  <si>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</si>
  <si>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</si>
  <si>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</si>
  <si>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</si>
  <si>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</si>
  <si>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</si>
  <si>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</si>
  <si>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</si>
  <si>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</si>
  <si>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</si>
  <si>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</si>
  <si>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</si>
  <si>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</si>
  <si>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</si>
  <si>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</si>
  <si>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</si>
  <si>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</si>
  <si>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</si>
  <si>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</si>
  <si>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</si>
  <si>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</si>
  <si>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</si>
  <si>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</si>
  <si>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</si>
  <si>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</si>
  <si>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</si>
  <si>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</si>
  <si>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</si>
  <si>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</si>
  <si>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</si>
  <si>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</si>
  <si>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</si>
  <si>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</si>
  <si>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</si>
  <si>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</si>
  <si>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</si>
  <si>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</si>
  <si>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</si>
  <si>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</si>
  <si>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</si>
  <si>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</si>
  <si>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</si>
  <si>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</si>
  <si>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</si>
  <si>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</si>
  <si>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</si>
  <si>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</si>
  <si>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</si>
  <si>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</si>
  <si>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</si>
  <si>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</si>
  <si>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</si>
  <si>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</si>
  <si>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</si>
  <si>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</si>
  <si>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</si>
  <si>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</si>
  <si>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</si>
  <si>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</si>
  <si>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</si>
  <si>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</si>
  <si>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</si>
  <si>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</si>
  <si>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</si>
  <si>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</si>
  <si>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</si>
  <si>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</si>
  <si>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</si>
  <si>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</si>
  <si>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</si>
  <si>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</si>
  <si>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</si>
  <si>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</si>
  <si>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</si>
  <si>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</si>
  <si>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</si>
  <si>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</si>
  <si>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</si>
  <si>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</si>
  <si>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</si>
  <si>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</si>
  <si>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</si>
  <si>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</si>
  <si>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</si>
  <si>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</si>
  <si>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</si>
  <si>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</si>
  <si>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</si>
  <si>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</si>
  <si>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</si>
  <si>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</si>
  <si>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</si>
  <si>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</si>
  <si>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</si>
  <si>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</si>
  <si>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</si>
  <si>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</si>
  <si>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</si>
  <si>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</si>
  <si>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</si>
  <si>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</si>
  <si>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</si>
  <si>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</si>
  <si>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</si>
  <si>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</si>
  <si>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</si>
  <si>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</si>
  <si>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</si>
  <si>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</si>
  <si>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</si>
  <si>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</si>
  <si>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</si>
  <si>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</si>
  <si>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</si>
  <si>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</si>
  <si>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</si>
  <si>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</si>
  <si>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</si>
  <si>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</si>
  <si>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</si>
  <si>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</si>
  <si>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</si>
  <si>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</si>
  <si>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</si>
  <si>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</si>
  <si>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</si>
  <si>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</si>
  <si>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</si>
  <si>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</si>
  <si>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</si>
  <si>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</si>
  <si>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</si>
  <si>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</si>
  <si>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</si>
  <si>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</si>
  <si>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</si>
  <si>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</si>
  <si>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</si>
  <si>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</si>
  <si>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</si>
  <si>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</si>
  <si>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</si>
  <si>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</si>
  <si>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</si>
  <si>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</si>
  <si>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</si>
  <si>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</si>
  <si>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</si>
  <si>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</si>
  <si>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</si>
  <si>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</si>
  <si>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</si>
  <si>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</si>
  <si>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</si>
  <si>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</si>
  <si>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</si>
  <si>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</si>
  <si>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</si>
  <si>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</si>
  <si>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</si>
  <si>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</si>
  <si>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</si>
  <si>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</si>
  <si>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</si>
  <si>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</si>
  <si>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</si>
  <si>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</si>
  <si>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</si>
  <si>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</si>
  <si>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</si>
  <si>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</si>
  <si>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</si>
  <si>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</si>
  <si>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</si>
  <si>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</si>
  <si>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</si>
  <si>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</si>
  <si>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</si>
  <si>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</si>
  <si>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</si>
  <si>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</si>
  <si>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</si>
  <si>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</si>
  <si>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</si>
  <si>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</si>
  <si>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</si>
  <si>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</si>
  <si>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</si>
  <si>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</si>
  <si>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</si>
  <si>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</si>
  <si>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</si>
  <si>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</si>
  <si>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</si>
  <si>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</si>
  <si>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</si>
  <si>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</si>
  <si>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</si>
  <si>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</si>
  <si>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</si>
  <si>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</si>
  <si>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</si>
  <si>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</si>
  <si>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</si>
  <si>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</si>
  <si>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</si>
  <si>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</si>
  <si>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</si>
  <si>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</si>
  <si>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</si>
  <si>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</si>
  <si>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</si>
  <si>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</si>
  <si>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</si>
  <si>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</si>
  <si>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</si>
  <si>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</si>
  <si>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</si>
  <si>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</si>
  <si>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</si>
  <si>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</si>
  <si>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</si>
  <si>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</si>
  <si>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</si>
  <si>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</si>
  <si>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</si>
  <si>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</si>
  <si>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</si>
  <si>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</si>
  <si>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</si>
  <si>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</si>
  <si>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</si>
  <si>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</si>
  <si>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</si>
  <si>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</si>
  <si>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</si>
  <si>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</si>
  <si>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</si>
  <si>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</si>
  <si>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</si>
  <si>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</si>
  <si>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</si>
  <si>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</si>
  <si>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</si>
  <si>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</si>
  <si>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</si>
  <si>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</si>
  <si>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</si>
  <si>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</si>
  <si>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</si>
  <si>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</si>
  <si>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</si>
  <si>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</si>
  <si>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</si>
  <si>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</si>
  <si>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</si>
  <si>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</si>
  <si>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</si>
  <si>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</si>
  <si>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</si>
  <si>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</si>
  <si>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</si>
  <si>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</si>
  <si>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</si>
  <si>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</si>
  <si>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</si>
  <si>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</si>
  <si>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</si>
  <si>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</si>
  <si>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</si>
  <si>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</si>
  <si>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</si>
  <si>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</si>
  <si>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</si>
  <si>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</si>
  <si>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</si>
  <si>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</si>
  <si>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</si>
  <si>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</si>
  <si>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</si>
  <si>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</si>
  <si>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</si>
  <si>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</si>
  <si>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</si>
  <si>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</si>
  <si>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</si>
  <si>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</si>
  <si>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</si>
  <si>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</si>
  <si>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</si>
  <si>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</si>
  <si>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</si>
  <si>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</si>
  <si>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</si>
  <si>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</si>
  <si>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</si>
  <si>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</si>
  <si>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</si>
  <si>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</si>
  <si>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</si>
  <si>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</si>
  <si>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</si>
  <si>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</si>
  <si>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</si>
  <si>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</si>
  <si>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</si>
  <si>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</si>
  <si>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</si>
  <si>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</si>
  <si>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</si>
  <si>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</si>
  <si>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</si>
  <si>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</si>
  <si>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</si>
  <si>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</si>
  <si>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</si>
  <si>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</si>
  <si>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</si>
  <si>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</si>
  <si>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</si>
  <si>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</si>
  <si>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</si>
  <si>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</si>
  <si>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</si>
  <si>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</si>
  <si>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</si>
  <si>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</si>
  <si>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</si>
  <si>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</si>
  <si>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</si>
  <si>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</si>
  <si>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</si>
  <si>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</si>
  <si>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</si>
  <si>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</si>
  <si>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</si>
  <si>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</si>
  <si>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</si>
  <si>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</si>
  <si>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</si>
  <si>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</si>
  <si>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</si>
  <si>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</si>
  <si>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</si>
  <si>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</si>
  <si>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</si>
  <si>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</si>
  <si>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</si>
  <si>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</si>
  <si>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</si>
  <si>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</si>
  <si>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</si>
  <si>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</si>
  <si>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</si>
  <si>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</si>
  <si>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</si>
  <si>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</si>
  <si>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</si>
  <si>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</si>
  <si>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</si>
  <si>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</si>
  <si>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</si>
  <si>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</si>
  <si>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</si>
  <si>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</si>
  <si>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</si>
  <si>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</si>
  <si>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</si>
  <si>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</si>
  <si>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</si>
  <si>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</si>
  <si>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</si>
  <si>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</si>
  <si>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</si>
  <si>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</si>
  <si>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</si>
  <si>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</si>
  <si>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</si>
  <si>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</si>
  <si>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</si>
  <si>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</si>
  <si>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</si>
  <si>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</si>
  <si>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</si>
  <si>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</si>
  <si>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</si>
  <si>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</si>
  <si>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</si>
  <si>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</si>
  <si>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</si>
  <si>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</si>
  <si>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</si>
  <si>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</si>
  <si>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</si>
  <si>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</si>
  <si>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</si>
  <si>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</si>
  <si>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</si>
  <si>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</si>
  <si>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</si>
  <si>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</si>
  <si>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</si>
  <si>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</si>
  <si>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</si>
  <si>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</si>
  <si>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</si>
  <si>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</si>
  <si>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</si>
  <si>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</si>
  <si>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</si>
  <si>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</si>
  <si>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</si>
  <si>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</si>
  <si>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</si>
  <si>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</si>
  <si>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</si>
  <si>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</si>
  <si>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</si>
  <si>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</si>
  <si>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</si>
  <si>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</si>
  <si>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</si>
  <si>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</si>
  <si>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</si>
  <si>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</si>
  <si>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</si>
  <si>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</si>
  <si>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</si>
  <si>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</si>
  <si>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</si>
  <si>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</si>
  <si>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</si>
  <si>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</si>
  <si>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</si>
  <si>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</si>
  <si>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</si>
  <si>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</si>
  <si>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</si>
  <si>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</si>
  <si>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</si>
  <si>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</si>
  <si>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</si>
  <si>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</si>
  <si>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</si>
  <si>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</si>
  <si>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</si>
  <si>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</si>
  <si>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</si>
  <si>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</si>
  <si>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</si>
  <si>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</si>
  <si>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</si>
  <si>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</si>
  <si>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</si>
  <si>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</si>
  <si>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</si>
  <si>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</si>
  <si>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</si>
  <si>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</si>
  <si>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</si>
  <si>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</si>
  <si>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</si>
  <si>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</si>
  <si>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</si>
  <si>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</si>
  <si>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</si>
  <si>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</si>
  <si>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</si>
  <si>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</si>
  <si>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</si>
  <si>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</si>
  <si>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</si>
  <si>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</si>
  <si>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</si>
  <si>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</si>
  <si>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</si>
  <si>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</si>
  <si>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</si>
  <si>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</si>
  <si>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</si>
  <si>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</si>
  <si>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</si>
  <si>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</si>
  <si>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</si>
  <si>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</si>
  <si>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</si>
  <si>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</si>
  <si>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</si>
  <si>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</si>
  <si>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</si>
  <si>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</si>
  <si>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</si>
  <si>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</si>
  <si>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</si>
  <si>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</si>
  <si>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</si>
  <si>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</si>
  <si>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</si>
  <si>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</si>
  <si>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</si>
  <si>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</si>
  <si>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</si>
  <si>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</si>
  <si>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</si>
  <si>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</si>
  <si>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</si>
  <si>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</si>
  <si>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</si>
  <si>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</si>
  <si>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</si>
  <si>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</si>
  <si>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</si>
  <si>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</si>
  <si>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</si>
  <si>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</si>
  <si>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</si>
  <si>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</si>
  <si>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</si>
  <si>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</si>
  <si>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</si>
  <si>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</si>
  <si>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</si>
  <si>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</si>
  <si>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</si>
  <si>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</si>
  <si>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</si>
  <si>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</si>
  <si>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</si>
  <si>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</si>
  <si>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</si>
  <si>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</si>
  <si>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</si>
  <si>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</si>
  <si>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</si>
  <si>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</si>
  <si>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</si>
  <si>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</si>
  <si>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</si>
  <si>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</si>
  <si>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</si>
  <si>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</si>
  <si>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</si>
  <si>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</si>
  <si>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</si>
  <si>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</si>
  <si>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</si>
  <si>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</si>
  <si>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</si>
  <si>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</si>
  <si>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</si>
  <si>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</si>
  <si>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</si>
  <si>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</si>
  <si>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</si>
  <si>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</si>
  <si>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</si>
  <si>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</si>
  <si>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</si>
  <si>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</si>
  <si>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</si>
  <si>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</si>
  <si>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</si>
  <si>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</si>
  <si>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</si>
  <si>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</si>
  <si>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</si>
  <si>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</si>
  <si>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</si>
  <si>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</si>
  <si>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</si>
  <si>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</si>
  <si>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</si>
  <si>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</si>
  <si>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</si>
  <si>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</si>
  <si>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</si>
  <si>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</si>
  <si>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</si>
  <si>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</si>
  <si>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</si>
  <si>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</si>
  <si>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</si>
  <si>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</si>
  <si>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</si>
  <si>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</si>
  <si>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</si>
  <si>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</si>
  <si>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</si>
  <si>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</si>
  <si>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</si>
  <si>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</si>
  <si>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</si>
  <si>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</si>
  <si>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</si>
  <si>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</si>
  <si>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</si>
  <si>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</si>
  <si>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</si>
  <si>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</si>
  <si>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</si>
  <si>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</si>
  <si>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</si>
  <si>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</si>
  <si>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</si>
  <si>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</si>
  <si>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</si>
  <si>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</si>
  <si>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</si>
  <si>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</si>
  <si>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</si>
  <si>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</si>
  <si>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</si>
  <si>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</si>
  <si>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</si>
  <si>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</si>
  <si>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</si>
  <si>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</si>
  <si>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</si>
  <si>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</si>
  <si>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</si>
  <si>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</si>
  <si>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</si>
  <si>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</si>
  <si>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</si>
  <si>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</si>
  <si>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</si>
  <si>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</si>
  <si>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</si>
  <si>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</si>
  <si>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</si>
  <si>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</si>
  <si>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</si>
  <si>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</si>
  <si>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</si>
  <si>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</si>
  <si>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</si>
  <si>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</si>
  <si>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</si>
  <si>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</si>
  <si>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</si>
  <si>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</si>
  <si>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</si>
  <si>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</si>
  <si>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</si>
  <si>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</si>
  <si>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</si>
  <si>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</si>
  <si>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</si>
  <si>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</si>
  <si>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</si>
  <si>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</si>
  <si>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</si>
  <si>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</si>
  <si>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</si>
  <si>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</si>
  <si>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</si>
  <si>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</si>
  <si>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</si>
  <si>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</si>
  <si>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</si>
  <si>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</si>
  <si>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</si>
  <si>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</si>
  <si>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</si>
  <si>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</si>
  <si>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</si>
  <si>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</si>
  <si>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</si>
  <si>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</si>
  <si>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</si>
  <si>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</si>
  <si>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</si>
  <si>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</si>
  <si>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</si>
  <si>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</si>
  <si>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</si>
  <si>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</si>
  <si>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</si>
  <si>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</si>
  <si>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</si>
  <si>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</si>
  <si>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</si>
  <si>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</si>
  <si>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</si>
  <si>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</si>
  <si>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</si>
  <si>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</si>
  <si>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</si>
  <si>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</si>
  <si>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</si>
  <si>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</si>
  <si>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</si>
  <si>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</si>
  <si>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</si>
  <si>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</si>
  <si>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</si>
  <si>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</si>
  <si>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</si>
  <si>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</si>
  <si>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</si>
  <si>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</si>
  <si>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</si>
  <si>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</si>
  <si>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</si>
  <si>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</si>
  <si>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</si>
  <si>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</si>
  <si>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</si>
  <si>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</si>
  <si>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</si>
  <si>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</si>
  <si>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</si>
  <si>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</si>
  <si>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</si>
  <si>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</si>
  <si>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</si>
  <si>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</si>
  <si>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</si>
  <si>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</si>
  <si>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</si>
  <si>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</si>
  <si>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</si>
  <si>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</si>
  <si>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</si>
  <si>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</si>
  <si>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</si>
  <si>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</si>
  <si>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</si>
  <si>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</si>
  <si>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</si>
  <si>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</si>
  <si>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</si>
  <si>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</si>
  <si>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</si>
  <si>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</si>
  <si>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</si>
  <si>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</si>
  <si>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</si>
  <si>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</si>
  <si>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</si>
  <si>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</si>
  <si>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</si>
  <si>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</si>
  <si>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</si>
  <si>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房地产抵押价值</t>
  </si>
  <si>
    <t>出让</t>
  </si>
  <si>
    <t>是</t>
  </si>
  <si>
    <t>地上</t>
  </si>
  <si>
    <t>收益法</t>
  </si>
  <si>
    <t>自定义</t>
  </si>
  <si>
    <t>按租金收入计税</t>
  </si>
  <si>
    <t>工业用地</t>
  </si>
  <si>
    <t>不临58条商业街</t>
  </si>
  <si>
    <t>通路</t>
  </si>
  <si>
    <t>通电</t>
  </si>
  <si>
    <t>通讯</t>
  </si>
  <si>
    <t>通上水</t>
  </si>
  <si>
    <t>通下水</t>
  </si>
  <si>
    <t>平整</t>
  </si>
  <si>
    <t>燃气</t>
  </si>
  <si>
    <t>无</t>
  </si>
  <si>
    <t>1000米以外</t>
  </si>
  <si>
    <t>按公示增长率计算</t>
  </si>
  <si>
    <t>容积率修正</t>
  </si>
  <si>
    <t>Ⅹ-平1</t>
  </si>
  <si>
    <t>未包含在土地购买价格中</t>
  </si>
  <si>
    <t>已包含在土地取得成本中</t>
  </si>
  <si>
    <t>现房</t>
  </si>
  <si>
    <t>项目全部</t>
  </si>
  <si>
    <t>成本法</t>
  </si>
  <si>
    <t>总价</t>
  </si>
  <si>
    <t>成本比率</t>
  </si>
  <si>
    <t>较好</t>
  </si>
  <si>
    <t>一般</t>
  </si>
  <si>
    <t>好</t>
  </si>
  <si>
    <t>较差</t>
  </si>
  <si>
    <t>成新度</t>
  </si>
  <si>
    <t>与级别开发程度不一致</t>
  </si>
  <si>
    <t>企业</t>
  </si>
  <si>
    <t>抵押</t>
  </si>
  <si>
    <t>地下</t>
  </si>
  <si>
    <t>车库</t>
  </si>
  <si>
    <t>商业</t>
    <phoneticPr fontId="7" type="noConversion"/>
  </si>
  <si>
    <t>地下车库</t>
    <phoneticPr fontId="7" type="noConversion"/>
  </si>
  <si>
    <t>地块名称</t>
  </si>
  <si>
    <t>详细规划</t>
  </si>
  <si>
    <t>建设用地面积(㎡)</t>
  </si>
  <si>
    <t>规划建筑面积(㎡)</t>
  </si>
  <si>
    <t>容积率</t>
  </si>
  <si>
    <t>截止日期</t>
  </si>
  <si>
    <t>成交日期</t>
  </si>
  <si>
    <t>起始价(万元)</t>
  </si>
  <si>
    <t>成交价(万元)</t>
  </si>
  <si>
    <t>成交每亩价(万元/亩)</t>
  </si>
  <si>
    <t>成交楼面价(元/㎡)</t>
  </si>
  <si>
    <t>溢价率</t>
  </si>
  <si>
    <t>受让单位</t>
  </si>
  <si>
    <t>地面价</t>
    <phoneticPr fontId="3" type="noConversion"/>
  </si>
  <si>
    <t>重庆市黔江区正阳街道桐坪社区</t>
  </si>
  <si>
    <t>其他商服用地</t>
  </si>
  <si>
    <t>小于或等于1.5</t>
  </si>
  <si>
    <t>2020-06-28</t>
  </si>
  <si>
    <t>中国石油天然气股份有限公司重庆黔江销售分公司</t>
  </si>
  <si>
    <t>重庆市黔江区白土乡三塘村</t>
  </si>
  <si>
    <t>旅馆用地</t>
  </si>
  <si>
    <t>2019-12-13</t>
  </si>
  <si>
    <t>重庆市黔江区现代农业投资有限责任公司</t>
  </si>
  <si>
    <t>舟白街道平坝社区6组</t>
  </si>
  <si>
    <t>商务金融用地</t>
  </si>
  <si>
    <t>大于或等于1并且小于或等于1.5</t>
  </si>
  <si>
    <t>2019-11-28</t>
  </si>
  <si>
    <t>重庆市黔江区城市建设投资(集团)有限公司</t>
  </si>
  <si>
    <t>重庆市黔江区正阳街道朝阳社区</t>
  </si>
  <si>
    <t>大于或等于1并且小于或等于2</t>
  </si>
  <si>
    <t>2019-11-22</t>
  </si>
  <si>
    <t>重庆鸿业实业(集团)有限公司</t>
  </si>
  <si>
    <t>黔江区濯水镇柏杨居委4组</t>
  </si>
  <si>
    <t>≤1.1</t>
  </si>
  <si>
    <t>2019-05-15</t>
  </si>
  <si>
    <t>重庆市黔江区旅游投资开发有限公司</t>
  </si>
  <si>
    <t>黔江区濯水镇蒲花居委7组</t>
  </si>
  <si>
    <t>娱乐用地</t>
  </si>
  <si>
    <t>≤1</t>
  </si>
  <si>
    <t>正阳组团武陵大道与规划路交叉口东南侧</t>
  </si>
  <si>
    <t>2018-08-15</t>
  </si>
  <si>
    <t>中国石化销售有限公司重庆黔江石油分公司</t>
  </si>
  <si>
    <t>正阳组团嘉华城以南、检察四分院以北、正舟路东侧</t>
  </si>
  <si>
    <t>重庆市黔江区湘星商贸有限公司</t>
  </si>
  <si>
    <t>正阳街道物流园区物流路</t>
  </si>
  <si>
    <t>重庆中油鸿业石油有限公司</t>
  </si>
  <si>
    <t>舟白街道机场北二路与小南海路交叉处东南侧</t>
  </si>
  <si>
    <t>≤0.3</t>
  </si>
  <si>
    <t>正常</t>
  </si>
  <si>
    <t>商业</t>
    <phoneticPr fontId="31" type="noConversion"/>
  </si>
  <si>
    <t>较规则</t>
  </si>
  <si>
    <t>较规则</t>
    <phoneticPr fontId="31" type="noConversion"/>
  </si>
  <si>
    <t>较适宜</t>
  </si>
  <si>
    <t>较适宜</t>
    <phoneticPr fontId="31" type="noConversion"/>
  </si>
  <si>
    <t>五通</t>
  </si>
  <si>
    <t>五通</t>
    <phoneticPr fontId="31" type="noConversion"/>
  </si>
  <si>
    <t>较好</t>
    <phoneticPr fontId="31" type="noConversion"/>
  </si>
  <si>
    <r>
      <rPr>
        <sz val="10"/>
        <color theme="9" tint="-0.249977111117893"/>
        <rFont val="宋体"/>
        <family val="3"/>
        <charset val="134"/>
      </rPr>
      <t>商业、地下车库</t>
    </r>
    <r>
      <rPr>
        <sz val="10"/>
        <color theme="9" tint="-0.249977111117893"/>
        <rFont val="Arial"/>
        <family val="2"/>
      </rPr>
      <t>32.78</t>
    </r>
    <r>
      <rPr>
        <sz val="10"/>
        <color theme="9" tint="-0.249977111117893"/>
        <rFont val="宋体"/>
        <family val="3"/>
        <charset val="134"/>
      </rPr>
      <t>年</t>
    </r>
    <phoneticPr fontId="6" type="noConversion"/>
  </si>
  <si>
    <r>
      <t>40</t>
    </r>
    <r>
      <rPr>
        <sz val="11"/>
        <color indexed="8"/>
        <rFont val="宋体"/>
        <family val="3"/>
        <charset val="134"/>
      </rPr>
      <t>年</t>
    </r>
    <phoneticPr fontId="31" type="noConversion"/>
  </si>
  <si>
    <t>单位面积地价</t>
  </si>
  <si>
    <t>钢混</t>
  </si>
  <si>
    <t>非生产用房</t>
  </si>
  <si>
    <t>单面临街</t>
    <phoneticPr fontId="31" type="noConversion"/>
  </si>
  <si>
    <t>双面临街</t>
    <phoneticPr fontId="31" type="noConversion"/>
  </si>
  <si>
    <t>较好</t>
    <phoneticPr fontId="3" type="noConversion"/>
  </si>
  <si>
    <t>一般</t>
    <phoneticPr fontId="3" type="noConversion"/>
  </si>
  <si>
    <t>较差</t>
    <phoneticPr fontId="3" type="noConversion"/>
  </si>
  <si>
    <t>较多</t>
    <phoneticPr fontId="3" type="noConversion"/>
  </si>
  <si>
    <t>较少</t>
    <phoneticPr fontId="3" type="noConversion"/>
  </si>
  <si>
    <r>
      <t>1</t>
    </r>
    <r>
      <rPr>
        <sz val="11"/>
        <color theme="1"/>
        <rFont val="宋体"/>
        <family val="3"/>
        <charset val="134"/>
      </rPr>
      <t>、</t>
    </r>
    <r>
      <rPr>
        <sz val="11"/>
        <color theme="1"/>
        <rFont val="Arial"/>
        <family val="2"/>
      </rPr>
      <t>2</t>
    </r>
    <r>
      <rPr>
        <sz val="11"/>
        <color theme="1"/>
        <rFont val="宋体"/>
        <family val="3"/>
        <charset val="134"/>
      </rPr>
      <t>、</t>
    </r>
    <r>
      <rPr>
        <sz val="11"/>
        <color theme="1"/>
        <rFont val="Arial"/>
        <family val="2"/>
      </rPr>
      <t>3</t>
    </r>
    <r>
      <rPr>
        <sz val="11"/>
        <color theme="1"/>
        <rFont val="宋体"/>
        <family val="3"/>
        <charset val="134"/>
      </rPr>
      <t>、</t>
    </r>
    <r>
      <rPr>
        <sz val="11"/>
        <color theme="1"/>
        <rFont val="Arial"/>
        <family val="2"/>
      </rPr>
      <t>4</t>
    </r>
    <r>
      <rPr>
        <sz val="11"/>
        <color theme="1"/>
        <rFont val="宋体"/>
        <family val="3"/>
        <charset val="134"/>
      </rPr>
      <t>层</t>
    </r>
    <phoneticPr fontId="3" type="noConversion"/>
  </si>
  <si>
    <t>独立商业</t>
    <phoneticPr fontId="3" type="noConversion"/>
  </si>
  <si>
    <t>住宅配套商业</t>
    <phoneticPr fontId="3" type="noConversion"/>
  </si>
  <si>
    <t>钢混</t>
    <phoneticPr fontId="3" type="noConversion"/>
  </si>
  <si>
    <t>精装修</t>
    <phoneticPr fontId="3" type="noConversion"/>
  </si>
  <si>
    <t>五通</t>
    <phoneticPr fontId="3" type="noConversion"/>
  </si>
  <si>
    <t>可餐饮</t>
    <phoneticPr fontId="3" type="noConversion"/>
  </si>
  <si>
    <t>不可餐饮</t>
    <phoneticPr fontId="3" type="noConversion"/>
  </si>
  <si>
    <t>100-1000</t>
    <phoneticPr fontId="3" type="noConversion"/>
  </si>
  <si>
    <t>简装</t>
    <phoneticPr fontId="3" type="noConversion"/>
  </si>
  <si>
    <t>30-40（含）</t>
  </si>
  <si>
    <t>较少</t>
  </si>
  <si>
    <t>独立商业</t>
  </si>
  <si>
    <t>精装修</t>
  </si>
  <si>
    <t>可餐饮</t>
  </si>
  <si>
    <t>简装</t>
  </si>
  <si>
    <t>较好</t>
    <phoneticPr fontId="31" type="noConversion"/>
  </si>
  <si>
    <t>住宅配套商业</t>
  </si>
  <si>
    <t>50-100</t>
    <phoneticPr fontId="31" type="noConversion"/>
  </si>
  <si>
    <t>售价</t>
  </si>
  <si>
    <t>一层</t>
  </si>
  <si>
    <t>一层</t>
    <phoneticPr fontId="25" type="noConversion"/>
  </si>
  <si>
    <t>二层</t>
  </si>
  <si>
    <t>二层</t>
    <phoneticPr fontId="25" type="noConversion"/>
  </si>
  <si>
    <t>三层</t>
  </si>
  <si>
    <t>三层</t>
    <phoneticPr fontId="25" type="noConversion"/>
  </si>
  <si>
    <t>四层</t>
  </si>
  <si>
    <t>四层</t>
    <phoneticPr fontId="25" type="noConversion"/>
  </si>
  <si>
    <t>一层</t>
    <phoneticPr fontId="25" type="noConversion"/>
  </si>
  <si>
    <t>二层</t>
    <phoneticPr fontId="25" type="noConversion"/>
  </si>
  <si>
    <t>三层</t>
    <phoneticPr fontId="25" type="noConversion"/>
  </si>
  <si>
    <t>四层</t>
    <phoneticPr fontId="25" type="noConversion"/>
  </si>
  <si>
    <t>典型户型修正</t>
  </si>
  <si>
    <t>收益法（汇总）</t>
  </si>
  <si>
    <t>天生湖万丽城</t>
    <phoneticPr fontId="3" type="noConversion"/>
  </si>
  <si>
    <t>檀香山</t>
    <phoneticPr fontId="3" type="noConversion"/>
  </si>
  <si>
    <t>黔江碧桂园</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</si>
</sst>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FC0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4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104" fillId="0" borderId="23" xfId="0" applyFont="1" applyBorder="1" applyAlignment="1" applyProtection="1">
      <alignment vertical="center"/>
      <protection locked="0"/>
    </xf>
    <xf numFmtId="0" fontId="55" fillId="0" borderId="0" xfId="17" applyAlignment="1">
      <alignment horizontal="left" vertical="center"/>
    </xf>
    <xf numFmtId="0" fontId="19" fillId="0" borderId="0" xfId="17" applyFont="1" applyAlignment="1">
      <alignment horizontal="left" vertical="center"/>
    </xf>
    <xf numFmtId="14" fontId="55" fillId="0" borderId="0" xfId="17" applyNumberFormat="1" applyAlignment="1">
      <alignment horizontal="left" vertical="center"/>
    </xf>
    <xf numFmtId="0" fontId="0" fillId="0" borderId="0" xfId="0" applyAlignment="1">
      <alignment horizontal="left" vertical="center"/>
    </xf>
    <xf numFmtId="0" fontId="118" fillId="0" borderId="0" xfId="17" applyFont="1" applyAlignment="1">
      <alignment horizontal="left" vertical="center"/>
    </xf>
    <xf numFmtId="0" fontId="254" fillId="0" borderId="0" xfId="0" applyFont="1" applyAlignment="1">
      <alignment horizontal="left" vertical="center"/>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58" fontId="102" fillId="7" borderId="44" xfId="0" applyNumberFormat="1" applyFont="1" applyFill="1" applyBorder="1" applyAlignment="1" applyProtection="1">
      <alignment horizontal="center" vertical="center" wrapText="1"/>
      <protection locked="0"/>
    </xf>
    <xf numFmtId="0" fontId="102" fillId="7" borderId="78" xfId="0" applyNumberFormat="1" applyFont="1" applyFill="1" applyBorder="1" applyAlignment="1" applyProtection="1">
      <alignment horizontal="center" vertical="center" wrapText="1"/>
      <protection locked="0"/>
    </xf>
    <xf numFmtId="17" fontId="102" fillId="20" borderId="44" xfId="0" applyNumberFormat="1" applyFont="1" applyFill="1" applyBorder="1" applyAlignment="1" applyProtection="1">
      <alignment horizontal="center" vertical="center" wrapText="1"/>
      <protection locked="0"/>
    </xf>
    <xf numFmtId="0" fontId="102" fillId="20" borderId="44" xfId="0" applyNumberFormat="1" applyFont="1" applyFill="1" applyBorder="1" applyAlignment="1" applyProtection="1">
      <alignment horizontal="center" vertical="center" wrapText="1"/>
      <protection locked="0"/>
    </xf>
    <xf numFmtId="0" fontId="53" fillId="20" borderId="78"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189" fillId="0" borderId="1" xfId="0" applyFont="1" applyFill="1" applyBorder="1" applyAlignment="1" applyProtection="1">
      <alignment horizontal="center" vertical="center"/>
      <protection locked="0"/>
    </xf>
    <xf numFmtId="0" fontId="79" fillId="0" borderId="1" xfId="0" applyFont="1" applyBorder="1" applyProtection="1">
      <alignment vertical="center"/>
      <protection locked="0"/>
    </xf>
    <xf numFmtId="0" fontId="79" fillId="10" borderId="6" xfId="0" applyNumberFormat="1" applyFont="1" applyFill="1" applyBorder="1" applyAlignment="1" applyProtection="1">
      <alignment horizontal="center" vertical="center" wrapText="1"/>
      <protection locked="0"/>
    </xf>
    <xf numFmtId="0" fontId="79" fillId="10" borderId="9" xfId="0" applyNumberFormat="1" applyFont="1" applyFill="1" applyBorder="1" applyAlignment="1" applyProtection="1">
      <alignment horizontal="center" vertical="center" wrapText="1"/>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221" fillId="0" borderId="3"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0" fontId="52" fillId="19" borderId="1"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10</xdr:col>
      <xdr:colOff>89110</xdr:colOff>
      <xdr:row>48</xdr:row>
      <xdr:rowOff>122777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85950"/>
          <a:ext cx="9395035" cy="646642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4" customWidth="1"/>
    <col min="2" max="2" width="81" style="1371" customWidth="1"/>
    <col min="3" max="16384" width="9" style="1369"/>
  </cols>
  <sheetData>
    <row r="1" spans="1:2" s="1357" customFormat="1" ht="16.5" thickBot="1">
      <c r="A1" s="1356" t="s">
        <v>1186</v>
      </c>
      <c r="B1" s="1355" t="s">
        <v>1265</v>
      </c>
    </row>
    <row r="2" spans="1:2" s="1360" customFormat="1" ht="15" thickTop="1">
      <c r="A2" s="1358" t="s">
        <v>1187</v>
      </c>
      <c r="B2" s="1359" t="str">
        <f>'预评函-封皮'!B37:I37</f>
        <v>房地产抵押价值预评估</v>
      </c>
    </row>
    <row r="3" spans="1:2" s="1363" customFormat="1">
      <c r="A3" s="1361" t="s">
        <v>1188</v>
      </c>
      <c r="B3" s="1362">
        <f>'预评函-封皮'!B40</f>
        <v>0</v>
      </c>
    </row>
    <row r="4" spans="1:2" s="1363" customFormat="1">
      <c r="A4" s="1361" t="s">
        <v>1189</v>
      </c>
      <c r="B4" s="1362" t="str">
        <f>'预评函-封皮'!B46</f>
        <v>（注册号：0)、（注册号：0)</v>
      </c>
    </row>
    <row r="5" spans="1:2" s="1357" customFormat="1" ht="15" thickBot="1">
      <c r="A5" s="1364" t="s">
        <v>1190</v>
      </c>
      <c r="B5" s="1365" t="str">
        <f>'预评函-封皮'!B49</f>
        <v>康正预评字号</v>
      </c>
    </row>
    <row r="6" spans="1:2" s="1360" customFormat="1" ht="15" thickTop="1">
      <c r="A6" s="1358" t="s">
        <v>1191</v>
      </c>
      <c r="B6" s="1359" t="str">
        <f>'预评函-1'!A4</f>
        <v>受贵公司委托，我公司对房地产抵押价值进行了预评估。</v>
      </c>
    </row>
    <row r="7" spans="1:2" s="1363" customFormat="1">
      <c r="A7" s="1361" t="s">
        <v>1231</v>
      </c>
      <c r="B7" s="1362" t="str">
        <f>'预评函-1'!A7</f>
        <v>估价对象为房地产，为所有。根据《国有土地使用证》[]，估价对象（分摊）出让国有建设用地使用权面积为24172.12平方米，建筑面积为27960.83平方米。</v>
      </c>
    </row>
    <row r="8" spans="1:2" s="1363" customFormat="1">
      <c r="A8" s="1361" t="s">
        <v>1232</v>
      </c>
      <c r="B8" s="1362" t="str">
        <f>'预评函-1'!A8</f>
        <v>估价对象简述。项目推广名，项目类型（用途），估价对象分布，各用途面积明细情况：XX用途建筑面积XX平方米，XX用途建筑面积XX平方米，……。复杂面积清单需设‘附表’列示：抵押物清单详见附表</v>
      </c>
    </row>
    <row r="9" spans="1:2" s="1363" customFormat="1">
      <c r="A9" s="1361" t="s">
        <v>1233</v>
      </c>
      <c r="B9" s="1362" t="str">
        <f>'预评函-1'!A10</f>
        <v>估价对象为房地产,为开发建设的，该项目尚在开发建设中。根据《国有土地使用证》[]，估价对象（分摊）出让国有建设用地使用权面积为24172.12平方米，规划建筑面积为27960.83平方米。</v>
      </c>
    </row>
    <row r="10" spans="1:2" s="1363" customFormat="1">
      <c r="A10" s="1361" t="s">
        <v>1234</v>
      </c>
      <c r="B10" s="13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3" customFormat="1">
      <c r="A11" s="1361" t="s">
        <v>1192</v>
      </c>
      <c r="B11" s="1362"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363" customFormat="1">
      <c r="A12" s="1361" t="s">
        <v>1193</v>
      </c>
      <c r="B12" s="1362" t="str">
        <f>'预评函-1'!A15</f>
        <v>2021年1月28日（评估专业人员实地查勘之日）</v>
      </c>
    </row>
    <row r="13" spans="1:2" s="1363" customFormat="1">
      <c r="A13" s="1361" t="s">
        <v>1194</v>
      </c>
      <c r="B13" s="1362" t="str">
        <f>'预评函-1'!A18</f>
        <v>本次估价的“房地产价值”是指在正常市场情况下，在价值时点2021年1月28日，估价对象规划用途为，土地取得方式为出让，出让国有建设用地使用权剩余土地使用年限为商业、地下车库32.78年，假定未设立法定优先受偿款下的房地产市场价值。</v>
      </c>
    </row>
    <row r="14" spans="1:2" s="1363" customFormat="1">
      <c r="A14" s="1361" t="s">
        <v>1195</v>
      </c>
      <c r="B14" s="1362" t="str">
        <f>'预评函-1'!A19</f>
        <v>其中，“出让国有建设用地使用权价值”是指估价对象用途为，实际开发程度为宗地红线外“七通”（即、、、、、、）、红线内场地平整条件下，剩余土地使用年限为商业、地下车库32.78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3" customFormat="1">
      <c r="A15" s="1361" t="s">
        <v>1196</v>
      </c>
      <c r="B15" s="1362" t="str">
        <f>'预评函-1'!A20</f>
        <v>本次估价的“房地产抵押价值”是指估价对象在价值时点的“房地产价值”扣减估价师于价值时点所知悉的法定优先受偿款后的余额。</v>
      </c>
    </row>
    <row r="16" spans="1:2" s="1363" customFormat="1">
      <c r="A16" s="1361" t="s">
        <v>1197</v>
      </c>
      <c r="B16" s="13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3" customFormat="1">
      <c r="A17" s="1361" t="s">
        <v>1198</v>
      </c>
      <c r="B17" s="13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7" customFormat="1" ht="15" thickBot="1">
      <c r="A18" s="1364" t="s">
        <v>1199</v>
      </c>
      <c r="B18" s="1365" t="str">
        <f>'预评函-1'!A24</f>
        <v>本次评估采用的主估价方法为成本法和收益法。</v>
      </c>
    </row>
    <row r="19" spans="1:2" s="1360" customFormat="1" ht="15" thickTop="1">
      <c r="A19" s="1358" t="s">
        <v>1200</v>
      </c>
      <c r="B19" s="13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3" customFormat="1">
      <c r="A20" s="1361" t="s">
        <v>1201</v>
      </c>
      <c r="B20" s="1362">
        <f ca="1">'预评函-2'!D5</f>
        <v>28093</v>
      </c>
    </row>
    <row r="21" spans="1:2" s="1363" customFormat="1">
      <c r="A21" s="1361" t="s">
        <v>1202</v>
      </c>
      <c r="B21" s="1362">
        <f ca="1">'预评函-2'!D7</f>
        <v>10047</v>
      </c>
    </row>
    <row r="22" spans="1:2" s="1363" customFormat="1">
      <c r="A22" s="1361" t="s">
        <v>1203</v>
      </c>
      <c r="B22" s="1362" t="str">
        <f ca="1">'预评函-2'!D6</f>
        <v>贰亿捌仟零玖拾叁万元整</v>
      </c>
    </row>
    <row r="23" spans="1:2" s="1363" customFormat="1">
      <c r="A23" s="1361" t="s">
        <v>1254</v>
      </c>
      <c r="B23" s="1362" t="str">
        <f>'预评函-2'!B8</f>
        <v>2.估价师知悉的法定优先受偿款</v>
      </c>
    </row>
    <row r="24" spans="1:2" s="1363" customFormat="1">
      <c r="A24" s="1361" t="s">
        <v>1260</v>
      </c>
      <c r="B24" s="1362">
        <f>'预评函-2'!D8</f>
        <v>0</v>
      </c>
    </row>
    <row r="25" spans="1:2" s="1363" customFormat="1">
      <c r="A25" s="1361" t="s">
        <v>1204</v>
      </c>
      <c r="B25" s="1362" t="str">
        <f>'预评函-2'!D9</f>
        <v>零元整</v>
      </c>
    </row>
    <row r="26" spans="1:2" s="1363" customFormat="1">
      <c r="A26" s="1361" t="s">
        <v>1205</v>
      </c>
      <c r="B26" s="1362">
        <f>'预评函-2'!D10</f>
        <v>0</v>
      </c>
    </row>
    <row r="27" spans="1:2" s="1363" customFormat="1">
      <c r="A27" s="1361" t="s">
        <v>1206</v>
      </c>
      <c r="B27" s="1362">
        <f>'预评函-2'!D11</f>
        <v>0</v>
      </c>
    </row>
    <row r="28" spans="1:2" s="1363" customFormat="1">
      <c r="A28" s="1361" t="s">
        <v>1207</v>
      </c>
      <c r="B28" s="1362">
        <f>'预评函-2'!D12</f>
        <v>0</v>
      </c>
    </row>
    <row r="29" spans="1:2" s="1363" customFormat="1">
      <c r="A29" s="1361" t="s">
        <v>1258</v>
      </c>
      <c r="B29" s="1362" t="str">
        <f>'预评函-2'!B13</f>
        <v>3.房地产抵押价值</v>
      </c>
    </row>
    <row r="30" spans="1:2" s="1363" customFormat="1">
      <c r="A30" s="1361" t="s">
        <v>1259</v>
      </c>
      <c r="B30" s="1362">
        <f ca="1">'预评函-2'!D13</f>
        <v>28093</v>
      </c>
    </row>
    <row r="31" spans="1:2" s="1363" customFormat="1">
      <c r="A31" s="1361" t="s">
        <v>1241</v>
      </c>
      <c r="B31" s="1362">
        <f ca="1">'预评函-2'!D15</f>
        <v>10047</v>
      </c>
    </row>
    <row r="32" spans="1:2" s="1363" customFormat="1">
      <c r="A32" s="1361" t="s">
        <v>1208</v>
      </c>
      <c r="B32" s="1362" t="str">
        <f ca="1">'预评函-2'!D14</f>
        <v>贰亿捌仟零玖拾叁万元整</v>
      </c>
    </row>
    <row r="33" spans="1:2" s="1363" customFormat="1">
      <c r="A33" s="1361" t="s">
        <v>1243</v>
      </c>
      <c r="B33" s="1362" t="str">
        <f>'预评函-2'!B16</f>
        <v>——</v>
      </c>
    </row>
    <row r="34" spans="1:2" s="1363" customFormat="1">
      <c r="A34" s="1361" t="s">
        <v>1261</v>
      </c>
      <c r="B34" s="1362" t="str">
        <f>'预评函-2'!D16</f>
        <v>——</v>
      </c>
    </row>
    <row r="35" spans="1:2" s="1363" customFormat="1">
      <c r="A35" s="1361" t="s">
        <v>1242</v>
      </c>
      <c r="B35" s="1362" t="str">
        <f>'预评函-2'!D18</f>
        <v>——</v>
      </c>
    </row>
    <row r="36" spans="1:2" s="1363" customFormat="1">
      <c r="A36" s="1361" t="s">
        <v>1209</v>
      </c>
      <c r="B36" s="1362" t="e">
        <f>'预评函-2'!D17</f>
        <v>#VALUE!</v>
      </c>
    </row>
    <row r="37" spans="1:2" s="1363" customFormat="1">
      <c r="A37" s="1361" t="s">
        <v>1244</v>
      </c>
      <c r="B37" s="1362" t="str">
        <f>'预评函-2'!B19</f>
        <v>——</v>
      </c>
    </row>
    <row r="38" spans="1:2" s="1363" customFormat="1">
      <c r="A38" s="1361" t="s">
        <v>1262</v>
      </c>
      <c r="B38" s="1362" t="str">
        <f>'预评函-2'!D19</f>
        <v>——</v>
      </c>
    </row>
    <row r="39" spans="1:2" s="1363" customFormat="1">
      <c r="A39" s="1361" t="s">
        <v>1210</v>
      </c>
      <c r="B39" s="1362" t="str">
        <f>'预评函-2'!D21</f>
        <v>——</v>
      </c>
    </row>
    <row r="40" spans="1:2" s="1363" customFormat="1">
      <c r="A40" s="1361" t="s">
        <v>1211</v>
      </c>
      <c r="B40" s="1362" t="e">
        <f>'预评函-2'!D20</f>
        <v>#VALUE!</v>
      </c>
    </row>
    <row r="41" spans="1:2" s="1363" customFormat="1">
      <c r="A41" s="1361" t="s">
        <v>1257</v>
      </c>
      <c r="B41" s="1362" t="str">
        <f>'预评函-3'!A4</f>
        <v>房地产</v>
      </c>
    </row>
    <row r="42" spans="1:2" s="1363" customFormat="1">
      <c r="A42" s="1361" t="s">
        <v>1255</v>
      </c>
      <c r="B42" s="1362" t="str">
        <f>'预评函-3'!B2</f>
        <v>建筑面积</v>
      </c>
    </row>
    <row r="43" spans="1:2" s="1363" customFormat="1">
      <c r="A43" s="1361" t="s">
        <v>1256</v>
      </c>
      <c r="B43" s="1362">
        <f>'预评函-3'!B4</f>
        <v>27960.83</v>
      </c>
    </row>
    <row r="44" spans="1:2" s="1363" customFormat="1">
      <c r="A44" s="1361" t="s">
        <v>1240</v>
      </c>
      <c r="B44" s="1362" t="str">
        <f>'预评函-3'!C2</f>
        <v>(分摊)土地面积</v>
      </c>
    </row>
    <row r="45" spans="1:2" s="1363" customFormat="1">
      <c r="A45" s="1361" t="s">
        <v>1212</v>
      </c>
      <c r="B45" s="1362">
        <f>'预评函-3'!C4</f>
        <v>24172.12</v>
      </c>
    </row>
    <row r="46" spans="1:2" s="1363" customFormat="1">
      <c r="A46" s="1361" t="s">
        <v>1238</v>
      </c>
      <c r="B46" s="1362" t="str">
        <f>'预评函-3'!D2</f>
        <v>出让国有建设用地使用权价值</v>
      </c>
    </row>
    <row r="47" spans="1:2" s="1363" customFormat="1">
      <c r="A47" s="1361" t="s">
        <v>1213</v>
      </c>
      <c r="B47" s="1362">
        <f ca="1">'预评函-3'!D4</f>
        <v>15142</v>
      </c>
    </row>
    <row r="48" spans="1:2" s="1363" customFormat="1">
      <c r="A48" s="1361" t="s">
        <v>1214</v>
      </c>
      <c r="B48" s="1362">
        <f ca="1">'预评函-3'!E4</f>
        <v>5415</v>
      </c>
    </row>
    <row r="49" spans="1:2" s="1363" customFormat="1">
      <c r="A49" s="1361" t="s">
        <v>1215</v>
      </c>
      <c r="B49" s="1362" t="str">
        <f ca="1">'预评函-3'!D5</f>
        <v>壹亿伍仟壹佰肆拾贰万元整</v>
      </c>
    </row>
    <row r="50" spans="1:2" s="1363" customFormat="1">
      <c r="A50" s="1361" t="s">
        <v>1239</v>
      </c>
      <c r="B50" s="1362" t="str">
        <f>'预评函-3'!F2</f>
        <v>在建建筑物价值</v>
      </c>
    </row>
    <row r="51" spans="1:2" s="1363" customFormat="1">
      <c r="A51" s="1361" t="s">
        <v>1216</v>
      </c>
      <c r="B51" s="1362">
        <f ca="1">'预评函-3'!F4</f>
        <v>12951</v>
      </c>
    </row>
    <row r="52" spans="1:2" s="1363" customFormat="1">
      <c r="A52" s="1361" t="s">
        <v>1217</v>
      </c>
      <c r="B52" s="1362">
        <f ca="1">'预评函-3'!G4</f>
        <v>4632</v>
      </c>
    </row>
    <row r="53" spans="1:2" s="1363" customFormat="1">
      <c r="A53" s="1361" t="s">
        <v>1245</v>
      </c>
      <c r="B53" s="1362" t="str">
        <f ca="1">'预评函-3'!F5</f>
        <v>壹亿贰仟玖佰伍拾壹万元整</v>
      </c>
    </row>
    <row r="54" spans="1:2" s="1363" customFormat="1">
      <c r="A54" s="1361" t="s">
        <v>1263</v>
      </c>
      <c r="B54" s="1362" t="str">
        <f>'预评函-3'!A8</f>
        <v>房地产抵押价值</v>
      </c>
    </row>
    <row r="55" spans="1:2" s="1363" customFormat="1">
      <c r="A55" s="1361" t="s">
        <v>1246</v>
      </c>
      <c r="B55" s="1362" t="str">
        <f>'预评函-3'!A10</f>
        <v/>
      </c>
    </row>
    <row r="56" spans="1:2" s="1363" customFormat="1">
      <c r="A56" s="1361" t="s">
        <v>1247</v>
      </c>
      <c r="B56" s="1362" t="str">
        <f>'预评函-3'!A12</f>
        <v/>
      </c>
    </row>
    <row r="57" spans="1:2" s="1357" customFormat="1" ht="15" thickBot="1">
      <c r="A57" s="1364" t="s">
        <v>1264</v>
      </c>
      <c r="B57" s="1365" t="str">
        <f>'预评函-3'!A6</f>
        <v>估价师知悉的法定优先受偿款</v>
      </c>
    </row>
    <row r="58" spans="1:2" s="1360" customFormat="1" ht="15" thickTop="1">
      <c r="A58" s="1358" t="s">
        <v>1218</v>
      </c>
      <c r="B58" s="1359" t="str">
        <f>'预评函-4'!A12</f>
        <v>2.本《评估意见函》仅供金融机构进行内部审核使用，不做其他目的之用。</v>
      </c>
    </row>
    <row r="59" spans="1:2" s="1363" customFormat="1">
      <c r="A59" s="1361" t="s">
        <v>1219</v>
      </c>
      <c r="B59" s="1362" t="str">
        <f>'预评函-4'!A13</f>
        <v>3.抵押双方在办理抵押登记手续时，应使用本公司出具的正式《房地产评估报告》，特提醒报告使用者注意。</v>
      </c>
    </row>
    <row r="60" spans="1:2" s="1363" customFormat="1">
      <c r="A60" s="1361" t="s">
        <v>1220</v>
      </c>
      <c r="B60" s="1362" t="str">
        <f>'预评函-4'!A14</f>
        <v>4.本次评估估价师所知悉的法定优先受偿款情况说明如下：</v>
      </c>
    </row>
    <row r="61" spans="1:2" s="1363" customFormat="1">
      <c r="A61" s="1361" t="s">
        <v>1221</v>
      </c>
      <c r="B61" s="136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3" customFormat="1">
      <c r="A62" s="1361" t="s">
        <v>1222</v>
      </c>
      <c r="B62" s="1362" t="str">
        <f>'预评函-4'!A16</f>
        <v>（2）根据《工程款支付情况说明》，截至价值时点，估价对象不存在应付未付工程款项。（只要没有施工方盖章的，均“设定”进行表述）</v>
      </c>
    </row>
    <row r="63" spans="1:2" s="1363" customFormat="1">
      <c r="A63" s="1361" t="s">
        <v>1223</v>
      </c>
      <c r="B63" s="13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3" customFormat="1">
      <c r="A64" s="1361" t="s">
        <v>1235</v>
      </c>
      <c r="B64" s="1362" t="str">
        <f>'预评函-4'!A18</f>
        <v>故，本次评估不存在估价师知悉的法定优先受偿款</v>
      </c>
    </row>
    <row r="65" spans="1:2" s="1363" customFormat="1">
      <c r="A65" s="1361" t="s">
        <v>1224</v>
      </c>
      <c r="B65" s="13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3" customFormat="1">
      <c r="A66" s="1361" t="s">
        <v>1225</v>
      </c>
      <c r="B66" s="1362" t="str">
        <f>'预评函-4'!A20</f>
        <v>——</v>
      </c>
    </row>
    <row r="67" spans="1:2" s="1363" customFormat="1">
      <c r="A67" s="1361" t="s">
        <v>1236</v>
      </c>
      <c r="B67" s="1362" t="str">
        <f>'预评函-4'!A21</f>
        <v>——</v>
      </c>
    </row>
    <row r="68" spans="1:2" s="1363" customFormat="1">
      <c r="A68" s="1361" t="s">
        <v>1237</v>
      </c>
      <c r="B68" s="1362" t="str">
        <f>'预评函-4'!A22</f>
        <v>8.其他需特殊说明事项：无（注意调整序号）</v>
      </c>
    </row>
    <row r="69" spans="1:2" s="1357" customFormat="1" ht="15" thickBot="1">
      <c r="A69" s="1364" t="s">
        <v>1226</v>
      </c>
      <c r="B69" s="1366">
        <f>'预评函-4'!C31</f>
        <v>42551</v>
      </c>
    </row>
    <row r="70" spans="1:2" ht="15" thickTop="1">
      <c r="A70" s="1367" t="s">
        <v>1227</v>
      </c>
      <c r="B70" s="1368">
        <f>'预评函-4'!A4</f>
        <v>0</v>
      </c>
    </row>
    <row r="71" spans="1:2">
      <c r="A71" s="1361" t="s">
        <v>1228</v>
      </c>
      <c r="B71" s="1362">
        <f>'预评函-4'!B4</f>
        <v>0</v>
      </c>
    </row>
    <row r="72" spans="1:2">
      <c r="A72" s="1361" t="s">
        <v>1229</v>
      </c>
      <c r="B72" s="1370">
        <f>'预评函-4'!A5</f>
        <v>0</v>
      </c>
    </row>
    <row r="73" spans="1:2" s="1357" customFormat="1" ht="15" thickBot="1">
      <c r="A73" s="1364" t="s">
        <v>1230</v>
      </c>
      <c r="B73" s="1365">
        <f>'预评函-4'!B5</f>
        <v>0</v>
      </c>
    </row>
    <row r="74" spans="1:2" ht="15" thickTop="1">
      <c r="A74" s="1354" t="s">
        <v>1266</v>
      </c>
      <c r="B74" s="137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67" t="str">
        <f>项目基本情况!B1</f>
        <v>房地产抵押价值预评估</v>
      </c>
      <c r="C37" s="3067"/>
      <c r="D37" s="3067"/>
      <c r="E37" s="3067"/>
      <c r="F37" s="3067"/>
      <c r="G37" s="3067"/>
      <c r="H37" s="3067"/>
      <c r="I37" s="3067"/>
    </row>
    <row r="38" spans="1:9">
      <c r="A38" s="952"/>
      <c r="B38" s="952"/>
    </row>
    <row r="39" spans="1:9">
      <c r="A39" s="950" t="s">
        <v>818</v>
      </c>
      <c r="B39" s="950" t="s">
        <v>820</v>
      </c>
    </row>
    <row r="40" spans="1:9">
      <c r="A40" s="950"/>
      <c r="B40" s="1659">
        <f>项目基本情况!B5</f>
        <v>0</v>
      </c>
    </row>
    <row r="41" spans="1:9">
      <c r="A41" s="950"/>
      <c r="B41" s="950"/>
    </row>
    <row r="42" spans="1:9">
      <c r="A42" s="950" t="s">
        <v>818</v>
      </c>
      <c r="B42" s="950" t="s">
        <v>821</v>
      </c>
    </row>
    <row r="43" spans="1:9">
      <c r="A43" s="950"/>
      <c r="B43" s="1659" t="s">
        <v>822</v>
      </c>
    </row>
    <row r="44" spans="1:9">
      <c r="A44" s="950"/>
      <c r="B44" s="950"/>
    </row>
    <row r="45" spans="1:9">
      <c r="A45" s="950" t="s">
        <v>818</v>
      </c>
      <c r="B45" s="950" t="s">
        <v>823</v>
      </c>
    </row>
    <row r="46" spans="1:9" s="950" customFormat="1" ht="12.75">
      <c r="B46" s="1659" t="str">
        <f>项目基本情况!K4</f>
        <v>（注册号：0)、（注册号：0)</v>
      </c>
    </row>
    <row r="47" spans="1:9">
      <c r="A47" s="950"/>
      <c r="B47" s="950" t="str">
        <f>项目基本情况!K5</f>
        <v>（注册号：0)、（注册号：0)</v>
      </c>
    </row>
    <row r="48" spans="1:9">
      <c r="A48" s="950" t="s">
        <v>818</v>
      </c>
      <c r="B48" s="950"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受贵公司委托，我公司对房地产抵押价值进行了预评估。</v>
      </c>
    </row>
    <row r="5" spans="1:1" ht="18.75">
      <c r="A5" s="1666" t="s">
        <v>1577</v>
      </c>
    </row>
    <row r="6" spans="1:1" ht="18.75">
      <c r="A6" s="1667" t="s">
        <v>1578</v>
      </c>
    </row>
    <row r="7" spans="1:1" ht="36">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估价对象为房地产，为所有。根据《国有土地使用证》[]，估价对象（分摊）出让国有建设用地使用权面积为24172.12平方米，建筑面积为27960.83平方米。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估价对象为房地产,为开发建设的，该项目尚在开发建设中。根据《国有土地使用证》[]，估价对象（分摊）出让国有建设用地使用权面积为24172.12平方米，规划建筑面积为27960.83平方米。</v>
      </c>
    </row>
    <row r="11" spans="1:1" ht="76.5">
      <c r="A11" s="1668" t="s">
        <v>1581</v>
      </c>
    </row>
    <row r="12" spans="1:1" ht="18.75">
      <c r="A12" s="1666" t="s">
        <v>1582</v>
      </c>
    </row>
    <row r="13" spans="1:1" ht="38.25" customHeight="1">
      <c r="A13" s="1669"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2021年1月28日（评估专业人员实地查勘之日）</v>
      </c>
    </row>
    <row r="16" spans="1:1" ht="18.75">
      <c r="A16" s="1670" t="s">
        <v>1584</v>
      </c>
    </row>
    <row r="17" spans="1:1" ht="75">
      <c r="A17" s="1665" t="s">
        <v>1585</v>
      </c>
    </row>
    <row r="18" spans="1:1" ht="72">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28日，估价对象规划用途为，土地取得方式为出让，出让国有建设用地使用权剩余土地使用年限为商业、地下车库32.78年，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商业、地下车库32.78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2"/>
      <c r="C2" s="3072"/>
      <c r="D2" s="3072"/>
      <c r="E2" s="3072"/>
    </row>
    <row r="3" spans="1:5" ht="18">
      <c r="A3" s="3073" t="str">
        <f>IF(项目基本情况!B9="房地产市场价值","估价结果一览表（市场价值不需“结果表-1”）","估价结果一览表")</f>
        <v>估价结果一览表</v>
      </c>
      <c r="B3" s="3073"/>
      <c r="C3" s="3073"/>
      <c r="D3" s="3073"/>
      <c r="E3" s="3073"/>
    </row>
    <row r="4" spans="1:5" ht="19.5" thickBot="1">
      <c r="A4" s="1678"/>
      <c r="B4" s="3071" t="s">
        <v>1595</v>
      </c>
      <c r="C4" s="3071"/>
      <c r="D4" s="3071"/>
      <c r="E4" s="1678"/>
    </row>
    <row r="5" spans="1:5" ht="16.5" thickTop="1">
      <c r="A5" s="1676"/>
      <c r="B5" s="3069" t="s">
        <v>1587</v>
      </c>
      <c r="C5" s="1679" t="s">
        <v>1588</v>
      </c>
      <c r="D5" s="958">
        <f ca="1">结果表!H101</f>
        <v>28093</v>
      </c>
      <c r="E5" s="1676"/>
    </row>
    <row r="6" spans="1:5" ht="15.75">
      <c r="A6" s="1676"/>
      <c r="B6" s="3069"/>
      <c r="C6" s="1679" t="s">
        <v>1589</v>
      </c>
      <c r="D6" s="958" t="str">
        <f ca="1">NUMBERSTRING(INT(D5*10000),2)&amp;"元整"</f>
        <v>贰亿捌仟零玖拾叁万元整</v>
      </c>
      <c r="E6" s="1676"/>
    </row>
    <row r="7" spans="1:5" ht="15.75">
      <c r="A7" s="1676"/>
      <c r="B7" s="3074"/>
      <c r="C7" s="1680" t="s">
        <v>1590</v>
      </c>
      <c r="D7" s="959">
        <f ca="1">结果表!H102</f>
        <v>10047</v>
      </c>
      <c r="E7" s="1676"/>
    </row>
    <row r="8" spans="1:5" ht="15.75">
      <c r="A8" s="1676"/>
      <c r="B8" s="3075" t="str">
        <f>结果表!E103</f>
        <v>2.估价师知悉的法定优先受偿款</v>
      </c>
      <c r="C8" s="1681" t="s">
        <v>1591</v>
      </c>
      <c r="D8" s="959">
        <f>结果表!H103</f>
        <v>0</v>
      </c>
      <c r="E8" s="1676"/>
    </row>
    <row r="9" spans="1:5" ht="15.75">
      <c r="A9" s="1676"/>
      <c r="B9" s="3077"/>
      <c r="C9" s="1679" t="s">
        <v>1589</v>
      </c>
      <c r="D9" s="958" t="str">
        <f>NUMBERSTRING(INT(D8*10000),2)&amp;"元整"</f>
        <v>零元整</v>
      </c>
      <c r="E9" s="1676"/>
    </row>
    <row r="10" spans="1:5" ht="15">
      <c r="A10" s="1676"/>
      <c r="B10" s="1682" t="s">
        <v>1594</v>
      </c>
      <c r="C10" s="1683" t="s">
        <v>1592</v>
      </c>
      <c r="D10" s="960">
        <f>结果表!H104</f>
        <v>0</v>
      </c>
      <c r="E10" s="1676"/>
    </row>
    <row r="11" spans="1:5" ht="15">
      <c r="A11" s="1676"/>
      <c r="B11" s="1682" t="s">
        <v>1596</v>
      </c>
      <c r="C11" s="1683" t="s">
        <v>1597</v>
      </c>
      <c r="D11" s="960">
        <f>结果表!H105</f>
        <v>0</v>
      </c>
      <c r="E11" s="1676"/>
    </row>
    <row r="12" spans="1:5" ht="15">
      <c r="A12" s="1676"/>
      <c r="B12" s="1682" t="s">
        <v>1598</v>
      </c>
      <c r="C12" s="1683" t="s">
        <v>1597</v>
      </c>
      <c r="D12" s="960">
        <f>结果表!H106</f>
        <v>0</v>
      </c>
      <c r="E12" s="1676"/>
    </row>
    <row r="13" spans="1:5" ht="15.75">
      <c r="A13" s="1676"/>
      <c r="B13" s="3068" t="str">
        <f>结果表!E107</f>
        <v>3.房地产抵押价值</v>
      </c>
      <c r="C13" s="1684" t="s">
        <v>1588</v>
      </c>
      <c r="D13" s="961">
        <f ca="1">结果表!H107</f>
        <v>28093</v>
      </c>
      <c r="E13" s="1676"/>
    </row>
    <row r="14" spans="1:5" ht="15.75">
      <c r="A14" s="1676"/>
      <c r="B14" s="3069"/>
      <c r="C14" s="1679" t="s">
        <v>1589</v>
      </c>
      <c r="D14" s="958" t="str">
        <f ca="1">NUMBERSTRING(INT(D13*10000),2)&amp;"元整"</f>
        <v>贰亿捌仟零玖拾叁万元整</v>
      </c>
      <c r="E14" s="1676"/>
    </row>
    <row r="15" spans="1:5" ht="15">
      <c r="A15" s="1676"/>
      <c r="B15" s="3074"/>
      <c r="C15" s="1680" t="s">
        <v>1599</v>
      </c>
      <c r="D15" s="967">
        <f ca="1">结果表!H108</f>
        <v>10047</v>
      </c>
      <c r="E15" s="1676"/>
    </row>
    <row r="16" spans="1:5" ht="15">
      <c r="A16" s="1676"/>
      <c r="B16" s="3075" t="str">
        <f>结果表!E109</f>
        <v>——</v>
      </c>
      <c r="C16" s="1684" t="s">
        <v>1600</v>
      </c>
      <c r="D16" s="1685" t="str">
        <f>结果表!H109</f>
        <v>——</v>
      </c>
      <c r="E16" s="1676"/>
    </row>
    <row r="17" spans="1:5" ht="15.75">
      <c r="A17" s="1676"/>
      <c r="B17" s="3076"/>
      <c r="C17" s="1679" t="s">
        <v>1601</v>
      </c>
      <c r="D17" s="958" t="e">
        <f>NUMBERSTRING(INT(D16*10000),2)&amp;"元整"</f>
        <v>#VALUE!</v>
      </c>
      <c r="E17" s="1676"/>
    </row>
    <row r="18" spans="1:5" ht="15">
      <c r="A18" s="1676"/>
      <c r="B18" s="3077"/>
      <c r="C18" s="1680" t="s">
        <v>1590</v>
      </c>
      <c r="D18" s="967" t="str">
        <f>结果表!H110</f>
        <v>——</v>
      </c>
      <c r="E18" s="1676"/>
    </row>
    <row r="19" spans="1:5" ht="15.75">
      <c r="A19" s="1676"/>
      <c r="B19" s="3068" t="str">
        <f>结果表!E111</f>
        <v>——</v>
      </c>
      <c r="C19" s="1684" t="s">
        <v>1588</v>
      </c>
      <c r="D19" s="959" t="str">
        <f>结果表!H111</f>
        <v>——</v>
      </c>
      <c r="E19" s="1676"/>
    </row>
    <row r="20" spans="1:5" ht="15.75">
      <c r="A20" s="1676"/>
      <c r="B20" s="3069"/>
      <c r="C20" s="1679" t="s">
        <v>1601</v>
      </c>
      <c r="D20" s="958" t="e">
        <f>NUMBERSTRING(INT(D19*10000),2)&amp;"元整"</f>
        <v>#VALUE!</v>
      </c>
      <c r="E20" s="1676"/>
    </row>
    <row r="21" spans="1:5" ht="15.75" thickBot="1">
      <c r="A21" s="1676"/>
      <c r="B21" s="3070"/>
      <c r="C21" s="1686" t="s">
        <v>1599</v>
      </c>
      <c r="D21" s="968"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078" t="str">
        <f>IF(项目基本情况!B9="房地产市场价值","估价结果一览表","结果表-2")</f>
        <v>结果表-2</v>
      </c>
      <c r="B1" s="3078"/>
      <c r="C1" s="3078"/>
      <c r="D1" s="3078"/>
      <c r="E1" s="3078"/>
      <c r="F1" s="3078"/>
      <c r="G1" s="3078"/>
      <c r="H1" s="3078"/>
      <c r="I1" s="3078"/>
    </row>
    <row r="2" spans="1:9" ht="30" customHeight="1" thickTop="1">
      <c r="A2" s="3079" t="s">
        <v>1606</v>
      </c>
      <c r="B2" s="3079" t="s">
        <v>1607</v>
      </c>
      <c r="C2" s="3079" t="s">
        <v>1608</v>
      </c>
      <c r="D2" s="3079" t="str">
        <f>结果表!D116</f>
        <v>出让国有建设用地使用权价值</v>
      </c>
      <c r="E2" s="3079"/>
      <c r="F2" s="3079" t="str">
        <f>结果表!F116</f>
        <v>在建建筑物价值</v>
      </c>
      <c r="G2" s="3079"/>
      <c r="H2" s="3079" t="str">
        <f>IF(项目基本情况!B9="房地产市场价值","房地产市场价值","房地产价值")</f>
        <v>房地产价值</v>
      </c>
      <c r="I2" s="3079"/>
    </row>
    <row r="3" spans="1:9" ht="15">
      <c r="A3" s="3080"/>
      <c r="B3" s="3080"/>
      <c r="C3" s="3080"/>
      <c r="D3" s="962" t="s">
        <v>1603</v>
      </c>
      <c r="E3" s="962" t="s">
        <v>1609</v>
      </c>
      <c r="F3" s="962" t="s">
        <v>1603</v>
      </c>
      <c r="G3" s="962" t="s">
        <v>1604</v>
      </c>
      <c r="H3" s="962" t="s">
        <v>1603</v>
      </c>
      <c r="I3" s="962" t="s">
        <v>1604</v>
      </c>
    </row>
    <row r="4" spans="1:9" ht="15">
      <c r="A4" s="1690" t="str">
        <f>项目基本情况!S2</f>
        <v>房地产</v>
      </c>
      <c r="B4" s="962">
        <f>项目基本情况!C17</f>
        <v>27960.83</v>
      </c>
      <c r="C4" s="962">
        <f>项目基本情况!C18</f>
        <v>24172.12</v>
      </c>
      <c r="D4" s="962">
        <f ca="1">结果表!D118</f>
        <v>15142</v>
      </c>
      <c r="E4" s="962">
        <f ca="1">结果表!E118</f>
        <v>5415</v>
      </c>
      <c r="F4" s="962">
        <f ca="1">结果表!F118</f>
        <v>12951</v>
      </c>
      <c r="G4" s="962">
        <f ca="1">结果表!G118</f>
        <v>4632</v>
      </c>
      <c r="H4" s="962">
        <f ca="1">结果表!H118</f>
        <v>28093</v>
      </c>
      <c r="I4" s="962">
        <f ca="1">结果表!I118</f>
        <v>10047</v>
      </c>
    </row>
    <row r="5" spans="1:9" ht="30" customHeight="1">
      <c r="A5" s="3080" t="s">
        <v>1605</v>
      </c>
      <c r="B5" s="3080"/>
      <c r="C5" s="3080"/>
      <c r="D5" s="3081" t="str">
        <f ca="1">结果表!D119</f>
        <v>壹亿伍仟壹佰肆拾贰万元整</v>
      </c>
      <c r="E5" s="3081"/>
      <c r="F5" s="3081" t="str">
        <f ca="1">结果表!F119</f>
        <v>壹亿贰仟玖佰伍拾壹万元整</v>
      </c>
      <c r="G5" s="3081"/>
      <c r="H5" s="3081" t="str">
        <f ca="1">结果表!H119</f>
        <v>贰亿捌仟零玖拾叁万元整</v>
      </c>
      <c r="I5" s="3081"/>
    </row>
    <row r="6" spans="1:9" ht="15.75">
      <c r="A6" s="3082" t="str">
        <f>结果表!A120</f>
        <v>估价师知悉的法定优先受偿款</v>
      </c>
      <c r="B6" s="3082"/>
      <c r="C6" s="3082"/>
      <c r="D6" s="3082">
        <f>结果表!D120</f>
        <v>0</v>
      </c>
      <c r="E6" s="3082"/>
      <c r="F6" s="3082"/>
      <c r="G6" s="3082"/>
      <c r="H6" s="3082"/>
      <c r="I6" s="3082"/>
    </row>
    <row r="7" spans="1:9" ht="15">
      <c r="A7" s="3080" t="s">
        <v>1605</v>
      </c>
      <c r="B7" s="3080"/>
      <c r="C7" s="3080"/>
      <c r="D7" s="3083" t="str">
        <f>结果表!D121</f>
        <v>零元整</v>
      </c>
      <c r="E7" s="3084"/>
      <c r="F7" s="3084"/>
      <c r="G7" s="3084"/>
      <c r="H7" s="3084"/>
      <c r="I7" s="3085"/>
    </row>
    <row r="8" spans="1:9" ht="15.75">
      <c r="A8" s="3082" t="str">
        <f>结果表!A122</f>
        <v>房地产抵押价值</v>
      </c>
      <c r="B8" s="3082"/>
      <c r="C8" s="3082"/>
      <c r="D8" s="3082">
        <f ca="1">结果表!D122</f>
        <v>28093</v>
      </c>
      <c r="E8" s="3082"/>
      <c r="F8" s="3082"/>
      <c r="G8" s="3082"/>
      <c r="H8" s="3082"/>
      <c r="I8" s="3082"/>
    </row>
    <row r="9" spans="1:9" ht="15">
      <c r="A9" s="3080" t="s">
        <v>1605</v>
      </c>
      <c r="B9" s="3080"/>
      <c r="C9" s="3080"/>
      <c r="D9" s="3081" t="str">
        <f ca="1">结果表!D123</f>
        <v>贰亿捌仟零玖拾叁万元整</v>
      </c>
      <c r="E9" s="3081"/>
      <c r="F9" s="3081"/>
      <c r="G9" s="3081"/>
      <c r="H9" s="3081"/>
      <c r="I9" s="3081"/>
    </row>
    <row r="10" spans="1:9" ht="15.75">
      <c r="A10" s="3082" t="str">
        <f>结果表!A124</f>
        <v/>
      </c>
      <c r="B10" s="3082"/>
      <c r="C10" s="3082"/>
      <c r="D10" s="3082" t="str">
        <f>结果表!D124</f>
        <v>——</v>
      </c>
      <c r="E10" s="3082"/>
      <c r="F10" s="3082"/>
      <c r="G10" s="3082"/>
      <c r="H10" s="3082"/>
      <c r="I10" s="3082"/>
    </row>
    <row r="11" spans="1:9" ht="15">
      <c r="A11" s="3080" t="s">
        <v>1605</v>
      </c>
      <c r="B11" s="3080"/>
      <c r="C11" s="3080"/>
      <c r="D11" s="3081" t="e">
        <f>结果表!D125</f>
        <v>#VALUE!</v>
      </c>
      <c r="E11" s="3081"/>
      <c r="F11" s="3081"/>
      <c r="G11" s="3081"/>
      <c r="H11" s="3081"/>
      <c r="I11" s="3081"/>
    </row>
    <row r="12" spans="1:9" ht="15.75">
      <c r="A12" s="3082" t="str">
        <f>结果表!A126</f>
        <v/>
      </c>
      <c r="B12" s="3082"/>
      <c r="C12" s="3082"/>
      <c r="D12" s="3082" t="str">
        <f>结果表!D126</f>
        <v>——</v>
      </c>
      <c r="E12" s="3082"/>
      <c r="F12" s="3082"/>
      <c r="G12" s="3082"/>
      <c r="H12" s="3082"/>
      <c r="I12" s="3082"/>
    </row>
    <row r="13" spans="1:9" ht="15.75" thickBot="1">
      <c r="A13" s="3086" t="s">
        <v>1605</v>
      </c>
      <c r="B13" s="3086"/>
      <c r="C13" s="3086"/>
      <c r="D13" s="3087" t="e">
        <f>结果表!D127</f>
        <v>#VALUE!</v>
      </c>
      <c r="E13" s="3087"/>
      <c r="F13" s="3087"/>
      <c r="G13" s="3087"/>
      <c r="H13" s="3087"/>
      <c r="I13" s="3087"/>
    </row>
    <row r="14" spans="1:9" ht="15" thickTop="1">
      <c r="A14" s="3088" t="s">
        <v>1610</v>
      </c>
      <c r="B14" s="3088"/>
      <c r="C14" s="3088"/>
      <c r="D14" s="3088"/>
      <c r="E14" s="3088"/>
      <c r="F14" s="3088"/>
      <c r="G14" s="3088"/>
      <c r="H14" s="3088"/>
      <c r="I14" s="3088"/>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089" t="s">
        <v>1627</v>
      </c>
      <c r="B1" s="3089"/>
      <c r="C1" s="3089"/>
      <c r="D1" s="3089"/>
    </row>
    <row r="2" spans="1:4" ht="18">
      <c r="A2" s="3090" t="s">
        <v>1611</v>
      </c>
      <c r="B2" s="3090"/>
      <c r="C2" s="3090"/>
      <c r="D2" s="3090"/>
    </row>
    <row r="3" spans="1:4" ht="18.75">
      <c r="A3" s="1694" t="s">
        <v>1612</v>
      </c>
      <c r="B3" s="1694" t="s">
        <v>1613</v>
      </c>
      <c r="C3" s="1694" t="s">
        <v>1614</v>
      </c>
      <c r="D3" s="1694" t="s">
        <v>1615</v>
      </c>
    </row>
    <row r="4" spans="1:4" ht="56.25" customHeight="1">
      <c r="A4" s="1695">
        <f>项目基本情况!B4</f>
        <v>0</v>
      </c>
      <c r="B4" s="1696">
        <f>项目基本情况!C4</f>
        <v>0</v>
      </c>
      <c r="C4" s="1697"/>
      <c r="D4" s="1698" t="s">
        <v>1616</v>
      </c>
    </row>
    <row r="5" spans="1:4" ht="56.25" customHeight="1">
      <c r="A5" s="1695">
        <f>项目基本情况!D4</f>
        <v>0</v>
      </c>
      <c r="B5" s="1696">
        <f>项目基本情况!E4</f>
        <v>0</v>
      </c>
      <c r="C5" s="1699"/>
      <c r="D5" s="1698" t="s">
        <v>1616</v>
      </c>
    </row>
    <row r="6" spans="1:4" ht="18">
      <c r="A6" s="3090" t="s">
        <v>1617</v>
      </c>
      <c r="B6" s="3090"/>
      <c r="C6" s="3090"/>
      <c r="D6" s="3090"/>
    </row>
    <row r="7" spans="1:4" ht="18.75">
      <c r="A7" s="1694" t="s">
        <v>1612</v>
      </c>
      <c r="B7" s="1696" t="s">
        <v>1618</v>
      </c>
      <c r="C7" s="1694" t="s">
        <v>1614</v>
      </c>
      <c r="D7" s="1694" t="s">
        <v>1615</v>
      </c>
    </row>
    <row r="8" spans="1:4" ht="56.25" customHeight="1">
      <c r="A8" s="1700" t="s">
        <v>837</v>
      </c>
      <c r="B8" s="1700" t="s">
        <v>1</v>
      </c>
      <c r="C8" s="1697"/>
      <c r="D8" s="1698" t="s">
        <v>1616</v>
      </c>
    </row>
    <row r="9" spans="1:4">
      <c r="A9" s="683"/>
      <c r="B9" s="683"/>
      <c r="C9" s="683"/>
      <c r="D9" s="683"/>
    </row>
    <row r="10" spans="1:4" ht="18.75">
      <c r="A10" s="1701" t="s">
        <v>1619</v>
      </c>
      <c r="B10" s="683"/>
      <c r="C10" s="683"/>
      <c r="D10" s="683"/>
    </row>
    <row r="11" spans="1:4" ht="30" customHeight="1">
      <c r="A11" s="3091" t="s">
        <v>1620</v>
      </c>
      <c r="B11" s="3092"/>
      <c r="C11" s="3092"/>
      <c r="D11" s="3092"/>
    </row>
    <row r="12" spans="1:4" ht="15.75">
      <c r="A12" s="30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3"/>
      <c r="C12" s="3093"/>
      <c r="D12" s="3093"/>
    </row>
    <row r="13" spans="1:4" ht="30" customHeight="1">
      <c r="A13" s="30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3"/>
      <c r="C13" s="3093"/>
      <c r="D13" s="3093"/>
    </row>
    <row r="14" spans="1:4" ht="15.75" customHeight="1">
      <c r="A14" s="3092" t="str">
        <f>IF(项目基本情况!B8="抵押","4.本次评估估价师所知悉的法定优先受偿款情况说明如下：","——")</f>
        <v>4.本次评估估价师所知悉的法定优先受偿款情况说明如下：</v>
      </c>
      <c r="B14" s="3093"/>
      <c r="C14" s="3093"/>
      <c r="D14" s="3093"/>
    </row>
    <row r="15" spans="1:4" ht="42" customHeight="1">
      <c r="A15" s="30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2"/>
      <c r="C15" s="3092"/>
      <c r="D15" s="3092"/>
    </row>
    <row r="16" spans="1:4" ht="30" customHeight="1">
      <c r="A16" s="3095" t="s">
        <v>1621</v>
      </c>
      <c r="B16" s="3095"/>
      <c r="C16" s="3095"/>
      <c r="D16" s="3095"/>
    </row>
    <row r="17" spans="1:4" ht="144" customHeight="1">
      <c r="A17" s="3095" t="s">
        <v>1622</v>
      </c>
      <c r="B17" s="3095"/>
      <c r="C17" s="3095"/>
      <c r="D17" s="3095"/>
    </row>
    <row r="18" spans="1:4" ht="15.75" customHeight="1">
      <c r="A18" s="3092" t="str">
        <f>IF(项目基本情况!B8="抵押",结果表!K120,"——")</f>
        <v>故，本次评估不存在估价师知悉的法定优先受偿款</v>
      </c>
      <c r="B18" s="3092"/>
      <c r="C18" s="3092"/>
      <c r="D18" s="3092"/>
    </row>
    <row r="19" spans="1:4" ht="46.5" customHeight="1">
      <c r="A19" s="30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2"/>
      <c r="C19" s="3092"/>
      <c r="D19" s="3092"/>
    </row>
    <row r="20" spans="1:4" ht="57.75" customHeight="1">
      <c r="A20" s="30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92"/>
      <c r="C20" s="3092"/>
      <c r="D20" s="3092"/>
    </row>
    <row r="21" spans="1:4" ht="57.75" customHeight="1">
      <c r="A21" s="30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96"/>
      <c r="C21" s="3096"/>
      <c r="D21" s="3096"/>
    </row>
    <row r="22" spans="1:4" ht="18.75" customHeight="1">
      <c r="A22" s="3097" t="s">
        <v>1623</v>
      </c>
      <c r="B22" s="3097"/>
      <c r="C22" s="3097"/>
      <c r="D22" s="3097"/>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094">
        <v>42551</v>
      </c>
      <c r="D31" s="30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03" t="s">
        <v>1634</v>
      </c>
      <c r="B15" s="3098" t="s">
        <v>136</v>
      </c>
      <c r="C15" s="3099"/>
    </row>
    <row r="16" spans="1:7" ht="13.5">
      <c r="A16" s="3104"/>
      <c r="B16" s="3098" t="s">
        <v>69</v>
      </c>
      <c r="C16" s="3099"/>
    </row>
    <row r="17" spans="1:3" ht="13.5">
      <c r="A17" s="3104"/>
      <c r="B17" s="3101" t="s">
        <v>1635</v>
      </c>
      <c r="C17" s="1717" t="s">
        <v>1634</v>
      </c>
    </row>
    <row r="18" spans="1:3" ht="13.5">
      <c r="A18" s="3104"/>
      <c r="B18" s="3101"/>
      <c r="C18" s="1717" t="s">
        <v>1636</v>
      </c>
    </row>
    <row r="19" spans="1:3" ht="13.5">
      <c r="A19" s="3104"/>
      <c r="B19" s="3101"/>
      <c r="C19" s="1717" t="s">
        <v>1637</v>
      </c>
    </row>
    <row r="20" spans="1:3" ht="13.5">
      <c r="A20" s="3105"/>
      <c r="B20" s="3100" t="s">
        <v>1638</v>
      </c>
      <c r="C20" s="3099"/>
    </row>
    <row r="21" spans="1:3" ht="13.5">
      <c r="A21" s="1718" t="s">
        <v>1639</v>
      </c>
      <c r="B21" s="1719"/>
      <c r="C21" s="1720"/>
    </row>
    <row r="22" spans="1:3" ht="13.5">
      <c r="A22" s="3102" t="s">
        <v>1640</v>
      </c>
      <c r="B22" s="3100" t="s">
        <v>1641</v>
      </c>
      <c r="C22" s="3099"/>
    </row>
    <row r="23" spans="1:3" ht="13.5">
      <c r="A23" s="3102"/>
      <c r="B23" s="3100" t="s">
        <v>1642</v>
      </c>
      <c r="C23" s="3099"/>
    </row>
    <row r="24" spans="1:3" ht="13.5">
      <c r="A24" s="3102"/>
      <c r="B24" s="3100" t="s">
        <v>1643</v>
      </c>
      <c r="C24" s="3099"/>
    </row>
    <row r="25" spans="1:3" ht="13.5">
      <c r="A25" s="3102"/>
      <c r="B25" s="3101" t="s">
        <v>1644</v>
      </c>
      <c r="C25" s="1717" t="s">
        <v>1645</v>
      </c>
    </row>
    <row r="26" spans="1:3" ht="13.5">
      <c r="A26" s="3102"/>
      <c r="B26" s="3101"/>
      <c r="C26" s="1717" t="s">
        <v>1646</v>
      </c>
    </row>
    <row r="27" spans="1:3" ht="13.5">
      <c r="A27" s="3102"/>
      <c r="B27" s="3101"/>
      <c r="C27" s="1717" t="s">
        <v>1647</v>
      </c>
    </row>
    <row r="28" spans="1:3" ht="13.5">
      <c r="A28" s="3102"/>
      <c r="B28" s="3101"/>
      <c r="C28" s="1717" t="s">
        <v>1648</v>
      </c>
    </row>
    <row r="29" spans="1:3" ht="13.5">
      <c r="A29" s="3102"/>
      <c r="B29" s="3101"/>
      <c r="C29" s="1717" t="s">
        <v>1649</v>
      </c>
    </row>
    <row r="30" spans="1:3" ht="13.5">
      <c r="A30" s="3102"/>
      <c r="B30" s="3101"/>
      <c r="C30" s="1717" t="s">
        <v>1650</v>
      </c>
    </row>
    <row r="31" spans="1:3" ht="13.5">
      <c r="A31" s="3102"/>
      <c r="B31" s="3101"/>
      <c r="C31" s="1717" t="s">
        <v>1651</v>
      </c>
    </row>
    <row r="32" spans="1:3" ht="13.5">
      <c r="A32" s="3102"/>
      <c r="B32" s="3101"/>
      <c r="C32" s="1717" t="s">
        <v>1652</v>
      </c>
    </row>
    <row r="33" spans="1:3" ht="13.5">
      <c r="A33" s="3102"/>
      <c r="B33" s="3101"/>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2880</v>
      </c>
      <c r="B2" s="2562">
        <f ca="1">TODAY()</f>
        <v>44224</v>
      </c>
      <c r="C2" s="2563" t="s">
        <v>2881</v>
      </c>
      <c r="D2" s="2563"/>
      <c r="E2" s="2563"/>
      <c r="F2" s="2559"/>
      <c r="G2" s="2559"/>
      <c r="H2" s="2559"/>
    </row>
    <row r="3" spans="1:8" ht="24" customHeight="1">
      <c r="A3" s="2564" t="s">
        <v>2882</v>
      </c>
      <c r="B3" s="2565" t="s">
        <v>2883</v>
      </c>
      <c r="C3" s="2565" t="s">
        <v>2884</v>
      </c>
      <c r="D3" s="2566" t="s">
        <v>2885</v>
      </c>
      <c r="E3" s="2567" t="s">
        <v>2886</v>
      </c>
      <c r="F3" s="1472" t="s">
        <v>2887</v>
      </c>
      <c r="G3" s="2565" t="s">
        <v>2884</v>
      </c>
      <c r="H3" s="2566" t="s">
        <v>2888</v>
      </c>
    </row>
    <row r="4" spans="1:8" ht="24" customHeight="1">
      <c r="A4" s="1472" t="s">
        <v>2889</v>
      </c>
      <c r="B4" s="1472">
        <f ca="1">IF(C4&lt;B2,"已过期",1119970066)</f>
        <v>1119970066</v>
      </c>
      <c r="C4" s="2568">
        <v>44876</v>
      </c>
      <c r="D4" s="2569" t="str">
        <f ca="1">A4&amp;"（注册号："&amp;B4&amp;"）"</f>
        <v>梁津（注册号：1119970066）</v>
      </c>
      <c r="E4" s="2570" t="s">
        <v>2889</v>
      </c>
      <c r="F4" s="1472">
        <f ca="1">IF(G4&lt;B2,"已过期",96010014)</f>
        <v>96010014</v>
      </c>
      <c r="G4" s="2571">
        <v>47118</v>
      </c>
      <c r="H4" s="2572" t="str">
        <f ca="1">E4&amp;"（注册号："&amp;F4&amp;"）"</f>
        <v>梁津（注册号：96010014）</v>
      </c>
    </row>
    <row r="5" spans="1:8" ht="24" customHeight="1">
      <c r="A5" s="1472" t="s">
        <v>2890</v>
      </c>
      <c r="B5" s="1472">
        <f ca="1">IF(C5&lt;B2,"已过期",1119970111)</f>
        <v>1119970111</v>
      </c>
      <c r="C5" s="2568">
        <v>44876</v>
      </c>
      <c r="D5" s="2569" t="str">
        <f t="shared" ref="D5:D15" ca="1" si="0">A5&amp;"（注册号："&amp;B5&amp;"）"</f>
        <v>叶凌（注册号：1119970111）</v>
      </c>
      <c r="E5" s="2570" t="s">
        <v>2890</v>
      </c>
      <c r="F5" s="1472">
        <f ca="1">IF(G5&lt;B2,"已过期",94010078)</f>
        <v>94010078</v>
      </c>
      <c r="G5" s="2571">
        <v>46387</v>
      </c>
      <c r="H5" s="2572" t="str">
        <f t="shared" ref="H5:H16" ca="1" si="1">E5&amp;"（注册号："&amp;F5&amp;"）"</f>
        <v>叶凌（注册号：94010078）</v>
      </c>
    </row>
    <row r="6" spans="1:8" ht="24" customHeight="1">
      <c r="A6" s="1472" t="s">
        <v>2891</v>
      </c>
      <c r="B6" s="1472">
        <f ca="1">IF(C6&lt;B2,"已过期",1120050019)</f>
        <v>1120050019</v>
      </c>
      <c r="C6" s="2568">
        <v>44395</v>
      </c>
      <c r="D6" s="2569" t="str">
        <f t="shared" ca="1" si="0"/>
        <v>王鹏（注册号：1120050019）</v>
      </c>
      <c r="E6" s="2570" t="s">
        <v>2891</v>
      </c>
      <c r="F6" s="1472">
        <f ca="1">IF(G6&lt;B2,"已过期",2002110030)</f>
        <v>2002110030</v>
      </c>
      <c r="G6" s="2571">
        <v>46387</v>
      </c>
      <c r="H6" s="2572" t="str">
        <f t="shared" ca="1" si="1"/>
        <v>王鹏（注册号：2002110030）</v>
      </c>
    </row>
    <row r="7" spans="1:8" ht="24" customHeight="1">
      <c r="A7" s="1472" t="s">
        <v>2892</v>
      </c>
      <c r="B7" s="1472">
        <f ca="1">IF(C7&lt;B2,"已过期",1120000080)</f>
        <v>1120000080</v>
      </c>
      <c r="C7" s="2568">
        <v>44876</v>
      </c>
      <c r="D7" s="2569" t="str">
        <f t="shared" ca="1" si="0"/>
        <v>欧红伟（注册号：1120000080）</v>
      </c>
      <c r="E7" s="2570" t="s">
        <v>2892</v>
      </c>
      <c r="F7" s="1472">
        <f ca="1">IF(G7&lt;B2,"已过期",2000110082)</f>
        <v>2000110082</v>
      </c>
      <c r="G7" s="2571">
        <v>46387</v>
      </c>
      <c r="H7" s="2572" t="str">
        <f t="shared" ca="1" si="1"/>
        <v>欧红伟（注册号：2000110082）</v>
      </c>
    </row>
    <row r="8" spans="1:8" ht="24" customHeight="1">
      <c r="A8" s="1472" t="s">
        <v>2893</v>
      </c>
      <c r="B8" s="1472">
        <f ca="1">IF(C8&lt;B2,"已过期",1419970001)</f>
        <v>1419970001</v>
      </c>
      <c r="C8" s="2568">
        <v>44899</v>
      </c>
      <c r="D8" s="2569" t="str">
        <f t="shared" ca="1" si="0"/>
        <v>吴薇（注册号：1419970001）</v>
      </c>
      <c r="E8" s="2570" t="s">
        <v>2893</v>
      </c>
      <c r="F8" s="1472">
        <f ca="1">IF(G8&lt;B2,"已过期",2002110125)</f>
        <v>2002110125</v>
      </c>
      <c r="G8" s="2571">
        <v>47118</v>
      </c>
      <c r="H8" s="2572" t="str">
        <f t="shared" ca="1" si="1"/>
        <v>吴薇（注册号：2002110125）</v>
      </c>
    </row>
    <row r="9" spans="1:8" ht="24" customHeight="1">
      <c r="A9" s="1472" t="s">
        <v>2894</v>
      </c>
      <c r="B9" s="1472">
        <f ca="1">IF(C9&lt;B2,"已过期",1120060040)</f>
        <v>1120060040</v>
      </c>
      <c r="C9" s="2573">
        <v>44554</v>
      </c>
      <c r="D9" s="2569" t="str">
        <f t="shared" ca="1" si="0"/>
        <v>陈颖（注册号：1120060040）</v>
      </c>
      <c r="E9" s="2570" t="s">
        <v>2894</v>
      </c>
      <c r="F9" s="1472">
        <f ca="1">IF(G9&lt;B2,"已过期",2004110096)</f>
        <v>2004110096</v>
      </c>
      <c r="G9" s="2571">
        <v>47118</v>
      </c>
      <c r="H9" s="2572" t="str">
        <f t="shared" ca="1" si="1"/>
        <v>陈颖（注册号：2004110096）</v>
      </c>
    </row>
    <row r="10" spans="1:8" ht="24" customHeight="1">
      <c r="A10" s="1472" t="s">
        <v>2895</v>
      </c>
      <c r="B10" s="1472">
        <f ca="1">IF(C10&lt;B2,"已过期",1120100036)</f>
        <v>1120100036</v>
      </c>
      <c r="C10" s="2573">
        <v>44675</v>
      </c>
      <c r="D10" s="2569" t="str">
        <f t="shared" ca="1" si="0"/>
        <v>崔锴（注册号：1120100036）</v>
      </c>
      <c r="E10" s="2570" t="s">
        <v>2895</v>
      </c>
      <c r="F10" s="1472">
        <f ca="1">IF(G10&lt;B2,"已过期",2010110070)</f>
        <v>2010110070</v>
      </c>
      <c r="G10" s="2571">
        <v>47907</v>
      </c>
      <c r="H10" s="2572" t="str">
        <f t="shared" ca="1" si="1"/>
        <v>崔锴（注册号：2010110070）</v>
      </c>
    </row>
    <row r="11" spans="1:8" ht="24" customHeight="1">
      <c r="A11" s="1472" t="s">
        <v>2896</v>
      </c>
      <c r="B11" s="1472">
        <f ca="1">IF(C11&lt;B2,"已过期",1120070131)</f>
        <v>1120070131</v>
      </c>
      <c r="C11" s="2568">
        <v>44849</v>
      </c>
      <c r="D11" s="2569" t="str">
        <f t="shared" ca="1" si="0"/>
        <v>郑燚（注册号：1120070131）</v>
      </c>
      <c r="E11" s="2570" t="s">
        <v>2896</v>
      </c>
      <c r="F11" s="1472">
        <f ca="1">IF(G11&lt;B2,"已过期",2014110011)</f>
        <v>2014110011</v>
      </c>
      <c r="G11" s="2571">
        <v>49302</v>
      </c>
      <c r="H11" s="2572" t="str">
        <f t="shared" ca="1" si="1"/>
        <v>郑燚（注册号：2014110011）</v>
      </c>
    </row>
    <row r="12" spans="1:8" ht="24" customHeight="1">
      <c r="A12" s="1472" t="s">
        <v>2897</v>
      </c>
      <c r="B12" s="1472">
        <f ca="1">IF(C12&lt;B2,"已过期",1120040230)</f>
        <v>1120040230</v>
      </c>
      <c r="C12" s="2573">
        <v>44864</v>
      </c>
      <c r="D12" s="2569" t="str">
        <f t="shared" ca="1" si="0"/>
        <v>苏海（注册号：1120040230）</v>
      </c>
      <c r="E12" s="2570" t="s">
        <v>2897</v>
      </c>
      <c r="F12" s="1472">
        <f ca="1">IF(G12&lt;B2,"已过期",98030020)</f>
        <v>98030020</v>
      </c>
      <c r="G12" s="2571">
        <v>47118</v>
      </c>
      <c r="H12" s="2572" t="str">
        <f t="shared" ca="1" si="1"/>
        <v>苏海（注册号：98030020）</v>
      </c>
    </row>
    <row r="13" spans="1:8" ht="24" customHeight="1">
      <c r="A13" s="1472" t="s">
        <v>2898</v>
      </c>
      <c r="B13" s="1472">
        <f ca="1">IF(C13&lt;B2,"已过期",1120020033)</f>
        <v>1120020033</v>
      </c>
      <c r="C13" s="2568">
        <v>44339</v>
      </c>
      <c r="D13" s="2569" t="str">
        <f t="shared" ca="1" si="0"/>
        <v>刘敬东（注册号：1120020033）</v>
      </c>
      <c r="E13" s="2570" t="s">
        <v>2898</v>
      </c>
      <c r="F13" s="1472">
        <f ca="1">IF(G13&lt;B2,"已过期",2000110137)</f>
        <v>2000110137</v>
      </c>
      <c r="G13" s="2571">
        <v>46387</v>
      </c>
      <c r="H13" s="2572" t="str">
        <f t="shared" ca="1" si="1"/>
        <v>刘敬东（注册号：2000110137）</v>
      </c>
    </row>
    <row r="14" spans="1:8" ht="24" customHeight="1">
      <c r="A14" s="1472" t="s">
        <v>2899</v>
      </c>
      <c r="B14" s="1472">
        <f ca="1">IF(C14&lt;B2,"已过期",1119980106)</f>
        <v>1119980106</v>
      </c>
      <c r="C14" s="2573">
        <v>44969</v>
      </c>
      <c r="D14" s="2569" t="str">
        <f t="shared" ca="1" si="0"/>
        <v>刘俊财（注册号：1119980106）</v>
      </c>
      <c r="E14" s="2570" t="s">
        <v>2899</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2900</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06" t="s">
        <v>2901</v>
      </c>
      <c r="B17" s="3106"/>
      <c r="C17" s="3106"/>
      <c r="D17" s="3106"/>
      <c r="E17" s="3106"/>
      <c r="F17" s="3106"/>
      <c r="G17" s="3106"/>
      <c r="H17" s="3106"/>
    </row>
    <row r="18" spans="1:8" ht="24" customHeight="1">
      <c r="A18" s="3107" t="s">
        <v>2902</v>
      </c>
      <c r="B18" s="3107"/>
      <c r="C18" s="3107"/>
      <c r="D18" s="2566"/>
      <c r="E18" s="3108" t="s">
        <v>2903</v>
      </c>
      <c r="F18" s="3107"/>
      <c r="G18" s="3107"/>
    </row>
    <row r="19" spans="1:8" s="2577" customFormat="1" ht="24" customHeight="1">
      <c r="A19" s="2576" t="s">
        <v>2904</v>
      </c>
      <c r="B19" s="2565" t="s">
        <v>2905</v>
      </c>
      <c r="C19" s="2565" t="s">
        <v>2884</v>
      </c>
      <c r="D19" s="2566"/>
      <c r="E19" s="2570" t="s">
        <v>2904</v>
      </c>
      <c r="F19" s="2565" t="s">
        <v>2905</v>
      </c>
      <c r="G19" s="2565" t="s">
        <v>2884</v>
      </c>
    </row>
    <row r="20" spans="1:8" s="2577" customFormat="1" ht="24" customHeight="1">
      <c r="A20" s="2578" t="s">
        <v>2906</v>
      </c>
      <c r="B20" s="2578" t="s">
        <v>2907</v>
      </c>
      <c r="C20" s="2571">
        <v>44820</v>
      </c>
      <c r="D20" s="2579"/>
      <c r="E20" s="2580" t="s">
        <v>2908</v>
      </c>
      <c r="F20" s="2578" t="s">
        <v>2909</v>
      </c>
      <c r="G20" s="2581">
        <v>44377</v>
      </c>
    </row>
    <row r="21" spans="1:8" s="2577" customFormat="1" ht="24" customHeight="1">
      <c r="A21" s="2578"/>
      <c r="B21" s="2578"/>
      <c r="C21" s="2582"/>
      <c r="D21" s="2583"/>
      <c r="E21" s="2580" t="s">
        <v>2910</v>
      </c>
      <c r="F21" s="2584" t="s">
        <v>2911</v>
      </c>
      <c r="G21" s="2585">
        <v>44012</v>
      </c>
    </row>
    <row r="22" spans="1:8" ht="24" customHeight="1">
      <c r="C22" s="2586"/>
      <c r="D22" s="2586"/>
      <c r="E22" s="2587"/>
      <c r="F22" s="2588"/>
      <c r="G22" s="2589"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3029</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09"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9"/>
      <c r="B54" s="1739" t="s">
        <v>832</v>
      </c>
      <c r="C54" s="1736" t="s">
        <v>1248</v>
      </c>
    </row>
    <row r="55" spans="1:4">
      <c r="A55" s="3109"/>
      <c r="B55" s="1739" t="s">
        <v>833</v>
      </c>
      <c r="C55" s="1736" t="s">
        <v>1249</v>
      </c>
    </row>
    <row r="56" spans="1:4">
      <c r="A56" s="3109"/>
      <c r="B56" s="1739" t="s">
        <v>834</v>
      </c>
      <c r="C56" s="1736" t="s">
        <v>1253</v>
      </c>
    </row>
    <row r="57" spans="1:4">
      <c r="A57" s="3109"/>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L13" sqref="L13"/>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2913</v>
      </c>
      <c r="B1" s="3110" t="str">
        <f>IF(B10="北京市","北京市",C10)&amp;F10&amp;IF(结果表!G1="在建","出让国有建设用地使用权及在建建筑物",IF(结果表!G1="土地","出让国有建设用地使用权",))&amp;B9&amp;"预评估"</f>
        <v>房地产抵押价值预评估</v>
      </c>
      <c r="C1" s="3111"/>
      <c r="D1" s="3111"/>
      <c r="E1" s="3111"/>
      <c r="F1" s="3111"/>
      <c r="G1" s="3111"/>
      <c r="H1" s="3111"/>
      <c r="I1" s="3112"/>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房地产抵押价值</v>
      </c>
      <c r="T1" s="1931"/>
      <c r="U1" s="1931"/>
      <c r="V1" s="1931"/>
      <c r="W1" s="1931"/>
      <c r="X1" s="1931"/>
      <c r="Y1" s="1931"/>
      <c r="Z1" s="1931"/>
      <c r="AA1" s="1931"/>
      <c r="AB1" s="1931"/>
    </row>
    <row r="2" spans="1:28">
      <c r="A2" s="2591" t="s">
        <v>2914</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房地产</v>
      </c>
      <c r="T2" s="1931"/>
      <c r="U2" s="1931"/>
      <c r="V2" s="1931"/>
      <c r="W2" s="1931"/>
      <c r="X2" s="1931"/>
      <c r="Y2" s="1931"/>
      <c r="Z2" s="1931"/>
      <c r="AA2" s="1931"/>
      <c r="AB2" s="1931"/>
    </row>
    <row r="3" spans="1:28">
      <c r="A3" s="308" t="s">
        <v>2915</v>
      </c>
      <c r="B3" s="2597">
        <v>44224</v>
      </c>
      <c r="C3" s="2598" t="s">
        <v>2916</v>
      </c>
      <c r="D3" s="2597">
        <v>44224</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48" t="s">
        <v>2917</v>
      </c>
      <c r="B4" s="2599"/>
      <c r="C4" s="2600">
        <f>SUMIF(注册房地产估价师,B4,估价师及机构信息!B3:B24)</f>
        <v>0</v>
      </c>
      <c r="D4" s="2599"/>
      <c r="E4" s="2601">
        <f>SUMIF(注册房地产估价师,D4,估价师及机构信息!B3:B24)</f>
        <v>0</v>
      </c>
      <c r="F4" s="2599"/>
      <c r="G4" s="2601">
        <f>SUMIF(注册房地产估价师,F4,估价师及机构信息!B3:B24)</f>
        <v>0</v>
      </c>
      <c r="H4" s="2599"/>
      <c r="I4" s="2601">
        <f>SUMIF(注册房地产估价师,H4,估价师及机构信息!B3:B24)</f>
        <v>0</v>
      </c>
      <c r="J4" s="2665"/>
      <c r="K4" s="2602" t="str">
        <f>CONCATENATE(B4,"（注册号：",C4,")、",D4,"（注册号：",E4,")")</f>
        <v>（注册号：0)、（注册号：0)</v>
      </c>
      <c r="L4" s="2593"/>
      <c r="M4" s="2593"/>
      <c r="N4" s="2594"/>
      <c r="O4" s="1761"/>
      <c r="P4" s="2594"/>
      <c r="Q4" s="2594"/>
      <c r="R4" s="2594"/>
      <c r="S4" s="1868"/>
      <c r="T4" s="1931"/>
      <c r="U4" s="1931"/>
      <c r="V4" s="1931"/>
      <c r="W4" s="1931"/>
      <c r="X4" s="1931"/>
      <c r="Y4" s="1931"/>
      <c r="Z4" s="1931"/>
      <c r="AA4" s="1931"/>
      <c r="AB4" s="1931"/>
    </row>
    <row r="5" spans="1:28" ht="13.5" thickTop="1">
      <c r="A5" s="2603" t="s">
        <v>2918</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2919</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2920</v>
      </c>
      <c r="B7" s="2611"/>
      <c r="C7" s="2609"/>
      <c r="D7" s="2610"/>
      <c r="E7" s="2889"/>
      <c r="F7" s="2891"/>
      <c r="G7" s="2891"/>
      <c r="H7" s="2891"/>
      <c r="I7" s="2891"/>
      <c r="J7" s="2665"/>
      <c r="K7" s="2842"/>
      <c r="L7" s="2839"/>
      <c r="M7" s="2839"/>
      <c r="N7" s="2665"/>
      <c r="O7" s="2676"/>
      <c r="P7" s="2665"/>
      <c r="Q7" s="2665"/>
      <c r="R7" s="2665"/>
    </row>
    <row r="8" spans="1:28">
      <c r="A8" s="2612" t="s">
        <v>2921</v>
      </c>
      <c r="B8" s="2613" t="s">
        <v>3087</v>
      </c>
      <c r="C8" s="2614"/>
      <c r="D8" s="3113" t="s">
        <v>2922</v>
      </c>
      <c r="E8" s="2615" t="s">
        <v>3052</v>
      </c>
      <c r="F8" s="2616"/>
      <c r="G8" s="2890"/>
      <c r="H8" s="2890"/>
      <c r="I8" s="2890"/>
      <c r="J8" s="2665"/>
      <c r="K8" s="2840"/>
      <c r="L8" s="2839"/>
      <c r="M8" s="2839"/>
      <c r="N8" s="2665"/>
      <c r="O8" s="2676"/>
      <c r="P8" s="2665"/>
      <c r="Q8" s="2665"/>
      <c r="R8" s="2665"/>
    </row>
    <row r="9" spans="1:28" ht="13.5" thickBot="1">
      <c r="A9" s="2617" t="s">
        <v>2923</v>
      </c>
      <c r="B9" s="2618" t="s">
        <v>3052</v>
      </c>
      <c r="C9" s="2619"/>
      <c r="D9" s="3114"/>
      <c r="E9" s="2618"/>
      <c r="F9" s="2620"/>
      <c r="G9" s="2892"/>
      <c r="H9" s="2892"/>
      <c r="I9" s="2892"/>
      <c r="J9" s="2665"/>
      <c r="K9" s="2842"/>
      <c r="L9" s="2839"/>
      <c r="M9" s="2839"/>
      <c r="N9" s="2665"/>
      <c r="O9" s="2676"/>
      <c r="P9" s="2665"/>
      <c r="Q9" s="2665"/>
      <c r="R9" s="2665"/>
    </row>
    <row r="10" spans="1:28" ht="13.5" thickTop="1">
      <c r="A10" s="2621" t="s">
        <v>2924</v>
      </c>
      <c r="B10" s="2622"/>
      <c r="C10" s="2623"/>
      <c r="D10" s="2606"/>
      <c r="E10" s="2624" t="s">
        <v>2925</v>
      </c>
      <c r="F10" s="2893"/>
      <c r="G10" s="2894"/>
      <c r="H10" s="2895"/>
      <c r="I10" s="2896"/>
      <c r="J10" s="2665"/>
      <c r="K10" s="2842"/>
      <c r="L10" s="2839"/>
      <c r="M10" s="2839"/>
      <c r="N10" s="2665"/>
      <c r="O10" s="2676"/>
      <c r="P10" s="2665"/>
      <c r="Q10" s="2665"/>
      <c r="R10" s="2665"/>
    </row>
    <row r="11" spans="1:28">
      <c r="A11" s="2625" t="s">
        <v>2926</v>
      </c>
      <c r="B11" s="2626" t="s">
        <v>3086</v>
      </c>
      <c r="C11" s="2627"/>
      <c r="D11" s="2628"/>
      <c r="E11" s="2594"/>
      <c r="F11" s="2594"/>
      <c r="G11" s="2594"/>
      <c r="H11" s="2594"/>
      <c r="I11" s="2594"/>
      <c r="J11" s="2665"/>
      <c r="K11" s="2842"/>
      <c r="L11" s="2839"/>
      <c r="M11" s="2839"/>
      <c r="N11" s="2665"/>
      <c r="O11" s="2676"/>
      <c r="P11" s="2665"/>
      <c r="Q11" s="2665"/>
      <c r="R11" s="2665"/>
    </row>
    <row r="12" spans="1:28">
      <c r="A12" s="2629" t="s">
        <v>2927</v>
      </c>
      <c r="B12" s="2626" t="s">
        <v>3053</v>
      </c>
      <c r="C12" s="329" t="s">
        <v>2928</v>
      </c>
      <c r="D12" s="2630" t="s">
        <v>2929</v>
      </c>
      <c r="E12" s="2630" t="s">
        <v>2930</v>
      </c>
      <c r="F12" s="2630" t="s">
        <v>2931</v>
      </c>
      <c r="G12" s="2630" t="s">
        <v>2932</v>
      </c>
      <c r="H12" s="2630" t="s">
        <v>2933</v>
      </c>
      <c r="I12" s="2630" t="s">
        <v>2934</v>
      </c>
      <c r="J12" s="2665"/>
      <c r="K12" s="2842"/>
      <c r="L12" s="2839"/>
      <c r="M12" s="2839"/>
      <c r="N12" s="2665"/>
      <c r="O12" s="2676"/>
      <c r="P12" s="2665"/>
      <c r="Q12" s="2665"/>
      <c r="R12" s="2665"/>
    </row>
    <row r="13" spans="1:28">
      <c r="A13" s="1239"/>
      <c r="B13" s="2631"/>
      <c r="C13" s="2632" t="s">
        <v>2935</v>
      </c>
      <c r="D13" s="964"/>
      <c r="E13" s="964">
        <v>56187</v>
      </c>
      <c r="F13" s="964"/>
      <c r="G13" s="964">
        <v>56187</v>
      </c>
      <c r="H13" s="964"/>
      <c r="I13" s="964"/>
      <c r="J13" s="2665"/>
      <c r="K13" s="2842"/>
      <c r="L13" s="2839"/>
      <c r="M13" s="2839"/>
      <c r="N13" s="2665"/>
      <c r="O13" s="2676"/>
      <c r="P13" s="2665"/>
      <c r="Q13" s="2665"/>
      <c r="R13" s="2665"/>
    </row>
    <row r="14" spans="1:28">
      <c r="A14" s="1239"/>
      <c r="B14" s="2631"/>
      <c r="C14" s="2632" t="s">
        <v>2936</v>
      </c>
      <c r="D14" s="2633"/>
      <c r="E14" s="2633">
        <v>40</v>
      </c>
      <c r="F14" s="2633"/>
      <c r="G14" s="2633">
        <v>40</v>
      </c>
      <c r="H14" s="2633"/>
      <c r="I14" s="2633"/>
      <c r="J14" s="2665"/>
      <c r="K14" s="2843"/>
      <c r="L14" s="2839"/>
      <c r="M14" s="2839"/>
      <c r="N14" s="2665"/>
      <c r="O14" s="2676"/>
      <c r="P14" s="2665"/>
      <c r="Q14" s="2665"/>
      <c r="R14" s="2665"/>
    </row>
    <row r="15" spans="1:28">
      <c r="A15" s="326"/>
      <c r="B15" s="2634"/>
      <c r="C15" s="2635" t="s">
        <v>2937</v>
      </c>
      <c r="D15" s="2636" t="str">
        <f>IF(B12="出让",IF(D13="","",ROUNDDOWN(MIN((D13-$D$3)/365,D14),2)),D14)</f>
        <v/>
      </c>
      <c r="E15" s="2636">
        <f>IF(B12="出让",IF(E13="","",ROUNDDOWN(MIN((E13-$D$3)/365,E14),2)),E14)</f>
        <v>32.770000000000003</v>
      </c>
      <c r="F15" s="2636" t="str">
        <f>IF(B12="出让",IF(F13="","",ROUNDDOWN(MIN((F13-$D$3)/365,F14),2)),F14)</f>
        <v/>
      </c>
      <c r="G15" s="2636">
        <f>IF(B12="出让",IF(G13="","",ROUNDDOWN(MIN((G13-$D$3)/365,G14),2)),G14)</f>
        <v>32.770000000000003</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2938</v>
      </c>
      <c r="B16" s="3120"/>
      <c r="C16" s="3121"/>
      <c r="D16" s="3122"/>
      <c r="E16" s="2639" t="s">
        <v>2939</v>
      </c>
      <c r="F16" s="3123" t="s">
        <v>3149</v>
      </c>
      <c r="G16" s="3124"/>
      <c r="H16" s="3124"/>
      <c r="I16" s="3125"/>
      <c r="J16" s="2665"/>
      <c r="K16" s="2844"/>
      <c r="L16" s="2677"/>
      <c r="M16" s="2677"/>
      <c r="N16" s="2735"/>
      <c r="O16" s="2677"/>
      <c r="P16" s="2735"/>
      <c r="Q16" s="2665"/>
      <c r="R16" s="2665"/>
    </row>
    <row r="17" spans="1:28">
      <c r="A17" s="319" t="s">
        <v>2940</v>
      </c>
      <c r="B17" s="308" t="s">
        <v>2941</v>
      </c>
      <c r="C17" s="11">
        <f>'数据-汇总表'!E3</f>
        <v>27960.83</v>
      </c>
      <c r="D17" s="2545" t="s">
        <v>2942</v>
      </c>
      <c r="E17" s="3126" t="s">
        <v>2943</v>
      </c>
      <c r="F17" s="3127"/>
      <c r="G17" s="3127"/>
      <c r="H17" s="3127"/>
      <c r="I17" s="3128"/>
      <c r="J17" s="2665"/>
      <c r="K17" s="2845"/>
      <c r="L17" s="2677"/>
      <c r="M17" s="2677"/>
      <c r="N17" s="2735"/>
      <c r="O17" s="2677"/>
      <c r="P17" s="2735"/>
      <c r="Q17" s="2665"/>
      <c r="R17" s="2665"/>
      <c r="S17" s="2665"/>
      <c r="T17" s="2665"/>
      <c r="U17" s="2665"/>
      <c r="V17" s="2665"/>
    </row>
    <row r="18" spans="1:28" ht="24.75" thickBot="1">
      <c r="A18" s="2640" t="s">
        <v>2944</v>
      </c>
      <c r="B18" s="1248" t="s">
        <v>2945</v>
      </c>
      <c r="C18" s="2641">
        <f>'数据-汇总表'!D3</f>
        <v>24172.12</v>
      </c>
      <c r="D18" s="1250" t="s">
        <v>2946</v>
      </c>
      <c r="E18" s="3129" t="s">
        <v>2947</v>
      </c>
      <c r="F18" s="3130"/>
      <c r="G18" s="3130"/>
      <c r="H18" s="3130"/>
      <c r="I18" s="3131"/>
      <c r="J18" s="2665"/>
      <c r="K18" s="2845"/>
      <c r="L18" s="2677"/>
      <c r="M18" s="2677"/>
      <c r="N18" s="2735"/>
      <c r="O18" s="2677"/>
      <c r="P18" s="2735"/>
      <c r="Q18" s="2665"/>
      <c r="R18" s="2665"/>
      <c r="S18" s="2665"/>
      <c r="T18" s="2665"/>
      <c r="U18" s="2665"/>
      <c r="V18" s="2665"/>
    </row>
    <row r="19" spans="1:28" ht="37.5" thickTop="1" thickBot="1">
      <c r="A19" s="333" t="s">
        <v>1741</v>
      </c>
      <c r="B19" s="313" t="s">
        <v>2948</v>
      </c>
      <c r="C19" s="1748"/>
      <c r="D19" s="1749" t="s">
        <v>2949</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2950</v>
      </c>
      <c r="B20" s="3116" t="s">
        <v>2951</v>
      </c>
      <c r="C20" s="3117"/>
      <c r="D20" s="3118" t="s">
        <v>2952</v>
      </c>
      <c r="E20" s="3119"/>
      <c r="F20" s="2874" t="s">
        <v>1742</v>
      </c>
      <c r="G20" s="2891"/>
      <c r="H20" s="2891"/>
      <c r="I20" s="2891"/>
      <c r="J20" s="2665"/>
      <c r="K20" s="3115" t="s">
        <v>2953</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2954</v>
      </c>
      <c r="C21" s="2861" t="s">
        <v>1743</v>
      </c>
      <c r="D21" s="1753" t="s">
        <v>2955</v>
      </c>
      <c r="E21" s="2862" t="s">
        <v>1743</v>
      </c>
      <c r="F21" s="2875"/>
      <c r="G21" s="2891"/>
      <c r="H21" s="2891"/>
      <c r="I21" s="2891"/>
      <c r="J21" s="2665"/>
      <c r="K21" s="3115"/>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2956</v>
      </c>
      <c r="C22" s="2861" t="s">
        <v>1744</v>
      </c>
      <c r="D22" s="2890"/>
      <c r="E22" s="2890"/>
      <c r="F22" s="2890"/>
      <c r="G22" s="2891"/>
      <c r="H22" s="2891"/>
      <c r="I22" s="2891"/>
      <c r="J22" s="2665"/>
      <c r="K22" s="3115"/>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2957</v>
      </c>
      <c r="B23" s="2728" t="s">
        <v>2958</v>
      </c>
      <c r="C23" s="2865"/>
      <c r="D23" s="2866" t="s">
        <v>2958</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133" t="s">
        <v>2959</v>
      </c>
      <c r="B27" s="326" t="s">
        <v>2960</v>
      </c>
      <c r="C27" s="2642"/>
      <c r="D27" s="2643"/>
      <c r="E27" s="2891"/>
      <c r="F27" s="2891"/>
      <c r="G27" s="2891"/>
      <c r="H27" s="2891"/>
      <c r="I27" s="2891"/>
      <c r="J27" s="2665"/>
      <c r="K27" s="2844"/>
      <c r="L27" s="2677"/>
      <c r="M27" s="2677"/>
      <c r="N27" s="2735"/>
      <c r="O27" s="2677"/>
      <c r="P27" s="2735"/>
      <c r="Q27" s="2665"/>
      <c r="R27" s="2665"/>
      <c r="S27" s="2665"/>
      <c r="T27" s="2665"/>
      <c r="U27" s="2665"/>
      <c r="V27" s="2665"/>
    </row>
    <row r="28" spans="1:28">
      <c r="A28" s="3133"/>
      <c r="B28" s="308" t="s">
        <v>2961</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133"/>
      <c r="B29" s="308" t="s">
        <v>2962</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134"/>
      <c r="B30" s="308" t="s">
        <v>2963</v>
      </c>
      <c r="C30" s="3135"/>
      <c r="D30" s="3136"/>
      <c r="E30" s="2891"/>
      <c r="F30" s="2891"/>
      <c r="G30" s="2891"/>
      <c r="H30" s="2891"/>
      <c r="I30" s="2891"/>
      <c r="J30" s="2665"/>
      <c r="K30" s="2842"/>
      <c r="L30" s="2839"/>
      <c r="M30" s="2839"/>
      <c r="N30" s="2665"/>
      <c r="O30" s="2676"/>
      <c r="P30" s="2665"/>
      <c r="Q30" s="2665"/>
      <c r="R30" s="2665"/>
      <c r="S30" s="2665"/>
      <c r="T30" s="2665"/>
      <c r="U30" s="2665"/>
      <c r="V30" s="2665"/>
    </row>
    <row r="31" spans="1:28">
      <c r="A31" s="3137" t="s">
        <v>2964</v>
      </c>
      <c r="B31" s="2648"/>
      <c r="C31" s="2546" t="str">
        <f>IF(B31="现房","成新及维护状况正常否",IF(B31="在建","工程状态是否正常",IF(B31="土地","是否闲置","-")))</f>
        <v>-</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138"/>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138"/>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2965</v>
      </c>
      <c r="B34" s="2214"/>
      <c r="C34" s="2214"/>
      <c r="D34" s="2214"/>
      <c r="E34" s="2214"/>
      <c r="F34" s="2214"/>
      <c r="G34" s="2214"/>
      <c r="H34" s="2214"/>
      <c r="I34" s="2891"/>
      <c r="J34" s="2665"/>
      <c r="K34" s="2653">
        <f>COUNTIF(B34:H34,"——")</f>
        <v>0</v>
      </c>
      <c r="L34" s="329" t="s">
        <v>2966</v>
      </c>
      <c r="M34" s="329" t="s">
        <v>2967</v>
      </c>
      <c r="N34" s="329" t="s">
        <v>2968</v>
      </c>
      <c r="O34" s="329" t="s">
        <v>2969</v>
      </c>
      <c r="P34" s="329" t="s">
        <v>2970</v>
      </c>
      <c r="Q34" s="329" t="s">
        <v>2971</v>
      </c>
      <c r="R34" s="329" t="s">
        <v>2972</v>
      </c>
      <c r="S34" s="3132" t="s">
        <v>2973</v>
      </c>
      <c r="T34" s="2654" t="str">
        <f>NUMBERSTRING(7-K34,1)&amp;"通"</f>
        <v>七通</v>
      </c>
      <c r="U34" s="2665"/>
      <c r="V34" s="2665"/>
    </row>
    <row r="35" spans="1:30">
      <c r="A35" s="2655"/>
      <c r="B35" s="3139" t="s">
        <v>2974</v>
      </c>
      <c r="C35" s="3139"/>
      <c r="D35" s="3139"/>
      <c r="E35" s="3139"/>
      <c r="F35" s="672">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32"/>
      <c r="T35" s="335" t="str">
        <f>IF(T34="一通",L35,IF(T34="二通",M35,IF(T34="三通",N35,IF(T34="四通",O35,IF(T34="五通",P35,IF(T34="六通",Q35,R35))))))</f>
        <v>、、、、、、</v>
      </c>
      <c r="U35" s="2665"/>
      <c r="V35" s="2665"/>
    </row>
    <row r="36" spans="1:30">
      <c r="A36" s="2656"/>
      <c r="B36" s="672" t="s">
        <v>2930</v>
      </c>
      <c r="C36" s="672" t="s">
        <v>2931</v>
      </c>
      <c r="D36" s="672" t="s">
        <v>2929</v>
      </c>
      <c r="E36" s="672" t="s">
        <v>2934</v>
      </c>
      <c r="F36" s="2897"/>
      <c r="G36" s="2891"/>
      <c r="H36" s="2891"/>
      <c r="I36" s="2891"/>
      <c r="J36" s="2665"/>
      <c r="K36" s="2842"/>
      <c r="L36" s="2839"/>
      <c r="M36" s="2839"/>
      <c r="N36" s="2665"/>
      <c r="O36" s="2676"/>
      <c r="P36" s="2665"/>
      <c r="Q36" s="2665"/>
      <c r="R36" s="2665"/>
      <c r="S36" s="2665"/>
      <c r="T36" s="2665"/>
      <c r="U36" s="2665"/>
      <c r="V36" s="2665"/>
    </row>
    <row r="37" spans="1:30">
      <c r="A37" s="2857" t="s">
        <v>2975</v>
      </c>
      <c r="B37" s="2657"/>
      <c r="C37" s="2657"/>
      <c r="D37" s="2657"/>
      <c r="E37" s="2657" t="s">
        <v>534</v>
      </c>
      <c r="F37" s="2897"/>
      <c r="G37" s="2891"/>
      <c r="H37" s="2891"/>
      <c r="I37" s="2891"/>
      <c r="J37" s="2665"/>
      <c r="K37" s="2842"/>
      <c r="L37" s="2839"/>
      <c r="M37" s="2839"/>
      <c r="N37" s="2665"/>
      <c r="O37" s="2676"/>
      <c r="P37" s="2665"/>
      <c r="Q37" s="2665"/>
      <c r="R37" s="2665"/>
      <c r="S37" s="2665"/>
      <c r="T37" s="2665"/>
      <c r="U37" s="2665"/>
      <c r="V37" s="2665"/>
    </row>
    <row r="38" spans="1:30" ht="13.5" thickBot="1">
      <c r="A38" s="2858" t="s">
        <v>2976</v>
      </c>
      <c r="B38" s="2658"/>
      <c r="C38" s="2658"/>
      <c r="D38" s="2658"/>
      <c r="E38" s="2658" t="s">
        <v>3072</v>
      </c>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2977</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2978</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2979</v>
      </c>
      <c r="B42" s="11" t="s">
        <v>2980</v>
      </c>
      <c r="C42" s="11" t="s">
        <v>2981</v>
      </c>
      <c r="D42" s="11" t="s">
        <v>2982</v>
      </c>
      <c r="E42" s="11" t="s">
        <v>2983</v>
      </c>
      <c r="F42" s="11" t="s">
        <v>2984</v>
      </c>
      <c r="G42" s="11" t="s">
        <v>2985</v>
      </c>
      <c r="H42" s="11" t="s">
        <v>2986</v>
      </c>
      <c r="I42" s="11" t="s">
        <v>2987</v>
      </c>
      <c r="J42" s="2853" t="s">
        <v>2988</v>
      </c>
      <c r="K42" s="2854" t="s">
        <v>2989</v>
      </c>
      <c r="L42" s="2854" t="s">
        <v>2990</v>
      </c>
      <c r="M42" s="2854" t="s">
        <v>2991</v>
      </c>
      <c r="N42" s="2847" t="s">
        <v>2992</v>
      </c>
      <c r="O42" s="2847" t="s">
        <v>2993</v>
      </c>
      <c r="P42" s="2847" t="s">
        <v>2994</v>
      </c>
      <c r="Q42" s="2848" t="s">
        <v>2995</v>
      </c>
      <c r="R42" s="2848" t="s">
        <v>2996</v>
      </c>
      <c r="S42" s="2665"/>
      <c r="T42" s="2665"/>
      <c r="U42" s="2665"/>
      <c r="V42" s="2665"/>
    </row>
    <row r="43" spans="1:30" s="1929" customFormat="1">
      <c r="A43" s="1755"/>
      <c r="B43" s="1180"/>
      <c r="C43" s="1180"/>
      <c r="D43" s="1180"/>
      <c r="E43" s="1180"/>
      <c r="F43" s="1180"/>
      <c r="G43" s="1180"/>
      <c r="H43" s="1180"/>
      <c r="I43" s="1180"/>
      <c r="J43" s="2663"/>
      <c r="K43" s="2664"/>
      <c r="L43" s="2664"/>
      <c r="M43" s="1180"/>
      <c r="N43" s="1180"/>
      <c r="O43" s="1180"/>
      <c r="P43" s="1180"/>
      <c r="Q43" s="1180"/>
      <c r="R43" s="1180"/>
      <c r="S43" s="2665"/>
      <c r="T43" s="2665"/>
      <c r="U43" s="2665"/>
      <c r="V43" s="2665"/>
    </row>
    <row r="44" spans="1:30" s="1929" customFormat="1">
      <c r="A44" s="1755"/>
      <c r="B44" s="1755"/>
      <c r="C44" s="1180"/>
      <c r="D44" s="1180"/>
      <c r="E44" s="1180"/>
      <c r="F44" s="1180"/>
      <c r="G44" s="1180"/>
      <c r="H44" s="1180"/>
      <c r="I44" s="1180"/>
      <c r="J44" s="2663"/>
      <c r="K44" s="2664"/>
      <c r="L44" s="2664"/>
      <c r="M44" s="1180"/>
      <c r="N44" s="1180"/>
      <c r="O44" s="1180"/>
      <c r="P44" s="1180"/>
      <c r="Q44" s="1180"/>
      <c r="R44" s="1180"/>
      <c r="S44" s="2665"/>
      <c r="T44" s="2665"/>
      <c r="U44" s="2665"/>
      <c r="V44" s="2665"/>
    </row>
    <row r="45" spans="1:30" s="1929" customFormat="1">
      <c r="A45" s="1755"/>
      <c r="B45" s="1755"/>
      <c r="C45" s="1180"/>
      <c r="D45" s="1180"/>
      <c r="E45" s="1180"/>
      <c r="F45" s="1180"/>
      <c r="G45" s="1180"/>
      <c r="H45" s="1180"/>
      <c r="I45" s="1180"/>
      <c r="J45" s="2663"/>
      <c r="K45" s="2664"/>
      <c r="L45" s="2664"/>
      <c r="M45" s="1180"/>
      <c r="N45" s="1180"/>
      <c r="O45" s="1180"/>
      <c r="P45" s="1180"/>
      <c r="Q45" s="1180"/>
      <c r="R45" s="1180"/>
      <c r="S45" s="2665"/>
      <c r="T45" s="2665"/>
      <c r="U45" s="2665"/>
      <c r="V45" s="2665"/>
    </row>
    <row r="46" spans="1:30" s="1929" customFormat="1">
      <c r="A46" s="1755"/>
      <c r="B46" s="1755"/>
      <c r="C46" s="1180"/>
      <c r="D46" s="1180"/>
      <c r="E46" s="1180"/>
      <c r="F46" s="1180"/>
      <c r="G46" s="1180"/>
      <c r="H46" s="1180"/>
      <c r="I46" s="1180"/>
      <c r="J46" s="2663"/>
      <c r="K46" s="2664"/>
      <c r="L46" s="2664"/>
      <c r="M46" s="1180"/>
      <c r="N46" s="1180"/>
      <c r="O46" s="1180"/>
      <c r="P46" s="1180"/>
      <c r="Q46" s="1180"/>
      <c r="R46" s="1180"/>
      <c r="S46" s="2665"/>
      <c r="T46" s="2665"/>
      <c r="U46" s="2665"/>
      <c r="V46" s="2665"/>
    </row>
    <row r="47" spans="1:30" s="1929" customFormat="1">
      <c r="A47" s="1755"/>
      <c r="B47" s="1755"/>
      <c r="C47" s="1180"/>
      <c r="D47" s="1180"/>
      <c r="E47" s="1180"/>
      <c r="F47" s="1180"/>
      <c r="G47" s="1180"/>
      <c r="H47" s="1180"/>
      <c r="I47" s="1180"/>
      <c r="J47" s="2663"/>
      <c r="K47" s="2664"/>
      <c r="L47" s="2664"/>
      <c r="M47" s="1180"/>
      <c r="N47" s="1180"/>
      <c r="O47" s="1180"/>
      <c r="P47" s="1180"/>
      <c r="Q47" s="1180"/>
      <c r="R47" s="1180"/>
      <c r="S47" s="2665"/>
      <c r="T47" s="2665"/>
      <c r="U47" s="2665"/>
      <c r="V47" s="2665"/>
    </row>
    <row r="48" spans="1:30" s="1929" customFormat="1">
      <c r="A48" s="1755"/>
      <c r="B48" s="1755"/>
      <c r="C48" s="1180"/>
      <c r="D48" s="1180"/>
      <c r="E48" s="1180"/>
      <c r="F48" s="1180"/>
      <c r="G48" s="1180"/>
      <c r="H48" s="1180"/>
      <c r="I48" s="1180"/>
      <c r="J48" s="2663"/>
      <c r="K48" s="2664"/>
      <c r="L48" s="2664"/>
      <c r="M48" s="1180"/>
      <c r="N48" s="1180"/>
      <c r="O48" s="1180"/>
      <c r="P48" s="1180"/>
      <c r="Q48" s="1180"/>
      <c r="R48" s="1180"/>
      <c r="S48" s="2665"/>
      <c r="T48" s="2665"/>
      <c r="U48" s="2665"/>
      <c r="V48" s="2665"/>
    </row>
    <row r="49" spans="1:22" s="1929" customFormat="1">
      <c r="A49" s="1755"/>
      <c r="B49" s="1755"/>
      <c r="C49" s="1180"/>
      <c r="D49" s="1180"/>
      <c r="E49" s="1180"/>
      <c r="F49" s="1180"/>
      <c r="G49" s="1180"/>
      <c r="H49" s="1180"/>
      <c r="I49" s="1180"/>
      <c r="J49" s="2663"/>
      <c r="K49" s="2664"/>
      <c r="L49" s="2664"/>
      <c r="M49" s="1180"/>
      <c r="N49" s="1180"/>
      <c r="O49" s="1180"/>
      <c r="P49" s="1180"/>
      <c r="Q49" s="1180"/>
      <c r="R49" s="1180"/>
      <c r="S49" s="2665"/>
      <c r="T49" s="2665"/>
      <c r="U49" s="2665"/>
      <c r="V49" s="2665"/>
    </row>
    <row r="50" spans="1:22" s="1929" customFormat="1">
      <c r="A50" s="1755"/>
      <c r="B50" s="1755"/>
      <c r="C50" s="1180"/>
      <c r="D50" s="1180"/>
      <c r="E50" s="1180"/>
      <c r="F50" s="1180"/>
      <c r="G50" s="1180"/>
      <c r="H50" s="1180"/>
      <c r="I50" s="1180"/>
      <c r="J50" s="2663"/>
      <c r="K50" s="2664"/>
      <c r="L50" s="2664"/>
      <c r="M50" s="1180"/>
      <c r="N50" s="1180"/>
      <c r="O50" s="1180"/>
      <c r="P50" s="1180"/>
      <c r="Q50" s="1180"/>
      <c r="R50" s="1180"/>
      <c r="S50" s="2665"/>
      <c r="T50" s="2665"/>
      <c r="U50" s="2665"/>
      <c r="V50" s="2665"/>
    </row>
    <row r="51" spans="1:22" s="1929" customFormat="1">
      <c r="A51" s="1755"/>
      <c r="B51" s="1755"/>
      <c r="C51" s="1180"/>
      <c r="D51" s="1180"/>
      <c r="E51" s="1180"/>
      <c r="F51" s="1180"/>
      <c r="G51" s="1180"/>
      <c r="H51" s="1180"/>
      <c r="I51" s="1180"/>
      <c r="J51" s="2663"/>
      <c r="K51" s="2664"/>
      <c r="L51" s="2664"/>
      <c r="M51" s="1180"/>
      <c r="N51" s="1180"/>
      <c r="O51" s="1180"/>
      <c r="P51" s="1180"/>
      <c r="Q51" s="1180"/>
      <c r="R51" s="1180"/>
    </row>
    <row r="52" spans="1:22" s="1929" customFormat="1">
      <c r="A52" s="1755"/>
      <c r="B52" s="1755"/>
      <c r="C52" s="1755"/>
      <c r="D52" s="1755"/>
      <c r="E52" s="1755"/>
      <c r="F52" s="1180"/>
      <c r="G52" s="1755"/>
      <c r="H52" s="1755"/>
      <c r="I52" s="1755"/>
      <c r="J52" s="2666"/>
      <c r="K52" s="2664"/>
      <c r="L52" s="2664"/>
      <c r="M52" s="2664"/>
      <c r="N52" s="1755"/>
      <c r="O52" s="1755"/>
      <c r="P52" s="1755"/>
      <c r="Q52" s="1755"/>
      <c r="R52" s="1755"/>
    </row>
    <row r="53" spans="1:22" s="1929" customFormat="1">
      <c r="A53" s="1755"/>
      <c r="B53" s="1755"/>
      <c r="C53" s="1755"/>
      <c r="D53" s="1755"/>
      <c r="E53" s="1755"/>
      <c r="F53" s="1180"/>
      <c r="G53" s="1755"/>
      <c r="H53" s="1755"/>
      <c r="I53" s="1755"/>
      <c r="J53" s="2666"/>
      <c r="K53" s="2664"/>
      <c r="L53" s="2664"/>
      <c r="M53" s="2664"/>
      <c r="N53" s="1755"/>
      <c r="O53" s="1755"/>
      <c r="P53" s="1755"/>
      <c r="Q53" s="1755"/>
      <c r="R53" s="1755"/>
    </row>
    <row r="54" spans="1:22" s="1929" customFormat="1">
      <c r="A54" s="1755"/>
      <c r="B54" s="1755"/>
      <c r="C54" s="1755"/>
      <c r="D54" s="1755"/>
      <c r="E54" s="1755"/>
      <c r="F54" s="1180"/>
      <c r="G54" s="1755"/>
      <c r="H54" s="1755"/>
      <c r="I54" s="1755"/>
      <c r="J54" s="2666"/>
      <c r="K54" s="2664"/>
      <c r="L54" s="2664"/>
      <c r="M54" s="2664"/>
      <c r="N54" s="1755"/>
      <c r="O54" s="1755"/>
      <c r="P54" s="1755"/>
      <c r="Q54" s="1755"/>
      <c r="R54" s="1755"/>
    </row>
    <row r="55" spans="1:22" s="1929" customFormat="1">
      <c r="A55" s="1755"/>
      <c r="B55" s="1755"/>
      <c r="C55" s="1755"/>
      <c r="D55" s="1755"/>
      <c r="E55" s="1755"/>
      <c r="F55" s="1180"/>
      <c r="G55" s="1755"/>
      <c r="H55" s="1755"/>
      <c r="I55" s="1755"/>
      <c r="J55" s="2666"/>
      <c r="K55" s="2664"/>
      <c r="L55" s="2664"/>
      <c r="M55" s="2664"/>
      <c r="N55" s="1755"/>
      <c r="O55" s="1755"/>
      <c r="P55" s="1755"/>
      <c r="Q55" s="1755"/>
      <c r="R55" s="1755"/>
    </row>
    <row r="56" spans="1:22" s="1929" customFormat="1">
      <c r="A56" s="1755"/>
      <c r="B56" s="1755"/>
      <c r="C56" s="1755"/>
      <c r="D56" s="1755"/>
      <c r="E56" s="1755"/>
      <c r="F56" s="1180"/>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7" t="s">
        <v>1753</v>
      </c>
      <c r="AZ2" s="1178"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24172.12</v>
      </c>
      <c r="B3" s="14">
        <f>IF(C3="否",G5-AT5,G5)</f>
        <v>27960.83</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79"/>
      <c r="AZ3" s="1180"/>
      <c r="BA3" s="1181"/>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27960.83</v>
      </c>
      <c r="H5" s="16">
        <f t="shared" ref="H5:AT5" si="0">SUM(H13:H656)</f>
        <v>27960.83</v>
      </c>
      <c r="I5" s="16">
        <f t="shared" si="0"/>
        <v>21489.300000000003</v>
      </c>
      <c r="J5" s="16">
        <f t="shared" si="0"/>
        <v>0</v>
      </c>
      <c r="K5" s="16">
        <f t="shared" si="0"/>
        <v>6471.53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27960.83</v>
      </c>
      <c r="BA5" s="18">
        <f t="shared" si="1"/>
        <v>27960.83</v>
      </c>
      <c r="BB5" s="18">
        <f t="shared" si="1"/>
        <v>21489.300000000003</v>
      </c>
      <c r="BC5" s="18">
        <f t="shared" si="1"/>
        <v>6471.53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24172.120000000003</v>
      </c>
      <c r="F6" s="16" t="s">
        <v>1</v>
      </c>
      <c r="G6" s="16" t="s">
        <v>2</v>
      </c>
      <c r="H6" s="20">
        <f>SUMIF(I$12:AB$12,"总值",I6:AB6)</f>
        <v>24172.120000000003</v>
      </c>
      <c r="I6" s="16">
        <f t="shared" ref="I6:AB6" si="2">ROUND($A$3*I5/$B$3,2)</f>
        <v>18577.490000000002</v>
      </c>
      <c r="J6" s="16">
        <f t="shared" si="2"/>
        <v>0</v>
      </c>
      <c r="K6" s="16">
        <f t="shared" si="2"/>
        <v>5594.63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24172.12</v>
      </c>
      <c r="AZ6" s="16" t="s">
        <v>3</v>
      </c>
      <c r="BA6" s="16">
        <f>ROUND($AY$6*BA5/$AZ$5,2)</f>
        <v>24172.12</v>
      </c>
      <c r="BB6" s="16">
        <f>ROUND($AY$6*BB5/$AZ$5,2)</f>
        <v>18577.490000000002</v>
      </c>
      <c r="BC6" s="16">
        <f t="shared" ref="BC6:BH6" si="4">ROUND($AY$6*BC5/$AZ$5,2)</f>
        <v>5594.63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7" t="s">
        <v>1772</v>
      </c>
      <c r="AD8" s="1785"/>
      <c r="AE8" s="1777"/>
      <c r="AF8" s="1544"/>
      <c r="AG8" s="1544"/>
      <c r="AH8" s="1544"/>
      <c r="AI8" s="1544"/>
      <c r="AJ8" s="1544"/>
      <c r="AK8" s="1544"/>
      <c r="AL8" s="1544"/>
      <c r="AM8" s="1544"/>
      <c r="AN8" s="1544"/>
      <c r="AO8" s="1544"/>
      <c r="AP8" s="1544"/>
      <c r="AQ8" s="1544"/>
      <c r="AR8" s="1544"/>
      <c r="AS8" s="1544"/>
      <c r="AT8" s="1200" t="s">
        <v>1773</v>
      </c>
      <c r="AU8" s="1779" t="s">
        <v>1774</v>
      </c>
      <c r="AV8" s="1200"/>
      <c r="AW8" s="1762"/>
      <c r="AX8" s="1200"/>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0"/>
      <c r="H9" s="1787" t="s">
        <v>1777</v>
      </c>
      <c r="I9" s="1788" t="s">
        <v>3055</v>
      </c>
      <c r="J9" s="917"/>
      <c r="K9" s="1788" t="s">
        <v>3088</v>
      </c>
      <c r="L9" s="917"/>
      <c r="M9" s="1788"/>
      <c r="N9" s="917"/>
      <c r="O9" s="1788"/>
      <c r="P9" s="917"/>
      <c r="Q9" s="1788"/>
      <c r="R9" s="917"/>
      <c r="S9" s="1788"/>
      <c r="T9" s="917"/>
      <c r="U9" s="1788"/>
      <c r="V9" s="917"/>
      <c r="W9" s="1788"/>
      <c r="X9" s="1789"/>
      <c r="Y9" s="1788"/>
      <c r="Z9" s="917"/>
      <c r="AA9" s="1788"/>
      <c r="AB9" s="917"/>
      <c r="AC9" s="1780" t="s">
        <v>1777</v>
      </c>
      <c r="AD9" s="15" t="s">
        <v>1778</v>
      </c>
      <c r="AE9" s="1206"/>
      <c r="AF9" s="15" t="s">
        <v>1779</v>
      </c>
      <c r="AG9" s="1206"/>
      <c r="AH9" s="15" t="s">
        <v>1778</v>
      </c>
      <c r="AI9" s="1206"/>
      <c r="AJ9" s="15" t="s">
        <v>1779</v>
      </c>
      <c r="AK9" s="1206"/>
      <c r="AL9" s="15" t="s">
        <v>1778</v>
      </c>
      <c r="AM9" s="1206"/>
      <c r="AN9" s="15" t="s">
        <v>1779</v>
      </c>
      <c r="AO9" s="1206"/>
      <c r="AP9" s="15" t="s">
        <v>1778</v>
      </c>
      <c r="AQ9" s="1206"/>
      <c r="AR9" s="15" t="s">
        <v>1779</v>
      </c>
      <c r="AS9" s="1790"/>
      <c r="AT9" s="1779"/>
      <c r="AU9" s="1779" t="s">
        <v>1780</v>
      </c>
      <c r="AV9" s="1200"/>
      <c r="AW9" s="1762"/>
      <c r="AX9" s="1200"/>
      <c r="AY9" s="28"/>
      <c r="AZ9" s="28" t="s">
        <v>1770</v>
      </c>
      <c r="BA9" s="1791" t="s">
        <v>1781</v>
      </c>
      <c r="BB9" s="1792"/>
      <c r="BC9" s="1246"/>
      <c r="BD9" s="1246"/>
      <c r="BE9" s="1246"/>
      <c r="BF9" s="1246"/>
      <c r="BG9" s="1246"/>
      <c r="BH9" s="1246"/>
      <c r="BI9" s="1246"/>
      <c r="BJ9" s="1246"/>
      <c r="BK9" s="1793"/>
      <c r="BL9" s="15" t="s">
        <v>1782</v>
      </c>
      <c r="BM9" s="1544"/>
      <c r="BN9" s="1782"/>
      <c r="BO9" s="1544"/>
      <c r="BP9" s="1544"/>
      <c r="BQ9" s="1544"/>
      <c r="BR9" s="1544"/>
      <c r="BS9" s="1544"/>
      <c r="BT9" s="26"/>
    </row>
    <row r="10" spans="1:72" s="1786" customFormat="1" ht="12.75">
      <c r="A10" s="1779"/>
      <c r="B10" s="1779"/>
      <c r="C10" s="1779"/>
      <c r="D10" s="1779"/>
      <c r="E10" s="1779"/>
      <c r="F10" s="1779"/>
      <c r="G10" s="1200"/>
      <c r="H10" s="28"/>
      <c r="I10" s="1788" t="s">
        <v>1343</v>
      </c>
      <c r="J10" s="917"/>
      <c r="K10" s="1794" t="s">
        <v>3089</v>
      </c>
      <c r="L10" s="917"/>
      <c r="M10" s="1794"/>
      <c r="N10" s="917"/>
      <c r="O10" s="1794"/>
      <c r="P10" s="917"/>
      <c r="Q10" s="1794"/>
      <c r="R10" s="917"/>
      <c r="S10" s="1794"/>
      <c r="T10" s="917"/>
      <c r="U10" s="1794"/>
      <c r="V10" s="917"/>
      <c r="W10" s="1794"/>
      <c r="X10" s="917"/>
      <c r="Y10" s="1794"/>
      <c r="Z10" s="917"/>
      <c r="AA10" s="1794"/>
      <c r="AB10" s="917"/>
      <c r="AC10" s="1200"/>
      <c r="AD10" s="15" t="s">
        <v>1783</v>
      </c>
      <c r="AE10" s="1795"/>
      <c r="AF10" s="15" t="s">
        <v>1783</v>
      </c>
      <c r="AG10" s="1795"/>
      <c r="AH10" s="15" t="s">
        <v>1784</v>
      </c>
      <c r="AI10" s="1795"/>
      <c r="AJ10" s="15" t="s">
        <v>1784</v>
      </c>
      <c r="AK10" s="1795"/>
      <c r="AL10" s="15" t="s">
        <v>1785</v>
      </c>
      <c r="AM10" s="1206"/>
      <c r="AN10" s="15" t="s">
        <v>1785</v>
      </c>
      <c r="AO10" s="1206"/>
      <c r="AP10" s="15" t="s">
        <v>1786</v>
      </c>
      <c r="AQ10" s="1206"/>
      <c r="AR10" s="15" t="s">
        <v>1786</v>
      </c>
      <c r="AS10" s="1206"/>
      <c r="AT10" s="1779"/>
      <c r="AU10" s="1779"/>
      <c r="AV10" s="1200"/>
      <c r="AW10" s="1762"/>
      <c r="AX10" s="1200"/>
      <c r="AY10" s="28"/>
      <c r="AZ10" s="28"/>
      <c r="BA10" s="1796" t="s">
        <v>1777</v>
      </c>
      <c r="BB10" s="1797" t="str">
        <f>I9</f>
        <v>地上</v>
      </c>
      <c r="BC10" s="29" t="str">
        <f>K9</f>
        <v>地下</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0"/>
      <c r="H11" s="1796"/>
      <c r="I11" s="1799"/>
      <c r="J11" s="1800"/>
      <c r="K11" s="1799"/>
      <c r="L11" s="1800"/>
      <c r="M11" s="1799"/>
      <c r="N11" s="1800"/>
      <c r="O11" s="1799"/>
      <c r="P11" s="1800"/>
      <c r="Q11" s="1799"/>
      <c r="R11" s="1800"/>
      <c r="S11" s="1799"/>
      <c r="T11" s="1800"/>
      <c r="U11" s="1799"/>
      <c r="V11" s="1800"/>
      <c r="W11" s="1799"/>
      <c r="X11" s="1800"/>
      <c r="Y11" s="1799"/>
      <c r="Z11" s="1800"/>
      <c r="AA11" s="1799"/>
      <c r="AB11" s="1800"/>
      <c r="AC11" s="1200"/>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0"/>
      <c r="AW11" s="1762"/>
      <c r="AX11" s="1200"/>
      <c r="AY11" s="28"/>
      <c r="AZ11" s="28"/>
      <c r="BA11" s="28"/>
      <c r="BB11" s="1784" t="str">
        <f>I10</f>
        <v>商业</v>
      </c>
      <c r="BC11" s="1784" t="str">
        <f>K10</f>
        <v>车库</v>
      </c>
      <c r="BD11" s="1784">
        <f>M10</f>
        <v>0</v>
      </c>
      <c r="BE11" s="1784">
        <f>O10</f>
        <v>0</v>
      </c>
      <c r="BF11" s="1784">
        <f>Q10</f>
        <v>0</v>
      </c>
      <c r="BG11" s="1784">
        <f>S10</f>
        <v>0</v>
      </c>
      <c r="BH11" s="1784">
        <f>U10</f>
        <v>0</v>
      </c>
      <c r="BI11" s="1784">
        <f>W10</f>
        <v>0</v>
      </c>
      <c r="BJ11" s="1784">
        <f>Y10</f>
        <v>0</v>
      </c>
      <c r="BK11" s="1784">
        <f>AA10</f>
        <v>0</v>
      </c>
      <c r="BL11" s="1200"/>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f>I11</f>
        <v>0</v>
      </c>
      <c r="BC12" s="1809">
        <f>K11</f>
        <v>0</v>
      </c>
      <c r="BD12" s="1809">
        <f>M11</f>
        <v>0</v>
      </c>
      <c r="BE12" s="1784">
        <f>O11</f>
        <v>0</v>
      </c>
      <c r="BF12" s="1784">
        <f>Q11</f>
        <v>0</v>
      </c>
      <c r="BG12" s="1784">
        <f>S11</f>
        <v>0</v>
      </c>
      <c r="BH12" s="1784">
        <f>U11</f>
        <v>0</v>
      </c>
      <c r="BI12" s="1784">
        <f>W11</f>
        <v>0</v>
      </c>
      <c r="BJ12" s="1784">
        <f>Y11</f>
        <v>0</v>
      </c>
      <c r="BK12" s="1784">
        <f>AA11</f>
        <v>0</v>
      </c>
      <c r="BL12" s="1200"/>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0"/>
      <c r="B13" s="3044"/>
      <c r="C13" s="1180">
        <v>-1</v>
      </c>
      <c r="D13" s="1810" t="s">
        <v>3054</v>
      </c>
      <c r="E13" s="16">
        <f>IF($C$3="是",ROUND($A$3*G13/$B$3,2),ROUND($A$3*(G13-AT13)/$B$3,2))</f>
        <v>5594.63</v>
      </c>
      <c r="F13" s="32"/>
      <c r="G13" s="33">
        <f>H13+AC13+AT13</f>
        <v>6471.53</v>
      </c>
      <c r="H13" s="20">
        <f>SUMIF(I$12:AB$12,"总值",I13:AB13)</f>
        <v>6471.53</v>
      </c>
      <c r="I13" s="1811"/>
      <c r="J13" s="1811"/>
      <c r="K13" s="1811">
        <v>6471.53</v>
      </c>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-1</v>
      </c>
      <c r="AY13" s="1533">
        <f>ROUND($AY$6*AZ13/$AZ$5,2)</f>
        <v>5594.63</v>
      </c>
      <c r="AZ13" s="16">
        <f>BA13+BL13</f>
        <v>6471.53</v>
      </c>
      <c r="BA13" s="16">
        <f>SUM(BB13:BK13)</f>
        <v>6471.53</v>
      </c>
      <c r="BB13" s="16">
        <f>IF($D13="是",I13-J13,0)</f>
        <v>0</v>
      </c>
      <c r="BC13" s="16">
        <f>IF($D13="是",K13-L13,0)</f>
        <v>6471.53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0"/>
      <c r="B14" s="3044"/>
      <c r="C14" s="1180">
        <v>1</v>
      </c>
      <c r="D14" s="1810" t="s">
        <v>3054</v>
      </c>
      <c r="E14" s="16">
        <f>IF($C$3="是",ROUND($A$3*G14/$B$3,2),ROUND($A$3*(G14-AT14)/$B$3,2))</f>
        <v>6604.48</v>
      </c>
      <c r="F14" s="32"/>
      <c r="G14" s="33">
        <f>H14+AC14+AT14</f>
        <v>7639.66</v>
      </c>
      <c r="H14" s="20">
        <f>SUMIF(I$12:AB$12,"总值",I14:AB14)</f>
        <v>7639.66</v>
      </c>
      <c r="I14" s="1811">
        <v>7639.66</v>
      </c>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1</v>
      </c>
      <c r="AY14" s="1533">
        <f>ROUND($AY$6*AZ14/$AZ$5,2)</f>
        <v>6604.48</v>
      </c>
      <c r="AZ14" s="16">
        <f>BA14+BL14</f>
        <v>7639.66</v>
      </c>
      <c r="BA14" s="16">
        <f>SUM(BB14:BK14)</f>
        <v>7639.66</v>
      </c>
      <c r="BB14" s="16">
        <f>IF($D14="是",I14-J14,0)</f>
        <v>7639.66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0"/>
      <c r="B15" s="1180"/>
      <c r="C15" s="1180">
        <v>2</v>
      </c>
      <c r="D15" s="1810" t="s">
        <v>3054</v>
      </c>
      <c r="E15" s="16">
        <f>IF($C$3="是",ROUND($A$3*G15/$B$3,2),ROUND($A$3*(G15-AT15)/$B$3,2))</f>
        <v>5955.94</v>
      </c>
      <c r="F15" s="32"/>
      <c r="G15" s="33">
        <f>H15+AC15+AT15</f>
        <v>6889.47</v>
      </c>
      <c r="H15" s="20">
        <f>SUMIF(I$12:AB$12,"总值",I15:AB15)</f>
        <v>6889.47</v>
      </c>
      <c r="I15" s="1811">
        <v>6889.47</v>
      </c>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2</v>
      </c>
      <c r="AY15" s="1533">
        <f>ROUND($AY$6*AZ15/$AZ$5,2)</f>
        <v>5955.94</v>
      </c>
      <c r="AZ15" s="16">
        <f>BA15+BL15</f>
        <v>6889.47</v>
      </c>
      <c r="BA15" s="16">
        <f>SUM(BB15:BK15)</f>
        <v>6889.47</v>
      </c>
      <c r="BB15" s="16">
        <f>IF($D15="是",I15-J15,0)</f>
        <v>6889.47</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0"/>
      <c r="B16" s="1180"/>
      <c r="C16" s="1180">
        <v>3</v>
      </c>
      <c r="D16" s="1810" t="s">
        <v>3054</v>
      </c>
      <c r="E16" s="16">
        <f>IF($C$3="是",ROUND($A$3*G16/$B$3,2),ROUND($A$3*(G16-AT16)/$B$3,2))</f>
        <v>5397.89</v>
      </c>
      <c r="F16" s="32"/>
      <c r="G16" s="33">
        <f>H16+AC16+AT16</f>
        <v>6243.95</v>
      </c>
      <c r="H16" s="20">
        <f>SUMIF(I$12:AB$12,"总值",I16:AB16)</f>
        <v>6243.95</v>
      </c>
      <c r="I16" s="1811">
        <v>6243.95</v>
      </c>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3</v>
      </c>
      <c r="AY16" s="1533">
        <f>ROUND($AY$6*AZ16/$AZ$5,2)</f>
        <v>5397.89</v>
      </c>
      <c r="AZ16" s="16">
        <f>BA16+BL16</f>
        <v>6243.95</v>
      </c>
      <c r="BA16" s="16">
        <f>SUM(BB16:BK16)</f>
        <v>6243.95</v>
      </c>
      <c r="BB16" s="16">
        <f>IF($D16="是",I16-J16,0)</f>
        <v>6243.95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0"/>
      <c r="B17" s="1180"/>
      <c r="C17" s="1180">
        <v>4</v>
      </c>
      <c r="D17" s="1810" t="s">
        <v>3054</v>
      </c>
      <c r="E17" s="16">
        <f>IF($C$3="是",ROUND($A$3*G17/$B$3,2),ROUND($A$3*(G17-AT17)/$B$3,2))</f>
        <v>619.16999999999996</v>
      </c>
      <c r="F17" s="32"/>
      <c r="G17" s="33">
        <f>H17+AC17+AT17</f>
        <v>716.22</v>
      </c>
      <c r="H17" s="20">
        <f>SUMIF(I$12:AB$12,"总值",I17:AB17)</f>
        <v>716.22</v>
      </c>
      <c r="I17" s="1811">
        <v>716.22</v>
      </c>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4</v>
      </c>
      <c r="AY17" s="1533">
        <f>ROUND($AY$6*AZ17/$AZ$5,2)</f>
        <v>619.16999999999996</v>
      </c>
      <c r="AZ17" s="16">
        <f>BA17+BL17</f>
        <v>716.22</v>
      </c>
      <c r="BA17" s="16">
        <f>SUM(BB17:BK17)</f>
        <v>716.22</v>
      </c>
      <c r="BB17" s="16">
        <f>IF($D17="是",I17-J17,0)</f>
        <v>716.22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0" t="s">
        <v>0</v>
      </c>
      <c r="B1" s="3140" t="s">
        <v>4</v>
      </c>
      <c r="C1" s="3140" t="s">
        <v>5</v>
      </c>
      <c r="D1" s="3141" t="s">
        <v>53</v>
      </c>
      <c r="E1" s="3141" t="s">
        <v>54</v>
      </c>
      <c r="F1" s="3141"/>
      <c r="G1" s="3141"/>
      <c r="H1" s="3141"/>
      <c r="I1" s="3141"/>
      <c r="J1" s="3141"/>
      <c r="K1" s="3141"/>
      <c r="L1" s="3141"/>
      <c r="M1" s="3141"/>
    </row>
    <row r="2" spans="1:13" ht="27" customHeight="1">
      <c r="A2" s="3140"/>
      <c r="B2" s="3140"/>
      <c r="C2" s="3140"/>
      <c r="D2" s="3141"/>
      <c r="E2" s="3141" t="s">
        <v>37</v>
      </c>
      <c r="F2" s="3141" t="s">
        <v>38</v>
      </c>
      <c r="G2" s="3141"/>
      <c r="H2" s="3141"/>
      <c r="I2" s="3141"/>
      <c r="J2" s="3141" t="s">
        <v>39</v>
      </c>
      <c r="K2" s="3141"/>
      <c r="L2" s="3141"/>
      <c r="M2" s="3141"/>
    </row>
    <row r="3" spans="1:13" ht="28.5">
      <c r="A3" s="3140"/>
      <c r="B3" s="3140"/>
      <c r="C3" s="3140"/>
      <c r="D3" s="3141"/>
      <c r="E3" s="31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1" t="s">
        <v>55</v>
      </c>
      <c r="B9" s="3141"/>
      <c r="C9" s="31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1" sqref="G21"/>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299"/>
      <c r="C1" s="1299"/>
      <c r="D1" s="1299"/>
      <c r="E1" s="1299"/>
      <c r="F1" s="1299"/>
      <c r="G1" s="1299"/>
      <c r="H1" s="1299"/>
      <c r="I1" s="1299"/>
      <c r="J1" s="1299"/>
      <c r="K1" s="1299"/>
      <c r="L1" s="1299"/>
      <c r="M1" s="1299"/>
      <c r="N1" s="1299"/>
      <c r="O1" s="1299"/>
      <c r="P1" s="1299"/>
    </row>
    <row r="2" spans="1:16" ht="15">
      <c r="A2" s="3151" t="s">
        <v>1817</v>
      </c>
      <c r="B2" s="3151"/>
      <c r="C2" s="3151"/>
      <c r="D2" s="903" t="s">
        <v>1793</v>
      </c>
      <c r="E2" s="1824" t="s">
        <v>1794</v>
      </c>
      <c r="F2" s="2886"/>
      <c r="G2" s="2877"/>
      <c r="H2" s="2878"/>
      <c r="I2" s="2548" t="s">
        <v>1818</v>
      </c>
      <c r="J2" s="2886"/>
      <c r="K2" s="2886"/>
      <c r="L2" s="2886"/>
      <c r="M2" s="2886"/>
      <c r="N2" s="2888"/>
      <c r="O2" s="2886"/>
      <c r="P2" s="2886"/>
    </row>
    <row r="3" spans="1:16" ht="15.75" thickBot="1">
      <c r="A3" s="3152" t="s">
        <v>1791</v>
      </c>
      <c r="B3" s="3152"/>
      <c r="C3" s="3152"/>
      <c r="D3" s="46">
        <f>'数据-基础表'!AY6</f>
        <v>24172.12</v>
      </c>
      <c r="E3" s="46">
        <f>'数据-基础表'!AZ5</f>
        <v>27960.83</v>
      </c>
      <c r="F3" s="2886"/>
      <c r="G3" s="1305"/>
      <c r="H3" s="1155" t="s">
        <v>1792</v>
      </c>
      <c r="I3" s="963">
        <f>ROUND('数据-基础表'!B3/'数据-基础表'!A3,2)</f>
        <v>1.1599999999999999</v>
      </c>
      <c r="J3" s="2886"/>
      <c r="K3" s="2886"/>
      <c r="L3" s="2886"/>
      <c r="M3" s="2886"/>
      <c r="N3" s="2888"/>
      <c r="O3" s="2886"/>
      <c r="P3" s="2886"/>
    </row>
    <row r="4" spans="1:16" ht="15">
      <c r="A4" s="3153"/>
      <c r="B4" s="3154"/>
      <c r="C4" s="3155"/>
      <c r="D4" s="1826" t="s">
        <v>1793</v>
      </c>
      <c r="E4" s="1827" t="s">
        <v>1794</v>
      </c>
      <c r="F4" s="2886"/>
      <c r="G4" s="2879" t="s">
        <v>1819</v>
      </c>
      <c r="H4" s="1155" t="s">
        <v>1799</v>
      </c>
      <c r="I4" s="963">
        <f>ROUND(SUMIF('数据-基础表'!I9:AS9,"地上",'数据-基础表'!I5:AS5)/'数据-基础表'!A3,2)</f>
        <v>0.89</v>
      </c>
      <c r="J4" s="2886"/>
      <c r="K4" s="2886"/>
      <c r="L4" s="2886"/>
      <c r="M4" s="2886"/>
      <c r="N4" s="2888"/>
      <c r="O4" s="2886"/>
      <c r="P4" s="2886"/>
    </row>
    <row r="5" spans="1:16">
      <c r="A5" s="47" t="s">
        <v>1795</v>
      </c>
      <c r="B5" s="3156" t="s">
        <v>1796</v>
      </c>
      <c r="C5" s="3156"/>
      <c r="D5" s="48">
        <f>ROUND($D$3*E5/$E$3,2)</f>
        <v>0</v>
      </c>
      <c r="E5" s="49">
        <f>SUMIF('数据-基础表'!$11:$11,"住宅",'数据-基础表'!$5:$5)</f>
        <v>0</v>
      </c>
      <c r="F5" s="2886"/>
      <c r="G5" s="1305"/>
      <c r="H5" s="1155" t="s">
        <v>1792</v>
      </c>
      <c r="I5" s="963">
        <f>ROUND(E31/D31,2)</f>
        <v>1.1599999999999999</v>
      </c>
      <c r="J5" s="2886"/>
      <c r="K5" s="2886"/>
      <c r="L5" s="2886"/>
      <c r="M5" s="2886"/>
      <c r="N5" s="2886"/>
      <c r="O5" s="2886"/>
      <c r="P5" s="2886"/>
    </row>
    <row r="6" spans="1:16" ht="15" thickBot="1">
      <c r="A6" s="1829"/>
      <c r="B6" s="3156" t="s">
        <v>1797</v>
      </c>
      <c r="C6" s="3156"/>
      <c r="D6" s="48">
        <f>ROUND($D$3*E6/$E$3,2)</f>
        <v>24172.12</v>
      </c>
      <c r="E6" s="49">
        <f>E3-E5</f>
        <v>27960.83</v>
      </c>
      <c r="F6" s="2886"/>
      <c r="G6" s="2880" t="s">
        <v>1798</v>
      </c>
      <c r="H6" s="1306" t="s">
        <v>1799</v>
      </c>
      <c r="I6" s="2881">
        <f>ROUND(F31/D31,2)</f>
        <v>0.89</v>
      </c>
      <c r="J6" s="2886"/>
      <c r="K6" s="2886"/>
      <c r="L6" s="2886"/>
      <c r="M6" s="2886"/>
      <c r="N6" s="2886"/>
      <c r="O6" s="2886"/>
      <c r="P6" s="2886"/>
    </row>
    <row r="7" spans="1:16" ht="15.75" thickBot="1">
      <c r="A7" s="3148"/>
      <c r="B7" s="3149"/>
      <c r="C7" s="3150"/>
      <c r="D7" s="1826" t="s">
        <v>1793</v>
      </c>
      <c r="E7" s="1830" t="s">
        <v>1800</v>
      </c>
      <c r="F7" s="2886"/>
      <c r="G7" s="2882" t="s">
        <v>1801</v>
      </c>
      <c r="H7" s="2883"/>
      <c r="I7" s="2884"/>
      <c r="J7" s="2886"/>
      <c r="K7" s="2886"/>
      <c r="L7" s="2886"/>
      <c r="M7" s="2886"/>
      <c r="N7" s="2886"/>
      <c r="O7" s="2886"/>
      <c r="P7" s="2886"/>
    </row>
    <row r="8" spans="1:16">
      <c r="A8" s="47" t="s">
        <v>1802</v>
      </c>
      <c r="B8" s="50" t="s">
        <v>1803</v>
      </c>
      <c r="C8" s="48" t="s">
        <v>1804</v>
      </c>
      <c r="D8" s="48">
        <f t="shared" ref="D8:D15" si="0">ROUND($D$3*E8/$E$3,2)</f>
        <v>18577.490000000002</v>
      </c>
      <c r="E8" s="51">
        <f>SUMIF('数据-基础表'!BB10:BK10,"地上",'数据-基础表'!BB5:BK5)</f>
        <v>21489.300000000003</v>
      </c>
      <c r="F8" s="2886"/>
      <c r="G8" s="2887"/>
      <c r="H8" s="2887"/>
      <c r="I8" s="2886"/>
      <c r="J8" s="2886"/>
      <c r="K8" s="2886"/>
      <c r="L8" s="2886"/>
      <c r="M8" s="2886"/>
      <c r="N8" s="2886"/>
      <c r="O8" s="2886"/>
      <c r="P8" s="2886"/>
    </row>
    <row r="9" spans="1:16">
      <c r="A9" s="1831"/>
      <c r="B9" s="1832"/>
      <c r="C9" s="48" t="s">
        <v>1805</v>
      </c>
      <c r="D9" s="48">
        <f t="shared" si="0"/>
        <v>0</v>
      </c>
      <c r="E9" s="52">
        <v>0</v>
      </c>
      <c r="F9" s="2886"/>
      <c r="G9" s="2887"/>
      <c r="H9" s="2887"/>
      <c r="I9" s="2886"/>
      <c r="J9" s="2886"/>
      <c r="K9" s="2886"/>
      <c r="L9" s="2886"/>
      <c r="M9" s="2886"/>
      <c r="N9" s="2886"/>
      <c r="O9" s="2886"/>
      <c r="P9" s="2886"/>
    </row>
    <row r="10" spans="1:16">
      <c r="A10" s="1831"/>
      <c r="B10" s="1832"/>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1808</v>
      </c>
      <c r="D13" s="48">
        <f t="shared" si="0"/>
        <v>5594.63</v>
      </c>
      <c r="E13" s="51">
        <f>SUMPRODUCT(('数据-基础表'!BB10:BK10="地下")*('数据-基础表'!BB11:BK11="车库")*('数据-基础表'!BB5:BK5))</f>
        <v>6471.53</v>
      </c>
      <c r="F13" s="2886"/>
      <c r="G13" s="2887"/>
      <c r="H13" s="2887"/>
      <c r="I13" s="2886"/>
      <c r="J13" s="2886"/>
      <c r="K13" s="2886"/>
      <c r="L13" s="2886"/>
      <c r="M13" s="2886"/>
      <c r="N13" s="2886"/>
      <c r="O13" s="2886"/>
      <c r="P13" s="2886"/>
    </row>
    <row r="14" spans="1:16">
      <c r="A14" s="1831"/>
      <c r="B14" s="1832"/>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1809</v>
      </c>
      <c r="D16" s="50">
        <f>SUM(D8:D15)</f>
        <v>24172.120000000003</v>
      </c>
      <c r="E16" s="53">
        <f>SUM(E8:E15)</f>
        <v>27960.83</v>
      </c>
      <c r="F16" s="2886"/>
      <c r="G16" s="2887"/>
      <c r="H16" s="1833" t="s">
        <v>1821</v>
      </c>
      <c r="I16" s="1834"/>
      <c r="J16" s="1299"/>
      <c r="K16" s="3145" t="s">
        <v>1821</v>
      </c>
      <c r="L16" s="3146"/>
      <c r="M16" s="3146"/>
      <c r="N16" s="3146"/>
      <c r="O16" s="3146"/>
      <c r="P16" s="3147"/>
    </row>
    <row r="17" spans="1:19" ht="15">
      <c r="A17" s="1835" t="s">
        <v>1822</v>
      </c>
      <c r="B17" s="1836" t="s">
        <v>1823</v>
      </c>
      <c r="C17" s="1837" t="s">
        <v>1824</v>
      </c>
      <c r="D17" s="1838" t="s">
        <v>1812</v>
      </c>
      <c r="E17" s="1839" t="s">
        <v>1813</v>
      </c>
      <c r="F17" s="1840"/>
      <c r="G17" s="1841"/>
      <c r="H17" s="1842" t="s">
        <v>1825</v>
      </c>
      <c r="I17" s="1843" t="s">
        <v>1810</v>
      </c>
      <c r="J17" s="1299"/>
      <c r="K17" s="3142" t="s">
        <v>1826</v>
      </c>
      <c r="L17" s="3143"/>
      <c r="M17" s="3144"/>
      <c r="N17" s="3142" t="s">
        <v>1827</v>
      </c>
      <c r="O17" s="3143"/>
      <c r="P17" s="3144"/>
      <c r="R17" s="1825" t="s">
        <v>1828</v>
      </c>
      <c r="S17" s="60"/>
    </row>
    <row r="18" spans="1:19" ht="15">
      <c r="A18" s="1831"/>
      <c r="B18" s="1844"/>
      <c r="C18" s="1845"/>
      <c r="D18" s="1846"/>
      <c r="E18" s="1847" t="s">
        <v>1829</v>
      </c>
      <c r="F18" s="1848" t="s">
        <v>1830</v>
      </c>
      <c r="G18" s="1849" t="s">
        <v>1831</v>
      </c>
      <c r="H18" s="1170" t="s">
        <v>1832</v>
      </c>
      <c r="I18" s="1850" t="s">
        <v>1833</v>
      </c>
      <c r="J18" s="1299"/>
      <c r="K18" s="1170" t="s">
        <v>1834</v>
      </c>
      <c r="L18" s="1851" t="s">
        <v>1835</v>
      </c>
      <c r="M18" s="963" t="s">
        <v>1836</v>
      </c>
      <c r="N18" s="1170" t="s">
        <v>1834</v>
      </c>
      <c r="O18" s="1851" t="s">
        <v>1835</v>
      </c>
      <c r="P18" s="963" t="s">
        <v>1836</v>
      </c>
      <c r="R18" s="1155" t="s">
        <v>1837</v>
      </c>
      <c r="S18" s="1155" t="s">
        <v>1838</v>
      </c>
    </row>
    <row r="19" spans="1:19">
      <c r="A19" s="1852"/>
      <c r="B19" s="50" t="s">
        <v>1811</v>
      </c>
      <c r="C19" s="3045" t="s">
        <v>3090</v>
      </c>
      <c r="D19" s="48">
        <f>ROUND($D$3*E19/$E$3,2)</f>
        <v>18577.490000000002</v>
      </c>
      <c r="E19" s="56">
        <f t="shared" ref="E19:E26" si="1">SUM(F19:G19)</f>
        <v>21489.300000000003</v>
      </c>
      <c r="F19" s="3026">
        <f>'数据-基础表'!I14+'数据-基础表'!I15+'数据-基础表'!I16+'数据-基础表'!I17</f>
        <v>21489.300000000003</v>
      </c>
      <c r="G19" s="3027"/>
      <c r="H19" s="678">
        <f>ROUND($D$3*I19/$E$3,2)</f>
        <v>0</v>
      </c>
      <c r="I19" s="51">
        <f t="shared" ref="I19:I26" si="2">IF($I$17="自定义",P19,M19)</f>
        <v>0</v>
      </c>
      <c r="J19" s="1299"/>
      <c r="K19" s="1298">
        <f t="shared" ref="K19:K26" si="3">ROUND(E$28*E19/E$27,2)</f>
        <v>0</v>
      </c>
      <c r="L19" s="1155">
        <f t="shared" ref="L19:L26" si="4">ROUND(IF(COUNTIF(C19,"*住宅*")&gt;0,E$29*E19/E$32,0),2)</f>
        <v>0</v>
      </c>
      <c r="M19" s="1310">
        <f>K19+L19</f>
        <v>0</v>
      </c>
      <c r="N19" s="1854"/>
      <c r="O19" s="1855"/>
      <c r="P19" s="1310">
        <f>N19+O19</f>
        <v>0</v>
      </c>
      <c r="R19" s="1155">
        <f t="shared" ref="R19:S26" si="5">D19+H19</f>
        <v>18577.490000000002</v>
      </c>
      <c r="S19" s="1156">
        <f t="shared" si="5"/>
        <v>21489.300000000003</v>
      </c>
    </row>
    <row r="20" spans="1:19">
      <c r="A20" s="1856"/>
      <c r="B20" s="50" t="s">
        <v>1839</v>
      </c>
      <c r="C20" s="3045" t="s">
        <v>3091</v>
      </c>
      <c r="D20" s="48">
        <f t="shared" ref="D20:D26" si="6">ROUND($D$3*E20/$E$3,2)</f>
        <v>5594.63</v>
      </c>
      <c r="E20" s="56">
        <f t="shared" si="1"/>
        <v>6471.53</v>
      </c>
      <c r="F20" s="3026"/>
      <c r="G20" s="3027">
        <f>'数据-基础表'!K13</f>
        <v>6471.53</v>
      </c>
      <c r="H20" s="678">
        <f t="shared" ref="H20:H26" si="7">ROUND($D$3*I20/$E$3,2)</f>
        <v>0</v>
      </c>
      <c r="I20" s="51">
        <f t="shared" si="2"/>
        <v>0</v>
      </c>
      <c r="J20" s="1299"/>
      <c r="K20" s="1298">
        <f t="shared" si="3"/>
        <v>0</v>
      </c>
      <c r="L20" s="1155">
        <f t="shared" si="4"/>
        <v>0</v>
      </c>
      <c r="M20" s="1310">
        <f t="shared" ref="M20:M26" si="8">K20+L20</f>
        <v>0</v>
      </c>
      <c r="N20" s="1854"/>
      <c r="O20" s="1855"/>
      <c r="P20" s="1310">
        <f t="shared" ref="P20:P26" si="9">N20+O20</f>
        <v>0</v>
      </c>
      <c r="R20" s="1155">
        <f t="shared" si="5"/>
        <v>5594.63</v>
      </c>
      <c r="S20" s="1156">
        <f t="shared" si="5"/>
        <v>6471.53</v>
      </c>
    </row>
    <row r="21" spans="1:19">
      <c r="A21" s="1856"/>
      <c r="B21" s="50" t="s">
        <v>1839</v>
      </c>
      <c r="C21" s="1853"/>
      <c r="D21" s="48">
        <f t="shared" si="6"/>
        <v>0</v>
      </c>
      <c r="E21" s="56">
        <f t="shared" si="1"/>
        <v>0</v>
      </c>
      <c r="F21" s="3026"/>
      <c r="G21" s="3027"/>
      <c r="H21" s="678">
        <f t="shared" si="7"/>
        <v>0</v>
      </c>
      <c r="I21" s="51">
        <f t="shared" si="2"/>
        <v>0</v>
      </c>
      <c r="J21" s="1299"/>
      <c r="K21" s="1298">
        <f t="shared" si="3"/>
        <v>0</v>
      </c>
      <c r="L21" s="1155">
        <f t="shared" si="4"/>
        <v>0</v>
      </c>
      <c r="M21" s="1310">
        <f t="shared" si="8"/>
        <v>0</v>
      </c>
      <c r="N21" s="1854"/>
      <c r="O21" s="1855"/>
      <c r="P21" s="1310">
        <f t="shared" si="9"/>
        <v>0</v>
      </c>
      <c r="R21" s="1155">
        <f t="shared" si="5"/>
        <v>0</v>
      </c>
      <c r="S21" s="1156">
        <f t="shared" si="5"/>
        <v>0</v>
      </c>
    </row>
    <row r="22" spans="1:19">
      <c r="A22" s="1856"/>
      <c r="B22" s="50" t="s">
        <v>1839</v>
      </c>
      <c r="C22" s="58"/>
      <c r="D22" s="48">
        <f t="shared" si="6"/>
        <v>0</v>
      </c>
      <c r="E22" s="56">
        <f t="shared" si="1"/>
        <v>0</v>
      </c>
      <c r="F22" s="3028"/>
      <c r="G22" s="3029"/>
      <c r="H22" s="678">
        <f t="shared" si="7"/>
        <v>0</v>
      </c>
      <c r="I22" s="51">
        <f t="shared" si="2"/>
        <v>0</v>
      </c>
      <c r="J22" s="1299"/>
      <c r="K22" s="1298">
        <f t="shared" si="3"/>
        <v>0</v>
      </c>
      <c r="L22" s="1155">
        <f t="shared" si="4"/>
        <v>0</v>
      </c>
      <c r="M22" s="1310">
        <f t="shared" si="8"/>
        <v>0</v>
      </c>
      <c r="N22" s="1854"/>
      <c r="O22" s="1855"/>
      <c r="P22" s="1310">
        <f t="shared" si="9"/>
        <v>0</v>
      </c>
      <c r="R22" s="1155">
        <f t="shared" si="5"/>
        <v>0</v>
      </c>
      <c r="S22" s="1156">
        <f t="shared" si="5"/>
        <v>0</v>
      </c>
    </row>
    <row r="23" spans="1:19">
      <c r="A23" s="1856"/>
      <c r="B23" s="50" t="s">
        <v>1839</v>
      </c>
      <c r="C23" s="58"/>
      <c r="D23" s="48">
        <f>ROUND($D$3*E23/$E$3,2)</f>
        <v>0</v>
      </c>
      <c r="E23" s="56">
        <f>SUM(F23:G23)</f>
        <v>0</v>
      </c>
      <c r="F23" s="3028"/>
      <c r="G23" s="3029"/>
      <c r="H23" s="678">
        <f>ROUND($D$3*I23/$E$3,2)</f>
        <v>0</v>
      </c>
      <c r="I23" s="51">
        <f t="shared" si="2"/>
        <v>0</v>
      </c>
      <c r="J23" s="1299"/>
      <c r="K23" s="1298">
        <f t="shared" si="3"/>
        <v>0</v>
      </c>
      <c r="L23" s="1155">
        <f t="shared" si="4"/>
        <v>0</v>
      </c>
      <c r="M23" s="1310">
        <f t="shared" si="8"/>
        <v>0</v>
      </c>
      <c r="N23" s="1854"/>
      <c r="O23" s="1855"/>
      <c r="P23" s="1310">
        <f t="shared" si="9"/>
        <v>0</v>
      </c>
      <c r="R23" s="1155">
        <f t="shared" si="5"/>
        <v>0</v>
      </c>
      <c r="S23" s="1156">
        <f t="shared" si="5"/>
        <v>0</v>
      </c>
    </row>
    <row r="24" spans="1:19">
      <c r="A24" s="1856"/>
      <c r="B24" s="50" t="s">
        <v>1839</v>
      </c>
      <c r="C24" s="58"/>
      <c r="D24" s="48">
        <f>ROUND($D$3*E24/$E$3,2)</f>
        <v>0</v>
      </c>
      <c r="E24" s="56">
        <f>SUM(F24:G24)</f>
        <v>0</v>
      </c>
      <c r="F24" s="3028"/>
      <c r="G24" s="3029"/>
      <c r="H24" s="678">
        <f>ROUND($D$3*I24/$E$3,2)</f>
        <v>0</v>
      </c>
      <c r="I24" s="51">
        <f t="shared" si="2"/>
        <v>0</v>
      </c>
      <c r="J24" s="1299"/>
      <c r="K24" s="1298">
        <f t="shared" si="3"/>
        <v>0</v>
      </c>
      <c r="L24" s="1155">
        <f t="shared" si="4"/>
        <v>0</v>
      </c>
      <c r="M24" s="1310">
        <f t="shared" si="8"/>
        <v>0</v>
      </c>
      <c r="N24" s="1854"/>
      <c r="O24" s="1855"/>
      <c r="P24" s="1310">
        <f t="shared" si="9"/>
        <v>0</v>
      </c>
      <c r="R24" s="1155">
        <f t="shared" si="5"/>
        <v>0</v>
      </c>
      <c r="S24" s="1156">
        <f t="shared" si="5"/>
        <v>0</v>
      </c>
    </row>
    <row r="25" spans="1:19">
      <c r="A25" s="1856"/>
      <c r="B25" s="50" t="s">
        <v>1839</v>
      </c>
      <c r="C25" s="58"/>
      <c r="D25" s="48">
        <f t="shared" si="6"/>
        <v>0</v>
      </c>
      <c r="E25" s="56">
        <f t="shared" si="1"/>
        <v>0</v>
      </c>
      <c r="F25" s="3028"/>
      <c r="G25" s="3029"/>
      <c r="H25" s="47">
        <f t="shared" si="7"/>
        <v>0</v>
      </c>
      <c r="I25" s="51">
        <f t="shared" si="2"/>
        <v>0</v>
      </c>
      <c r="J25" s="1299"/>
      <c r="K25" s="1298">
        <f t="shared" si="3"/>
        <v>0</v>
      </c>
      <c r="L25" s="1155">
        <f t="shared" si="4"/>
        <v>0</v>
      </c>
      <c r="M25" s="1310">
        <f t="shared" si="8"/>
        <v>0</v>
      </c>
      <c r="N25" s="1854"/>
      <c r="O25" s="1855"/>
      <c r="P25" s="1310">
        <f t="shared" si="9"/>
        <v>0</v>
      </c>
      <c r="R25" s="1155">
        <f t="shared" si="5"/>
        <v>0</v>
      </c>
      <c r="S25" s="1156">
        <f t="shared" si="5"/>
        <v>0</v>
      </c>
    </row>
    <row r="26" spans="1:19">
      <c r="A26" s="1856"/>
      <c r="B26" s="50" t="s">
        <v>1839</v>
      </c>
      <c r="C26" s="59"/>
      <c r="D26" s="48">
        <f t="shared" si="6"/>
        <v>0</v>
      </c>
      <c r="E26" s="56">
        <f t="shared" si="1"/>
        <v>0</v>
      </c>
      <c r="F26" s="3028"/>
      <c r="G26" s="3029"/>
      <c r="H26" s="47">
        <f t="shared" si="7"/>
        <v>0</v>
      </c>
      <c r="I26" s="51">
        <f t="shared" si="2"/>
        <v>0</v>
      </c>
      <c r="J26" s="1299"/>
      <c r="K26" s="1305">
        <f t="shared" si="3"/>
        <v>0</v>
      </c>
      <c r="L26" s="1306">
        <f t="shared" si="4"/>
        <v>0</v>
      </c>
      <c r="M26" s="63">
        <f t="shared" si="8"/>
        <v>0</v>
      </c>
      <c r="N26" s="1857"/>
      <c r="O26" s="1858"/>
      <c r="P26" s="63">
        <f t="shared" si="9"/>
        <v>0</v>
      </c>
      <c r="R26" s="1155">
        <f t="shared" si="5"/>
        <v>0</v>
      </c>
      <c r="S26" s="1156">
        <f t="shared" si="5"/>
        <v>0</v>
      </c>
    </row>
    <row r="27" spans="1:19" ht="15.75" thickBot="1">
      <c r="A27" s="1856"/>
      <c r="B27" s="48"/>
      <c r="C27" s="1859" t="s">
        <v>1840</v>
      </c>
      <c r="D27" s="1300">
        <f>SUM(D19:D26)</f>
        <v>24172.120000000003</v>
      </c>
      <c r="E27" s="1301">
        <f>IF(SUM(E19:E26)='数据-基础表'!BA5,SUM(E19:E26),IF(F27="地上面积有误","面积有误","地下面积有误"))</f>
        <v>27960.83</v>
      </c>
      <c r="F27" s="1300">
        <f>IF(SUM(F19:F26)=E8,SUM(F19:F26),"地上面积有误")</f>
        <v>21489.300000000003</v>
      </c>
      <c r="G27" s="1302">
        <f>SUM(G19:G26)</f>
        <v>6471.53</v>
      </c>
      <c r="H27" s="1303">
        <f>SUM(H19:H26)</f>
        <v>0</v>
      </c>
      <c r="I27" s="1304">
        <f>SUM(I19:I26)</f>
        <v>0</v>
      </c>
      <c r="J27" s="1299"/>
      <c r="K27" s="1307">
        <f>SUM(K19:K26)</f>
        <v>0</v>
      </c>
      <c r="L27" s="1308">
        <f>SUM(L19:L26)</f>
        <v>0</v>
      </c>
      <c r="M27" s="1311">
        <f>SUM(M19:M26)</f>
        <v>0</v>
      </c>
      <c r="N27" s="1307">
        <f t="shared" ref="N27:O27" si="10">SUM(N19:N26)</f>
        <v>0</v>
      </c>
      <c r="O27" s="1308">
        <f t="shared" si="10"/>
        <v>0</v>
      </c>
      <c r="P27" s="1309">
        <f>SUM(P19:P26)</f>
        <v>0</v>
      </c>
      <c r="R27" s="1157">
        <f>IF(SUM(R19:R26)=$D$3,SUM(R19:R26),SUM(R19:R26)&amp;"误差"&amp;ROUND(SUM(R19:R26)-$D$3,2))</f>
        <v>24172.120000000003</v>
      </c>
      <c r="S27" s="1155">
        <f>IF(SUM(S19:S26)=$E$3,SUM(S19:S26),SUM(S19:S26)&amp;"误差"&amp;ROUND(SUM(S19:S26)-E3,2))</f>
        <v>27960.83</v>
      </c>
    </row>
    <row r="28" spans="1:19">
      <c r="A28" s="1856"/>
      <c r="B28" s="50" t="s">
        <v>1841</v>
      </c>
      <c r="C28" s="1167" t="s">
        <v>1842</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6"/>
      <c r="B29" s="50" t="s">
        <v>1841</v>
      </c>
      <c r="C29" s="1860"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1840</v>
      </c>
      <c r="D30" s="1300">
        <f>SUM(D28:D29)</f>
        <v>0</v>
      </c>
      <c r="E30" s="1300">
        <f>SUM(E28:E29)</f>
        <v>0</v>
      </c>
      <c r="F30" s="1300">
        <f>SUM(F28:F29)</f>
        <v>0</v>
      </c>
      <c r="G30" s="1302">
        <f>SUM(G28:G29)</f>
        <v>0</v>
      </c>
      <c r="H30" s="2886"/>
      <c r="I30" s="2886"/>
      <c r="J30" s="2886"/>
      <c r="K30" s="2886"/>
      <c r="L30" s="2886"/>
      <c r="M30" s="2886"/>
      <c r="N30" s="2886"/>
      <c r="O30" s="2886"/>
      <c r="P30" s="2886"/>
    </row>
    <row r="31" spans="1:19" ht="15.75" thickBot="1">
      <c r="A31" s="1862"/>
      <c r="B31" s="1863"/>
      <c r="C31" s="943" t="s">
        <v>1844</v>
      </c>
      <c r="D31" s="684">
        <f>D27+D30</f>
        <v>24172.120000000003</v>
      </c>
      <c r="E31" s="684">
        <f>E27+E30</f>
        <v>27960.83</v>
      </c>
      <c r="F31" s="685">
        <f>F27+F30</f>
        <v>21489.300000000003</v>
      </c>
      <c r="G31" s="686">
        <f>G27+G30</f>
        <v>6471.53</v>
      </c>
      <c r="H31" s="2886"/>
      <c r="I31" s="2886"/>
      <c r="J31" s="2886"/>
      <c r="K31" s="2886"/>
      <c r="L31" s="2886"/>
      <c r="M31" s="2886"/>
      <c r="N31" s="2886"/>
      <c r="O31" s="2886"/>
      <c r="P31" s="2886"/>
    </row>
    <row r="32" spans="1:19">
      <c r="A32" s="1828"/>
      <c r="B32" s="1828" t="s">
        <v>1845</v>
      </c>
      <c r="C32" s="1828"/>
      <c r="D32" s="1828"/>
      <c r="E32" s="1182">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K21" sqref="K21"/>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7"/>
      <c r="C1" s="1351"/>
      <c r="D1" s="1866"/>
      <c r="E1" s="1351"/>
      <c r="F1" s="1351"/>
      <c r="G1" s="1351"/>
      <c r="H1" s="1351"/>
      <c r="I1" s="1351"/>
      <c r="J1" s="1351"/>
      <c r="K1" s="164"/>
      <c r="L1" s="164"/>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2900"/>
      <c r="AO1" s="2900"/>
      <c r="AP1" s="2900"/>
      <c r="AQ1" s="2900"/>
      <c r="AR1" s="2900"/>
    </row>
    <row r="2" spans="1:67" s="1744" customFormat="1" ht="15.75" thickBot="1">
      <c r="A2" s="1869" t="s">
        <v>1847</v>
      </c>
      <c r="B2" s="1174">
        <f>项目基本情况!D3</f>
        <v>44224</v>
      </c>
      <c r="C2" s="1870"/>
      <c r="D2" s="1871"/>
      <c r="E2" s="1870"/>
      <c r="F2" s="1870"/>
      <c r="G2" s="1870"/>
      <c r="H2" s="1870"/>
      <c r="I2" s="1870"/>
      <c r="J2" s="1870"/>
      <c r="K2" s="1328"/>
      <c r="L2" s="1328"/>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28"/>
      <c r="L3" s="1328"/>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5"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6" t="s">
        <v>1858</v>
      </c>
      <c r="F5" s="1885" t="s">
        <v>1859</v>
      </c>
      <c r="G5" s="1176" t="s">
        <v>1860</v>
      </c>
      <c r="H5" s="1176" t="s">
        <v>1861</v>
      </c>
      <c r="I5" s="1176" t="s">
        <v>1862</v>
      </c>
      <c r="J5" s="1886" t="s">
        <v>1863</v>
      </c>
      <c r="K5" s="1887" t="s">
        <v>1864</v>
      </c>
      <c r="L5" s="1888" t="s">
        <v>1865</v>
      </c>
      <c r="M5" s="1889" t="s">
        <v>1866</v>
      </c>
      <c r="N5" s="1890" t="s">
        <v>3084</v>
      </c>
      <c r="O5" s="1888" t="s">
        <v>1867</v>
      </c>
      <c r="P5" s="1891" t="s">
        <v>1868</v>
      </c>
      <c r="Q5" s="65" t="s">
        <v>1869</v>
      </c>
      <c r="R5" s="1892" t="s">
        <v>1870</v>
      </c>
      <c r="S5" s="1893" t="s">
        <v>1871</v>
      </c>
      <c r="T5" s="1894" t="s">
        <v>1872</v>
      </c>
      <c r="U5" s="1175" t="s">
        <v>1873</v>
      </c>
      <c r="V5" s="1176" t="s">
        <v>1874</v>
      </c>
      <c r="W5" s="1176" t="s">
        <v>1875</v>
      </c>
      <c r="X5" s="67"/>
      <c r="Y5" s="66" t="s">
        <v>1876</v>
      </c>
      <c r="Z5" s="1895" t="s">
        <v>1873</v>
      </c>
      <c r="AA5" s="1176" t="s">
        <v>1874</v>
      </c>
      <c r="AB5" s="1176" t="s">
        <v>1875</v>
      </c>
      <c r="AC5" s="67"/>
      <c r="AD5" s="67" t="s">
        <v>1876</v>
      </c>
      <c r="AE5" s="1175" t="s">
        <v>1877</v>
      </c>
      <c r="AF5" s="1176" t="s">
        <v>1878</v>
      </c>
      <c r="AG5" s="66" t="s">
        <v>1879</v>
      </c>
      <c r="AH5" s="1175" t="s">
        <v>1880</v>
      </c>
      <c r="AI5" s="1895" t="s">
        <v>1881</v>
      </c>
      <c r="AJ5" s="1895" t="s">
        <v>1882</v>
      </c>
      <c r="AK5" s="1176" t="s">
        <v>1883</v>
      </c>
      <c r="AL5" s="1176" t="s">
        <v>1884</v>
      </c>
      <c r="AM5" s="66" t="s">
        <v>1885</v>
      </c>
      <c r="AN5" s="1896" t="s">
        <v>1886</v>
      </c>
      <c r="AO5" s="1747" t="s">
        <v>1887</v>
      </c>
      <c r="AP5" s="1157"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商业</v>
      </c>
      <c r="B6" s="1899" t="str">
        <f>IF(A6=0,"","经营性")</f>
        <v>经营性</v>
      </c>
      <c r="C6" s="1900" t="s">
        <v>1343</v>
      </c>
      <c r="D6" s="966">
        <f>SUMIF(项目基本情况!D$12:I$12,C6,项目基本情况!D$14:I$14)</f>
        <v>40</v>
      </c>
      <c r="E6" s="965">
        <f>IF(B6="","",SUMIF(项目基本情况!D$12:I$12,C6,项目基本情况!D$13:I$13))</f>
        <v>56187</v>
      </c>
      <c r="F6" s="68">
        <f>SUMIF(项目基本情况!D$12:I$12,C6,项目基本情况!D$15:I$15)</f>
        <v>32.770000000000003</v>
      </c>
      <c r="G6" s="69">
        <f>IF(ISERROR(ROUND(POWER(1+H6,D6-F6)*(POWER(1+H6,F6)-1)/(POWER(1+H6,D6)-1),3)),0,ROUND(POWER(1+H6,D6-F6)*(POWER(1+H6,F6)-1)/(POWER(1+H6,D6)-1),3))</f>
        <v>0.92200000000000004</v>
      </c>
      <c r="H6" s="740">
        <v>4.4999999999999998E-2</v>
      </c>
      <c r="I6" s="740">
        <v>5.5E-2</v>
      </c>
      <c r="J6" s="70">
        <v>8.5000000000000006E-2</v>
      </c>
      <c r="K6" s="1159">
        <f>SUMIF('数据-汇总表'!C$19:C$33,A6,'数据-汇总表'!E$19:E$33)</f>
        <v>21489.300000000003</v>
      </c>
      <c r="L6" s="741">
        <v>4000</v>
      </c>
      <c r="M6" s="71">
        <f t="shared" ref="M6:M14" si="0">ROUND(K6*L6/10000,0)</f>
        <v>8596</v>
      </c>
      <c r="N6" s="739">
        <f>ROUND(1-((2021-收益法!J49)/60),2)</f>
        <v>0.82</v>
      </c>
      <c r="O6" s="71" t="str">
        <f>IF($N$5="成新度","——",ROUND(M6*N6,0))</f>
        <v>——</v>
      </c>
      <c r="P6" s="72" t="str">
        <f>IF($N$5="成新度","——",M6-O6)</f>
        <v>——</v>
      </c>
      <c r="Q6" s="742">
        <v>0.2</v>
      </c>
      <c r="R6" s="73">
        <f ca="1">SUMIF('数据-汇总表'!C$19:C$33,A6,'数据-汇总表'!R$19:R$27)</f>
        <v>18577.490000000002</v>
      </c>
      <c r="S6" s="54">
        <f>IF('数据-汇总表'!$I$17="按面积比例",SUMIF('数据-汇总表'!C$19:C$33,A6,'数据-汇总表'!K$19:K$33),SUMIF('数据-汇总表'!C$19:C$33,A6,'数据-汇总表'!N$19:N$33))</f>
        <v>0</v>
      </c>
      <c r="T6" s="1332">
        <f>ROUND($L$14*S6/10000,0)</f>
        <v>0</v>
      </c>
      <c r="U6" s="3046"/>
      <c r="V6" s="75"/>
      <c r="W6" s="75"/>
      <c r="X6" s="1169"/>
      <c r="Y6" s="76">
        <f>N6</f>
        <v>0.82</v>
      </c>
      <c r="Z6" s="77"/>
      <c r="AA6" s="70"/>
      <c r="AB6" s="70"/>
      <c r="AC6" s="1169"/>
      <c r="AD6" s="78"/>
      <c r="AE6" s="1170">
        <f ca="1">IF(AN6="",0,SUMIF(INDIRECT("'"&amp;AN6&amp;"'"&amp;"!E:E"),$AE$5,INDIRECT("'"&amp;AN6&amp;"'"&amp;"!F:F")))</f>
        <v>0</v>
      </c>
      <c r="AF6" s="1532"/>
      <c r="AG6" s="143">
        <f>IF(AF6="",0,AE6-AF6)</f>
        <v>0</v>
      </c>
      <c r="AH6" s="79"/>
      <c r="AI6" s="81"/>
      <c r="AJ6" s="82"/>
      <c r="AK6" s="83"/>
      <c r="AL6" s="84"/>
      <c r="AM6" s="85"/>
      <c r="AN6" s="1901" t="s">
        <v>3193</v>
      </c>
      <c r="AO6" s="55">
        <f ca="1">SUMIF(INDIRECT("'"&amp;AN6&amp;"'"&amp;"!A:A"),"总价",INDIRECT("'"&amp;AN6&amp;"'"&amp;"!B:B"))</f>
        <v>27603</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t="str">
        <f>'数据-汇总表'!C20</f>
        <v>地下车库</v>
      </c>
      <c r="B7" s="1899" t="str">
        <f t="shared" ref="B7:B13" si="1">IF(A7=0,"","经营性")</f>
        <v>经营性</v>
      </c>
      <c r="C7" s="1900" t="s">
        <v>3089</v>
      </c>
      <c r="D7" s="966">
        <f>SUMIF(项目基本情况!D$12:I$12,C7,项目基本情况!D$14:I$14)</f>
        <v>40</v>
      </c>
      <c r="E7" s="965">
        <f>IF(B7="","",SUMIF(项目基本情况!D$12:I$12,C7,项目基本情况!D$13:I$13))</f>
        <v>56187</v>
      </c>
      <c r="F7" s="68">
        <f>SUMIF(项目基本情况!D$12:I$12,C7,项目基本情况!D$15:I$15)</f>
        <v>32.770000000000003</v>
      </c>
      <c r="G7" s="69">
        <f t="shared" ref="G7:G11" si="2">IF(ISERROR(ROUND(POWER(1+H7,D7-F7)*(POWER(1+H7,F7)-1)/(POWER(1+H7,D7)-1),3)),0,ROUND(POWER(1+H7,D7-F7)*(POWER(1+H7,F7)-1)/(POWER(1+H7,D7)-1),3))</f>
        <v>0.91400000000000003</v>
      </c>
      <c r="H7" s="740">
        <v>0.04</v>
      </c>
      <c r="I7" s="740">
        <v>4.4999999999999998E-2</v>
      </c>
      <c r="J7" s="70">
        <v>8.5000000000000006E-2</v>
      </c>
      <c r="K7" s="1159">
        <f>SUMIF('数据-汇总表'!C$19:C$33,A7,'数据-汇总表'!E$19:E$33)</f>
        <v>6471.53</v>
      </c>
      <c r="L7" s="741">
        <v>2500</v>
      </c>
      <c r="M7" s="71">
        <f t="shared" si="0"/>
        <v>1618</v>
      </c>
      <c r="N7" s="739">
        <f>ROUND(1-((2021-收益法!J49)/60),2)</f>
        <v>0.82</v>
      </c>
      <c r="O7" s="71" t="str">
        <f t="shared" ref="O7:O14" si="3">IF($N$5="成新度","——",ROUND(M7*N7,0))</f>
        <v>——</v>
      </c>
      <c r="P7" s="72" t="str">
        <f t="shared" ref="P7:P14" si="4">IF($N$5="成新度","——",M7-O7)</f>
        <v>——</v>
      </c>
      <c r="Q7" s="742">
        <v>0.03</v>
      </c>
      <c r="R7" s="73">
        <f ca="1">SUMIF('数据-汇总表'!C$19:C$33,A7,'数据-汇总表'!R$19:R$27)</f>
        <v>5594.63</v>
      </c>
      <c r="S7" s="54">
        <f>IF('数据-汇总表'!$I$17="按面积比例",SUMIF('数据-汇总表'!C$19:C$33,A7,'数据-汇总表'!K$19:K$33),SUMIF('数据-汇总表'!C$19:C$33,A7,'数据-汇总表'!N$19:N$33))</f>
        <v>0</v>
      </c>
      <c r="T7" s="1332">
        <f t="shared" ref="T7:T13" si="5">ROUND($L$14*S7/10000,0)</f>
        <v>0</v>
      </c>
      <c r="U7" s="74">
        <v>0.5</v>
      </c>
      <c r="V7" s="75">
        <v>0.03</v>
      </c>
      <c r="W7" s="75">
        <v>0.15</v>
      </c>
      <c r="X7" s="1169"/>
      <c r="Y7" s="76">
        <f>Y6</f>
        <v>0.82</v>
      </c>
      <c r="Z7" s="77"/>
      <c r="AA7" s="70"/>
      <c r="AB7" s="70"/>
      <c r="AC7" s="1169"/>
      <c r="AD7" s="78"/>
      <c r="AE7" s="1170">
        <f t="shared" ref="AE7:AE13" ca="1" si="6">IF(AN7="",0,SUMIF(INDIRECT("'"&amp;AN7&amp;"'"&amp;"!E:E"),$AE$5,INDIRECT("'"&amp;AN7&amp;"'"&amp;"!F:F")))</f>
        <v>32.770000000000003</v>
      </c>
      <c r="AF7" s="1532"/>
      <c r="AG7" s="143">
        <f t="shared" ref="AG7:AG13" si="7">IF(AF7="",0,AE7-AF7)</f>
        <v>0</v>
      </c>
      <c r="AH7" s="79"/>
      <c r="AI7" s="81">
        <v>365</v>
      </c>
      <c r="AJ7" s="82"/>
      <c r="AK7" s="83">
        <v>1.4999999999999999E-2</v>
      </c>
      <c r="AL7" s="84">
        <v>1.5E-3</v>
      </c>
      <c r="AM7" s="85">
        <v>0.01</v>
      </c>
      <c r="AN7" s="1901" t="s">
        <v>3056</v>
      </c>
      <c r="AO7" s="55">
        <f t="shared" ref="AO7:AO13" ca="1" si="8">SUMIF(INDIRECT("'"&amp;AN7&amp;"'"&amp;"!A:A"),"总价",INDIRECT("'"&amp;AN7&amp;"'"&amp;"!B:B"))</f>
        <v>1059</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59">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2">
        <f t="shared" si="5"/>
        <v>0</v>
      </c>
      <c r="U8" s="743"/>
      <c r="V8" s="744"/>
      <c r="W8" s="744"/>
      <c r="X8" s="1169"/>
      <c r="Y8" s="745"/>
      <c r="Z8" s="77"/>
      <c r="AA8" s="70"/>
      <c r="AB8" s="70"/>
      <c r="AC8" s="1169"/>
      <c r="AD8" s="78"/>
      <c r="AE8" s="1170">
        <f t="shared" ca="1" si="6"/>
        <v>0</v>
      </c>
      <c r="AF8" s="1532"/>
      <c r="AG8" s="143">
        <f t="shared" si="7"/>
        <v>0</v>
      </c>
      <c r="AH8" s="746"/>
      <c r="AI8" s="81"/>
      <c r="AJ8" s="82"/>
      <c r="AK8" s="747"/>
      <c r="AL8" s="748"/>
      <c r="AM8" s="749"/>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59">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2">
        <f t="shared" si="5"/>
        <v>0</v>
      </c>
      <c r="U9" s="74"/>
      <c r="V9" s="75"/>
      <c r="W9" s="75"/>
      <c r="X9" s="1169"/>
      <c r="Y9" s="76"/>
      <c r="Z9" s="77"/>
      <c r="AA9" s="70"/>
      <c r="AB9" s="70"/>
      <c r="AC9" s="1169"/>
      <c r="AD9" s="78"/>
      <c r="AE9" s="1170">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2">
        <f t="shared" si="5"/>
        <v>0</v>
      </c>
      <c r="U10" s="74"/>
      <c r="V10" s="75"/>
      <c r="W10" s="75"/>
      <c r="X10" s="1169"/>
      <c r="Y10" s="76"/>
      <c r="Z10" s="77"/>
      <c r="AA10" s="70"/>
      <c r="AB10" s="70"/>
      <c r="AC10" s="1169"/>
      <c r="AD10" s="78"/>
      <c r="AE10" s="1170">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2">
        <f t="shared" si="5"/>
        <v>0</v>
      </c>
      <c r="U11" s="79"/>
      <c r="V11" s="70"/>
      <c r="W11" s="70"/>
      <c r="X11" s="1169"/>
      <c r="Y11" s="76"/>
      <c r="Z11" s="89"/>
      <c r="AA11" s="70"/>
      <c r="AB11" s="70"/>
      <c r="AC11" s="1169"/>
      <c r="AD11" s="78"/>
      <c r="AE11" s="1170">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2">
        <f t="shared" si="5"/>
        <v>0</v>
      </c>
      <c r="U12" s="79"/>
      <c r="V12" s="70"/>
      <c r="W12" s="70"/>
      <c r="X12" s="1169"/>
      <c r="Y12" s="76"/>
      <c r="Z12" s="89"/>
      <c r="AA12" s="70"/>
      <c r="AB12" s="70"/>
      <c r="AC12" s="1169"/>
      <c r="AD12" s="78"/>
      <c r="AE12" s="1170">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2">
        <f t="shared" si="5"/>
        <v>0</v>
      </c>
      <c r="U13" s="74"/>
      <c r="V13" s="75"/>
      <c r="W13" s="75"/>
      <c r="X13" s="1169"/>
      <c r="Y13" s="76"/>
      <c r="Z13" s="77"/>
      <c r="AA13" s="70"/>
      <c r="AB13" s="70"/>
      <c r="AC13" s="1169"/>
      <c r="AD13" s="78"/>
      <c r="AE13" s="1170">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6"/>
      <c r="E14" s="965"/>
      <c r="F14" s="68"/>
      <c r="G14" s="69"/>
      <c r="H14" s="1158"/>
      <c r="I14" s="1158"/>
      <c r="J14" s="1158"/>
      <c r="K14" s="1159">
        <f>SUMIF('数据-汇总表'!C$19:C$33,A14,'数据-汇总表'!E$19:E$33)</f>
        <v>0</v>
      </c>
      <c r="L14" s="87"/>
      <c r="M14" s="71">
        <f t="shared" si="0"/>
        <v>0</v>
      </c>
      <c r="N14" s="88"/>
      <c r="O14" s="71" t="str">
        <f t="shared" si="3"/>
        <v>——</v>
      </c>
      <c r="P14" s="72" t="str">
        <f t="shared" si="4"/>
        <v>——</v>
      </c>
      <c r="Q14" s="1162"/>
      <c r="R14" s="73"/>
      <c r="S14" s="54"/>
      <c r="T14" s="1332"/>
      <c r="U14" s="678"/>
      <c r="V14" s="1164"/>
      <c r="W14" s="1164"/>
      <c r="X14" s="1165"/>
      <c r="Y14" s="1166"/>
      <c r="Z14" s="1167"/>
      <c r="AA14" s="1168"/>
      <c r="AB14" s="1168"/>
      <c r="AC14" s="1169"/>
      <c r="AD14" s="1165"/>
      <c r="AE14" s="1170"/>
      <c r="AF14" s="55"/>
      <c r="AG14" s="143"/>
      <c r="AH14" s="1170"/>
      <c r="AI14" s="1541"/>
      <c r="AJ14" s="712"/>
      <c r="AK14" s="1171"/>
      <c r="AL14" s="1172"/>
      <c r="AM14" s="1173"/>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6"/>
      <c r="E15" s="965"/>
      <c r="F15" s="68"/>
      <c r="G15" s="69"/>
      <c r="H15" s="1158"/>
      <c r="I15" s="1158"/>
      <c r="J15" s="1158"/>
      <c r="K15" s="1159">
        <f>SUMIF('数据-汇总表'!C$19:C$33,A15,'数据-汇总表'!E$19:E$33)</f>
        <v>0</v>
      </c>
      <c r="L15" s="1160"/>
      <c r="M15" s="71"/>
      <c r="N15" s="1161"/>
      <c r="O15" s="71"/>
      <c r="P15" s="72"/>
      <c r="Q15" s="1162"/>
      <c r="R15" s="73"/>
      <c r="S15" s="54"/>
      <c r="T15" s="1332"/>
      <c r="U15" s="678"/>
      <c r="V15" s="1164"/>
      <c r="W15" s="1164"/>
      <c r="X15" s="1165"/>
      <c r="Y15" s="1166"/>
      <c r="Z15" s="1167"/>
      <c r="AA15" s="1168"/>
      <c r="AB15" s="1168"/>
      <c r="AC15" s="1169"/>
      <c r="AD15" s="1165"/>
      <c r="AE15" s="1170"/>
      <c r="AF15" s="55"/>
      <c r="AG15" s="143"/>
      <c r="AH15" s="1170"/>
      <c r="AI15" s="1541"/>
      <c r="AJ15" s="712"/>
      <c r="AK15" s="1171"/>
      <c r="AL15" s="1172"/>
      <c r="AM15" s="1173"/>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1"/>
      <c r="D16" s="1906"/>
      <c r="E16" s="93"/>
      <c r="F16" s="93"/>
      <c r="G16" s="94">
        <f>ROUND(SUMPRODUCT(G6:G13,K6:K13)/SUMPRODUCT((G6:G13&gt;0)*(K6:K13)),3)</f>
        <v>0.92</v>
      </c>
      <c r="H16" s="95">
        <f>ROUND(SUMPRODUCT(H6:H13,K6:K13)/SUMPRODUCT((H6:H13&gt;0)*(K6:K13)),3)</f>
        <v>4.3999999999999997E-2</v>
      </c>
      <c r="I16" s="96"/>
      <c r="J16" s="96"/>
      <c r="K16" s="97">
        <f>SUM(K6:K15)</f>
        <v>27960.83</v>
      </c>
      <c r="L16" s="98">
        <f>ROUND(M16*10000/SUM(K6:K14),0)</f>
        <v>3653</v>
      </c>
      <c r="M16" s="98">
        <f>SUM(M6:M14)</f>
        <v>10214</v>
      </c>
      <c r="N16" s="99">
        <f>ROUND(SUMPRODUCT(M6:M14,N6:N14)/M16,3)</f>
        <v>0.82</v>
      </c>
      <c r="O16" s="98">
        <f>SUM(O6:O14)</f>
        <v>0</v>
      </c>
      <c r="P16" s="98">
        <f>SUM(P6:P14)</f>
        <v>0</v>
      </c>
      <c r="Q16" s="100">
        <f>ROUND(SUMPRODUCT(Q6:Q13,K6:K13)/SUMPRODUCT((Q6:Q13&gt;0)*(K6:K13)),2)</f>
        <v>0.16</v>
      </c>
      <c r="R16" s="1163">
        <f ca="1">SUM(R6:R13)</f>
        <v>24172.120000000003</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3042</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1.5</v>
      </c>
      <c r="C20" s="3031" t="s">
        <v>3040</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v>1.5</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1.5</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1.5</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v>180</v>
      </c>
      <c r="C27" s="3032" t="s">
        <v>3044</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4" customFormat="1" ht="27.75">
      <c r="A28" s="1915" t="s">
        <v>1907</v>
      </c>
      <c r="B28" s="115">
        <v>180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4" customFormat="1" ht="28.5" thickBot="1">
      <c r="A29" s="1916" t="s">
        <v>1908</v>
      </c>
      <c r="B29" s="117">
        <f>ROUND(B28*'数据-汇总表'!E3/10000,0)</f>
        <v>503</v>
      </c>
      <c r="C29" s="3033" t="s">
        <v>3030</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4" customFormat="1" ht="27">
      <c r="A30" s="1917" t="s">
        <v>1909</v>
      </c>
      <c r="B30" s="679">
        <v>200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4" customFormat="1" ht="27">
      <c r="A31" s="1915" t="s">
        <v>1910</v>
      </c>
      <c r="B31" s="116">
        <f>B30-B32</f>
        <v>200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4" customFormat="1" ht="27.75" thickBot="1">
      <c r="A32" s="1918" t="s">
        <v>1911</v>
      </c>
      <c r="B32" s="680">
        <v>0</v>
      </c>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4" customFormat="1" ht="14.25">
      <c r="A33" s="1913" t="s">
        <v>1912</v>
      </c>
      <c r="B33" s="681">
        <v>0.05</v>
      </c>
      <c r="C33" s="3034" t="s">
        <v>3031</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4" customFormat="1" ht="14.25">
      <c r="A34" s="1915" t="s">
        <v>1913</v>
      </c>
      <c r="B34" s="118">
        <v>0</v>
      </c>
      <c r="C34" s="3034" t="s">
        <v>3032</v>
      </c>
      <c r="D34" s="2913" t="s">
        <v>3041</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4" customFormat="1" ht="14.25">
      <c r="A35" s="1915" t="s">
        <v>1914</v>
      </c>
      <c r="B35" s="115">
        <v>200</v>
      </c>
      <c r="C35" s="3034" t="s">
        <v>3033</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6" t="s">
        <v>1915</v>
      </c>
      <c r="B36" s="119">
        <v>1.4999999999999999E-2</v>
      </c>
      <c r="C36" s="3034" t="s">
        <v>3034</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0.03</v>
      </c>
      <c r="C37" s="3034" t="s">
        <v>3035</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0.03</v>
      </c>
      <c r="C38" s="3034" t="s">
        <v>3035</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15" thickBot="1">
      <c r="A40" s="1918" t="s">
        <v>1919</v>
      </c>
      <c r="B40" s="1208">
        <f ca="1">存贷款利率!G1</f>
        <v>4.7500000000000001E-2</v>
      </c>
      <c r="C40" s="3034" t="s">
        <v>3036</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1920</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1921</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1922</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1923</v>
      </c>
      <c r="B44" s="124">
        <v>7.0000000000000007E-2</v>
      </c>
      <c r="C44" s="3034" t="s">
        <v>3045</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1924</v>
      </c>
      <c r="B45" s="122">
        <v>0.03</v>
      </c>
      <c r="C45" s="3033" t="s">
        <v>3037</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1925</v>
      </c>
      <c r="B46" s="122">
        <v>0.02</v>
      </c>
      <c r="C46" s="3033" t="s">
        <v>3038</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1926</v>
      </c>
      <c r="B47" s="125"/>
      <c r="C47" s="3036" t="s">
        <v>3046</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1927</v>
      </c>
      <c r="B48" s="126">
        <v>0.03</v>
      </c>
      <c r="C48" s="3033" t="s">
        <v>3037</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1928</v>
      </c>
      <c r="B49" s="122">
        <v>5.0000000000000001E-4</v>
      </c>
      <c r="C49" s="3033" t="s">
        <v>3039</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1929</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1930</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1931</v>
      </c>
      <c r="B52" s="129">
        <f>SUMIF(A54:A63,B53,B54:B63)</f>
        <v>11</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1932</v>
      </c>
      <c r="B53" s="1924" t="s">
        <v>442</v>
      </c>
      <c r="C53" s="2888" t="s">
        <v>1933</v>
      </c>
      <c r="D53" s="3035" t="s">
        <v>3043</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1934</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1935</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1936</v>
      </c>
      <c r="B56" s="80">
        <v>11</v>
      </c>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1937</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1938</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1939</v>
      </c>
      <c r="B59" s="80"/>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1940</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1941</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1942</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1943</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0"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0"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0"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0"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0"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0" customFormat="1">
      <c r="A69" s="1927"/>
      <c r="D69" s="1928"/>
      <c r="K69" s="736"/>
      <c r="L69" s="736"/>
    </row>
    <row r="70" spans="1:44" s="900" customFormat="1">
      <c r="A70" s="1927"/>
      <c r="D70" s="1928"/>
      <c r="K70" s="736"/>
      <c r="L70" s="736"/>
    </row>
    <row r="71" spans="1:44" s="900" customFormat="1">
      <c r="A71" s="1927"/>
      <c r="D71" s="1928"/>
      <c r="K71" s="736"/>
      <c r="L71" s="736"/>
    </row>
    <row r="72" spans="1:44" s="900" customFormat="1">
      <c r="A72" s="1927"/>
      <c r="D72" s="1928"/>
      <c r="K72" s="736"/>
      <c r="L72" s="736"/>
    </row>
    <row r="73" spans="1:44" s="900" customFormat="1">
      <c r="A73" s="1927"/>
      <c r="D73" s="1928"/>
      <c r="K73" s="736"/>
      <c r="L73" s="736"/>
    </row>
    <row r="74" spans="1:44" s="900" customFormat="1">
      <c r="A74" s="1927"/>
      <c r="D74" s="1928"/>
      <c r="K74" s="736"/>
      <c r="L74" s="736"/>
    </row>
    <row r="75" spans="1:44" s="900" customFormat="1">
      <c r="A75" s="1927"/>
      <c r="D75" s="1928"/>
      <c r="K75" s="736"/>
      <c r="L75" s="736"/>
    </row>
    <row r="76" spans="1:44" s="900" customFormat="1">
      <c r="A76" s="1927"/>
      <c r="D76" s="1928"/>
      <c r="K76" s="736"/>
      <c r="L76" s="736"/>
    </row>
    <row r="77" spans="1:44" s="900" customFormat="1">
      <c r="A77" s="1927"/>
      <c r="D77" s="1928"/>
      <c r="K77" s="736"/>
      <c r="L77" s="736"/>
    </row>
    <row r="78" spans="1:44" s="900" customFormat="1">
      <c r="A78" s="1927"/>
      <c r="D78" s="1928"/>
      <c r="K78" s="736"/>
      <c r="L78" s="736"/>
    </row>
    <row r="79" spans="1:44" s="900" customFormat="1">
      <c r="A79" s="1927"/>
      <c r="D79" s="1928"/>
      <c r="K79" s="736"/>
      <c r="L79" s="736"/>
    </row>
    <row r="80" spans="1:44" s="900" customFormat="1">
      <c r="A80" s="1927"/>
      <c r="D80" s="1928"/>
      <c r="K80" s="736"/>
      <c r="L80" s="736"/>
    </row>
    <row r="81" spans="1:12" s="900" customFormat="1">
      <c r="A81" s="1927"/>
      <c r="D81" s="1928"/>
      <c r="K81" s="736"/>
      <c r="L81" s="736"/>
    </row>
    <row r="82" spans="1:12" s="900" customFormat="1">
      <c r="A82" s="1927"/>
      <c r="D82" s="1928"/>
      <c r="K82" s="736"/>
      <c r="L82" s="736"/>
    </row>
    <row r="83" spans="1:12" s="900" customFormat="1">
      <c r="A83" s="1927"/>
      <c r="D83" s="1928"/>
      <c r="K83" s="736"/>
      <c r="L83" s="736"/>
    </row>
    <row r="84" spans="1:12" s="900" customFormat="1">
      <c r="A84" s="1927"/>
      <c r="D84" s="1928"/>
      <c r="K84" s="736"/>
      <c r="L84" s="736"/>
    </row>
    <row r="85" spans="1:12" s="900" customFormat="1">
      <c r="A85" s="1927"/>
      <c r="D85" s="1928"/>
      <c r="K85" s="736"/>
      <c r="L85" s="736"/>
    </row>
    <row r="86" spans="1:12" s="900" customFormat="1">
      <c r="A86" s="1927"/>
      <c r="D86" s="1928"/>
      <c r="K86" s="736"/>
      <c r="L86" s="736"/>
    </row>
    <row r="87" spans="1:12" s="900" customFormat="1">
      <c r="A87" s="1927"/>
      <c r="D87" s="1928"/>
      <c r="K87" s="736"/>
      <c r="L87" s="736"/>
    </row>
    <row r="88" spans="1:12" s="900" customFormat="1">
      <c r="A88" s="1927"/>
      <c r="D88" s="1928"/>
      <c r="K88" s="736"/>
      <c r="L88" s="736"/>
    </row>
    <row r="89" spans="1:12" s="900" customFormat="1">
      <c r="A89" s="1927"/>
      <c r="D89" s="1928"/>
      <c r="K89" s="736"/>
      <c r="L89" s="736"/>
    </row>
    <row r="90" spans="1:12" s="900" customFormat="1">
      <c r="A90" s="1927"/>
      <c r="D90" s="1928"/>
      <c r="K90" s="736"/>
      <c r="L90" s="736"/>
    </row>
    <row r="91" spans="1:12" s="900" customFormat="1">
      <c r="A91" s="1927"/>
      <c r="D91" s="1928"/>
      <c r="K91" s="736"/>
      <c r="L91" s="736"/>
    </row>
    <row r="92" spans="1:12" s="900" customFormat="1">
      <c r="A92" s="1927"/>
      <c r="D92" s="1928"/>
      <c r="K92" s="736"/>
      <c r="L92" s="736"/>
    </row>
    <row r="93" spans="1:12" s="900" customFormat="1">
      <c r="A93" s="1927"/>
      <c r="D93" s="1928"/>
      <c r="K93" s="736"/>
      <c r="L93" s="736"/>
    </row>
    <row r="94" spans="1:12" s="900" customFormat="1">
      <c r="A94" s="1927"/>
      <c r="D94" s="1928"/>
      <c r="K94" s="736"/>
      <c r="L94" s="736"/>
    </row>
    <row r="95" spans="1:12" s="900" customFormat="1">
      <c r="A95" s="1927"/>
      <c r="D95" s="1928"/>
      <c r="K95" s="736"/>
      <c r="L95" s="736"/>
    </row>
    <row r="96" spans="1:12" s="900" customFormat="1">
      <c r="A96" s="1927"/>
      <c r="D96" s="1928"/>
      <c r="K96" s="736"/>
      <c r="L96" s="736"/>
    </row>
    <row r="97" spans="1:12" s="900" customFormat="1">
      <c r="A97" s="1927"/>
      <c r="D97" s="1928"/>
      <c r="K97" s="736"/>
      <c r="L97" s="736"/>
    </row>
    <row r="98" spans="1:12" s="900" customFormat="1">
      <c r="A98" s="1927"/>
      <c r="D98" s="1928"/>
      <c r="K98" s="736"/>
      <c r="L98" s="736"/>
    </row>
    <row r="99" spans="1:12" s="900" customFormat="1">
      <c r="A99" s="1927"/>
      <c r="D99" s="1928"/>
      <c r="K99" s="736"/>
      <c r="L99" s="736"/>
    </row>
    <row r="100" spans="1:12" s="900" customFormat="1">
      <c r="A100" s="1927"/>
      <c r="D100" s="1928"/>
      <c r="K100" s="736"/>
      <c r="L100" s="736"/>
    </row>
    <row r="101" spans="1:12" s="900" customFormat="1">
      <c r="A101" s="1927"/>
      <c r="D101" s="1928"/>
      <c r="K101" s="736"/>
      <c r="L101" s="736"/>
    </row>
    <row r="102" spans="1:12" s="900" customFormat="1">
      <c r="A102" s="1927"/>
      <c r="D102" s="1928"/>
      <c r="K102" s="736"/>
      <c r="L102" s="736"/>
    </row>
    <row r="103" spans="1:12" s="900" customFormat="1">
      <c r="A103" s="1927"/>
      <c r="D103" s="1928"/>
      <c r="K103" s="736"/>
      <c r="L103" s="736"/>
    </row>
    <row r="104" spans="1:12" s="900" customFormat="1">
      <c r="A104" s="1927"/>
      <c r="D104" s="1928"/>
      <c r="K104" s="736"/>
      <c r="L104" s="736"/>
    </row>
    <row r="105" spans="1:12" s="900" customFormat="1">
      <c r="A105" s="1927"/>
      <c r="D105" s="1928"/>
      <c r="K105" s="736"/>
      <c r="L105" s="736"/>
    </row>
    <row r="106" spans="1:12" s="900" customFormat="1">
      <c r="A106" s="1927"/>
      <c r="D106" s="1928"/>
      <c r="K106" s="736"/>
      <c r="L106" s="736"/>
    </row>
    <row r="107" spans="1:12" s="900" customFormat="1">
      <c r="A107" s="1927"/>
      <c r="D107" s="1928"/>
      <c r="K107" s="736"/>
      <c r="L107" s="736"/>
    </row>
    <row r="108" spans="1:12" s="900" customFormat="1">
      <c r="A108" s="1927"/>
      <c r="D108" s="1928"/>
      <c r="K108" s="736"/>
      <c r="L108" s="736"/>
    </row>
    <row r="109" spans="1:12" s="900" customFormat="1">
      <c r="A109" s="1927"/>
      <c r="D109" s="1928"/>
      <c r="K109" s="736"/>
      <c r="L109" s="736"/>
    </row>
    <row r="110" spans="1:12" s="900" customFormat="1">
      <c r="A110" s="1927"/>
      <c r="D110" s="1928"/>
      <c r="K110" s="736"/>
      <c r="L110" s="736"/>
    </row>
    <row r="111" spans="1:12" s="900" customFormat="1">
      <c r="A111" s="1927"/>
      <c r="D111" s="1928"/>
      <c r="K111" s="736"/>
      <c r="L111" s="736"/>
    </row>
    <row r="112" spans="1:12" s="900" customFormat="1">
      <c r="A112" s="1927"/>
      <c r="D112" s="1928"/>
      <c r="K112" s="736"/>
      <c r="L112" s="736"/>
    </row>
    <row r="113" spans="1:12" s="900" customFormat="1">
      <c r="A113" s="1927"/>
      <c r="D113" s="1928"/>
      <c r="K113" s="736"/>
      <c r="L113" s="736"/>
    </row>
    <row r="114" spans="1:12" s="900" customFormat="1">
      <c r="A114" s="1927"/>
      <c r="D114" s="1928"/>
      <c r="K114" s="736"/>
      <c r="L114" s="736"/>
    </row>
    <row r="115" spans="1:12" s="900" customFormat="1">
      <c r="A115" s="1927"/>
      <c r="D115" s="1928"/>
      <c r="K115" s="736"/>
      <c r="L115" s="736"/>
    </row>
    <row r="116" spans="1:12" s="900" customFormat="1">
      <c r="A116" s="1927"/>
      <c r="D116" s="1928"/>
      <c r="K116" s="736"/>
      <c r="L116" s="736"/>
    </row>
    <row r="117" spans="1:12" s="900" customFormat="1">
      <c r="A117" s="1927"/>
      <c r="D117" s="1928"/>
      <c r="K117" s="736"/>
      <c r="L117" s="736"/>
    </row>
    <row r="118" spans="1:12" s="900" customFormat="1">
      <c r="A118" s="1927"/>
      <c r="D118" s="1928"/>
      <c r="K118" s="736"/>
      <c r="L118" s="736"/>
    </row>
    <row r="119" spans="1:12" s="900" customFormat="1">
      <c r="A119" s="1927"/>
      <c r="D119" s="1928"/>
      <c r="K119" s="736"/>
      <c r="L119" s="736"/>
    </row>
    <row r="120" spans="1:12" s="900" customFormat="1">
      <c r="A120" s="1927"/>
      <c r="D120" s="1928"/>
      <c r="K120" s="736"/>
      <c r="L120" s="736"/>
    </row>
    <row r="121" spans="1:12" s="900" customFormat="1">
      <c r="A121" s="1927"/>
      <c r="D121" s="1928"/>
      <c r="K121" s="736"/>
      <c r="L121" s="736"/>
    </row>
    <row r="122" spans="1:12" s="900" customFormat="1">
      <c r="A122" s="1927"/>
      <c r="D122" s="1928"/>
      <c r="K122" s="736"/>
      <c r="L122" s="736"/>
    </row>
    <row r="123" spans="1:12" s="900" customFormat="1">
      <c r="A123" s="1927"/>
      <c r="D123" s="1928"/>
      <c r="K123" s="736"/>
      <c r="L123" s="736"/>
    </row>
    <row r="124" spans="1:12" s="900" customFormat="1">
      <c r="A124" s="1927"/>
      <c r="D124" s="1928"/>
      <c r="K124" s="736"/>
      <c r="L124" s="736"/>
    </row>
    <row r="125" spans="1:12" s="900" customFormat="1">
      <c r="A125" s="1927"/>
      <c r="D125" s="1928"/>
      <c r="K125" s="736"/>
      <c r="L125" s="736"/>
    </row>
    <row r="126" spans="1:12" s="900" customFormat="1">
      <c r="A126" s="1927"/>
      <c r="D126" s="1928"/>
      <c r="K126" s="736"/>
      <c r="L126" s="736"/>
    </row>
    <row r="127" spans="1:12" s="900" customFormat="1">
      <c r="A127" s="1927"/>
      <c r="D127" s="1928"/>
      <c r="K127" s="736"/>
      <c r="L127" s="736"/>
    </row>
    <row r="128" spans="1:12" s="900" customFormat="1">
      <c r="A128" s="1927"/>
      <c r="D128" s="1928"/>
      <c r="K128" s="736"/>
      <c r="L128" s="736"/>
    </row>
    <row r="129" spans="1:12" s="900" customFormat="1">
      <c r="A129" s="1927"/>
      <c r="D129" s="1928"/>
      <c r="K129" s="736"/>
      <c r="L129" s="736"/>
    </row>
    <row r="130" spans="1:12" s="900" customFormat="1">
      <c r="A130" s="1927"/>
      <c r="D130" s="1928"/>
      <c r="K130" s="736"/>
      <c r="L130" s="736"/>
    </row>
    <row r="131" spans="1:12" s="900" customFormat="1">
      <c r="A131" s="1927"/>
      <c r="D131" s="1928"/>
      <c r="K131" s="736"/>
      <c r="L131" s="736"/>
    </row>
    <row r="132" spans="1:12" s="900" customFormat="1">
      <c r="A132" s="1927"/>
      <c r="D132" s="1928"/>
      <c r="K132" s="736"/>
      <c r="L132" s="736"/>
    </row>
    <row r="133" spans="1:12" s="900" customFormat="1">
      <c r="A133" s="1927"/>
      <c r="D133" s="1928"/>
      <c r="K133" s="736"/>
      <c r="L133" s="736"/>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6"/>
    <col min="30" max="16384" width="9" style="1872"/>
  </cols>
  <sheetData>
    <row r="1" spans="1:29" s="2683" customFormat="1" ht="18.75" thickBot="1">
      <c r="A1" s="3157" t="s">
        <v>3022</v>
      </c>
      <c r="B1" s="3158"/>
      <c r="C1" s="3158"/>
      <c r="D1" s="3158"/>
      <c r="E1" s="3158"/>
      <c r="F1" s="3158"/>
      <c r="G1" s="3158"/>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3019</v>
      </c>
      <c r="D2" s="2687"/>
      <c r="E2" s="2684"/>
      <c r="F2" s="2688"/>
      <c r="G2" s="2686" t="s">
        <v>3020</v>
      </c>
      <c r="H2" s="906"/>
      <c r="I2" s="906"/>
      <c r="J2" s="906"/>
      <c r="K2" s="906"/>
      <c r="L2" s="906"/>
      <c r="M2" s="906"/>
      <c r="N2" s="906"/>
      <c r="O2" s="906"/>
      <c r="P2" s="906"/>
      <c r="Q2" s="906"/>
      <c r="R2" s="906"/>
    </row>
    <row r="3" spans="1:29" ht="24">
      <c r="A3" s="2667" t="s">
        <v>3021</v>
      </c>
      <c r="B3" s="2689" t="s">
        <v>2997</v>
      </c>
      <c r="C3" s="2690"/>
      <c r="D3" s="2691"/>
      <c r="E3" s="2668" t="s">
        <v>3021</v>
      </c>
      <c r="F3" s="2692" t="s">
        <v>2998</v>
      </c>
      <c r="G3" s="2693"/>
      <c r="H3" s="906"/>
      <c r="I3" s="906"/>
      <c r="J3" s="906"/>
      <c r="K3" s="906"/>
      <c r="L3" s="906"/>
      <c r="M3" s="906"/>
      <c r="N3" s="906"/>
      <c r="O3" s="906"/>
      <c r="P3" s="906"/>
      <c r="Q3" s="906"/>
      <c r="R3" s="906"/>
    </row>
    <row r="4" spans="1:29">
      <c r="A4" s="2668"/>
      <c r="B4" s="329" t="s">
        <v>2999</v>
      </c>
      <c r="C4" s="2694"/>
      <c r="D4" s="2691"/>
      <c r="E4" s="2695"/>
      <c r="F4" s="1557" t="s">
        <v>3000</v>
      </c>
      <c r="G4" s="2696"/>
      <c r="H4" s="906"/>
      <c r="I4" s="906"/>
      <c r="J4" s="906"/>
      <c r="K4" s="906"/>
      <c r="L4" s="906"/>
      <c r="M4" s="906"/>
      <c r="N4" s="906"/>
      <c r="O4" s="906"/>
      <c r="P4" s="906"/>
      <c r="Q4" s="906"/>
      <c r="R4" s="906"/>
    </row>
    <row r="5" spans="1:29">
      <c r="A5" s="2668"/>
      <c r="B5" s="329" t="s">
        <v>3001</v>
      </c>
      <c r="C5" s="2694"/>
      <c r="D5" s="2691"/>
      <c r="E5" s="2695"/>
      <c r="F5" s="329" t="s">
        <v>3002</v>
      </c>
      <c r="G5" s="2696"/>
      <c r="H5" s="906"/>
      <c r="I5" s="906"/>
      <c r="J5" s="906"/>
      <c r="K5" s="906"/>
      <c r="L5" s="906"/>
      <c r="M5" s="906"/>
      <c r="N5" s="906"/>
      <c r="O5" s="906"/>
      <c r="P5" s="906"/>
      <c r="Q5" s="906"/>
      <c r="R5" s="906"/>
    </row>
    <row r="6" spans="1:29">
      <c r="A6" s="2668"/>
      <c r="B6" s="329" t="s">
        <v>3003</v>
      </c>
      <c r="C6" s="2696"/>
      <c r="D6" s="2691"/>
      <c r="E6" s="2695"/>
      <c r="F6" s="329" t="s">
        <v>3004</v>
      </c>
      <c r="G6" s="2696"/>
      <c r="H6" s="906"/>
      <c r="I6" s="906"/>
      <c r="J6" s="906"/>
      <c r="K6" s="906"/>
      <c r="L6" s="906"/>
      <c r="M6" s="906"/>
      <c r="N6" s="906"/>
      <c r="O6" s="906"/>
      <c r="P6" s="906"/>
      <c r="Q6" s="906"/>
      <c r="R6" s="906"/>
    </row>
    <row r="7" spans="1:29" ht="15" thickBot="1">
      <c r="A7" s="2668"/>
      <c r="B7" s="329" t="s">
        <v>3002</v>
      </c>
      <c r="C7" s="2696"/>
      <c r="D7" s="2697"/>
      <c r="E7" s="2698"/>
      <c r="F7" s="2699" t="s">
        <v>3005</v>
      </c>
      <c r="G7" s="2700"/>
      <c r="H7" s="906"/>
      <c r="I7" s="906"/>
      <c r="J7" s="906"/>
      <c r="K7" s="906"/>
      <c r="L7" s="906"/>
      <c r="M7" s="906"/>
      <c r="N7" s="906"/>
      <c r="O7" s="906"/>
      <c r="P7" s="906"/>
      <c r="Q7" s="906"/>
      <c r="R7" s="906"/>
    </row>
    <row r="8" spans="1:29">
      <c r="A8" s="2668"/>
      <c r="B8" s="329" t="s">
        <v>3004</v>
      </c>
      <c r="C8" s="2696"/>
      <c r="D8" s="2697"/>
      <c r="E8" s="2697"/>
      <c r="F8" s="2701"/>
      <c r="G8" s="2701"/>
      <c r="H8" s="906"/>
      <c r="I8" s="906"/>
      <c r="J8" s="906"/>
      <c r="K8" s="906"/>
      <c r="L8" s="906"/>
      <c r="M8" s="906"/>
      <c r="N8" s="906"/>
      <c r="O8" s="906"/>
      <c r="P8" s="906"/>
      <c r="Q8" s="906"/>
      <c r="R8" s="906"/>
    </row>
    <row r="9" spans="1:29">
      <c r="A9" s="2668"/>
      <c r="B9" s="329" t="s">
        <v>3006</v>
      </c>
      <c r="C9" s="2694"/>
      <c r="D9" s="2691"/>
      <c r="E9" s="2697"/>
      <c r="F9" s="2701"/>
      <c r="G9" s="2701"/>
      <c r="H9" s="906"/>
      <c r="I9" s="906"/>
      <c r="J9" s="906"/>
      <c r="K9" s="906"/>
      <c r="L9" s="906"/>
      <c r="M9" s="906"/>
      <c r="N9" s="906"/>
      <c r="O9" s="906"/>
      <c r="P9" s="906"/>
      <c r="Q9" s="906"/>
      <c r="R9" s="906"/>
    </row>
    <row r="10" spans="1:29" s="2707" customFormat="1" ht="15" thickBot="1">
      <c r="A10" s="2669"/>
      <c r="B10" s="2702" t="s">
        <v>3007</v>
      </c>
      <c r="C10" s="2703"/>
      <c r="D10" s="2691"/>
      <c r="E10" s="2691"/>
      <c r="F10" s="2701"/>
      <c r="G10" s="2701"/>
      <c r="H10" s="2704"/>
      <c r="I10" s="2705"/>
      <c r="J10" s="2706"/>
      <c r="K10" s="2704"/>
      <c r="L10" s="2705"/>
      <c r="M10" s="2706"/>
      <c r="N10" s="2704"/>
      <c r="O10" s="2705"/>
      <c r="P10" s="2706"/>
      <c r="Q10" s="2704"/>
      <c r="R10" s="2705"/>
      <c r="S10" s="906"/>
      <c r="T10" s="906"/>
      <c r="U10" s="906"/>
      <c r="V10" s="906"/>
      <c r="W10" s="906"/>
      <c r="X10" s="906"/>
      <c r="Y10" s="906"/>
      <c r="Z10" s="906"/>
      <c r="AA10" s="906"/>
      <c r="AB10" s="906"/>
      <c r="AC10" s="906"/>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6"/>
      <c r="T11" s="906"/>
      <c r="U11" s="906"/>
      <c r="V11" s="906"/>
      <c r="W11" s="906"/>
      <c r="X11" s="906"/>
      <c r="Y11" s="906"/>
      <c r="Z11" s="906"/>
      <c r="AA11" s="906"/>
      <c r="AB11" s="906"/>
      <c r="AC11" s="906"/>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3023</v>
      </c>
      <c r="B13" s="2710"/>
      <c r="C13" s="2710"/>
      <c r="D13" s="2708"/>
      <c r="E13" s="2710"/>
      <c r="F13" s="2710"/>
      <c r="G13" s="2710"/>
    </row>
    <row r="14" spans="1:29" ht="15" thickBot="1">
      <c r="A14" s="2720"/>
      <c r="B14" s="2720"/>
      <c r="C14" s="2721" t="s">
        <v>3008</v>
      </c>
      <c r="D14" s="2691"/>
      <c r="E14" s="2722"/>
      <c r="F14" s="2722"/>
      <c r="G14" s="2686" t="s">
        <v>3009</v>
      </c>
    </row>
    <row r="15" spans="1:29" ht="24">
      <c r="A15" s="2670" t="s">
        <v>3010</v>
      </c>
      <c r="B15" s="2723" t="s">
        <v>2997</v>
      </c>
      <c r="C15" s="2724">
        <f>C3</f>
        <v>0</v>
      </c>
      <c r="D15" s="2691"/>
      <c r="E15" s="2671" t="s">
        <v>3011</v>
      </c>
      <c r="F15" s="2723" t="s">
        <v>3012</v>
      </c>
      <c r="G15" s="2725">
        <f>G3</f>
        <v>0</v>
      </c>
    </row>
    <row r="16" spans="1:29">
      <c r="A16" s="2672"/>
      <c r="B16" s="2726" t="s">
        <v>2999</v>
      </c>
      <c r="C16" s="2727">
        <f>C4</f>
        <v>0</v>
      </c>
      <c r="D16" s="2691"/>
      <c r="E16" s="2673"/>
      <c r="F16" s="2728" t="s">
        <v>3000</v>
      </c>
      <c r="G16" s="2729">
        <f>G4</f>
        <v>0</v>
      </c>
    </row>
    <row r="17" spans="1:18">
      <c r="A17" s="2672"/>
      <c r="B17" s="2726" t="s">
        <v>3001</v>
      </c>
      <c r="C17" s="2727">
        <f>C5</f>
        <v>0</v>
      </c>
      <c r="D17" s="2697"/>
      <c r="E17" s="2673"/>
      <c r="F17" s="2728" t="s">
        <v>3013</v>
      </c>
      <c r="G17" s="2730"/>
    </row>
    <row r="18" spans="1:18">
      <c r="A18" s="2672"/>
      <c r="B18" s="2728" t="s">
        <v>3003</v>
      </c>
      <c r="C18" s="2729">
        <f>C6</f>
        <v>0</v>
      </c>
      <c r="D18" s="2697"/>
      <c r="E18" s="2673"/>
      <c r="F18" s="2728" t="s">
        <v>3005</v>
      </c>
      <c r="G18" s="2729">
        <f>G7</f>
        <v>0</v>
      </c>
    </row>
    <row r="19" spans="1:18">
      <c r="A19" s="2672"/>
      <c r="B19" s="2728" t="s">
        <v>3014</v>
      </c>
      <c r="C19" s="2730"/>
      <c r="D19" s="2691"/>
      <c r="E19" s="2673"/>
      <c r="F19" s="329" t="s">
        <v>3002</v>
      </c>
      <c r="G19" s="2729">
        <f>G5</f>
        <v>0</v>
      </c>
    </row>
    <row r="20" spans="1:18">
      <c r="A20" s="2672"/>
      <c r="B20" s="2728" t="s">
        <v>3015</v>
      </c>
      <c r="C20" s="2727">
        <f>C9</f>
        <v>0</v>
      </c>
      <c r="D20" s="2697"/>
      <c r="E20" s="2673"/>
      <c r="F20" s="329" t="s">
        <v>3004</v>
      </c>
      <c r="G20" s="2729">
        <f>G6</f>
        <v>0</v>
      </c>
    </row>
    <row r="21" spans="1:18">
      <c r="A21" s="2672"/>
      <c r="B21" s="329" t="s">
        <v>3002</v>
      </c>
      <c r="C21" s="2729">
        <f>C7</f>
        <v>0</v>
      </c>
      <c r="D21" s="2691"/>
      <c r="E21" s="2673"/>
      <c r="F21" s="2728" t="s">
        <v>3016</v>
      </c>
      <c r="G21" s="2731"/>
    </row>
    <row r="22" spans="1:18" ht="13.5" customHeight="1">
      <c r="A22" s="2672"/>
      <c r="B22" s="329" t="s">
        <v>3004</v>
      </c>
      <c r="C22" s="2729">
        <f>C8</f>
        <v>0</v>
      </c>
      <c r="D22" s="2691"/>
      <c r="E22" s="2673"/>
      <c r="F22" s="2728" t="s">
        <v>3007</v>
      </c>
      <c r="G22" s="2730"/>
    </row>
    <row r="23" spans="1:18" s="906" customFormat="1" ht="15" thickBot="1">
      <c r="A23" s="2672"/>
      <c r="B23" s="2728" t="s">
        <v>3016</v>
      </c>
      <c r="C23" s="2731"/>
      <c r="D23" s="1927"/>
      <c r="E23" s="2674"/>
      <c r="F23" s="2732" t="s">
        <v>3017</v>
      </c>
      <c r="G23" s="2733"/>
      <c r="H23" s="2717"/>
      <c r="I23" s="2718"/>
      <c r="J23" s="2717"/>
      <c r="K23" s="2717"/>
      <c r="L23" s="2718"/>
      <c r="M23" s="2717"/>
      <c r="N23" s="2717"/>
      <c r="O23" s="2718"/>
      <c r="P23" s="2717"/>
      <c r="Q23" s="2717"/>
      <c r="R23" s="2719"/>
    </row>
    <row r="24" spans="1:18" s="906" customFormat="1" ht="15" thickBot="1">
      <c r="A24" s="2675"/>
      <c r="B24" s="2732" t="s">
        <v>3018</v>
      </c>
      <c r="C24" s="2734">
        <f>C10</f>
        <v>0</v>
      </c>
      <c r="D24" s="1927"/>
      <c r="E24" s="2665"/>
      <c r="F24" s="2665"/>
      <c r="G24" s="2735"/>
      <c r="H24" s="2717"/>
      <c r="I24" s="2718"/>
      <c r="J24" s="2717"/>
      <c r="K24" s="2717"/>
      <c r="L24" s="2718"/>
      <c r="M24" s="2717"/>
      <c r="N24" s="2717"/>
      <c r="O24" s="2718"/>
      <c r="P24" s="2717"/>
      <c r="Q24" s="2717"/>
      <c r="R24" s="2719"/>
    </row>
    <row r="25" spans="1:18" s="906" customFormat="1">
      <c r="B25" s="2717"/>
      <c r="C25" s="2717"/>
      <c r="D25" s="2717"/>
      <c r="H25" s="2717"/>
      <c r="I25" s="2718"/>
      <c r="J25" s="2717"/>
      <c r="K25" s="2717"/>
      <c r="L25" s="2718"/>
      <c r="M25" s="2717"/>
      <c r="N25" s="2717"/>
      <c r="O25" s="2718"/>
      <c r="P25" s="2717"/>
      <c r="Q25" s="2717"/>
      <c r="R25" s="2719"/>
    </row>
    <row r="26" spans="1:18" s="906" customFormat="1">
      <c r="B26" s="2717"/>
      <c r="C26" s="2717"/>
      <c r="D26" s="2717"/>
      <c r="H26" s="2717"/>
      <c r="I26" s="2718"/>
      <c r="J26" s="2717"/>
      <c r="K26" s="2717"/>
      <c r="L26" s="2718"/>
      <c r="M26" s="2717"/>
      <c r="N26" s="2717"/>
      <c r="O26" s="2718"/>
      <c r="P26" s="2717"/>
      <c r="Q26" s="2717"/>
      <c r="R26" s="2719"/>
    </row>
    <row r="27" spans="1:18" s="906" customFormat="1">
      <c r="B27" s="2717"/>
      <c r="C27" s="2717"/>
      <c r="D27" s="2717"/>
      <c r="H27" s="2717"/>
      <c r="I27" s="2718"/>
      <c r="J27" s="2717"/>
      <c r="K27" s="2717"/>
      <c r="L27" s="2718"/>
      <c r="M27" s="2717"/>
      <c r="N27" s="2717"/>
      <c r="O27" s="2718"/>
      <c r="P27" s="2717"/>
      <c r="Q27" s="2717"/>
      <c r="R27" s="2719"/>
    </row>
    <row r="28" spans="1:18" s="906" customFormat="1">
      <c r="B28" s="2717"/>
      <c r="C28" s="2717"/>
      <c r="D28" s="2717"/>
      <c r="H28" s="2717"/>
      <c r="I28" s="2718"/>
      <c r="J28" s="2717"/>
      <c r="K28" s="2717"/>
      <c r="L28" s="2718"/>
      <c r="M28" s="2717"/>
      <c r="N28" s="2717"/>
      <c r="O28" s="2718"/>
      <c r="P28" s="2717"/>
      <c r="Q28" s="2717"/>
      <c r="R28" s="2719"/>
    </row>
    <row r="29" spans="1:18" s="906" customFormat="1">
      <c r="B29" s="2717"/>
      <c r="C29" s="2717"/>
      <c r="D29" s="2717"/>
      <c r="H29" s="2717"/>
      <c r="I29" s="2718"/>
      <c r="J29" s="2717"/>
      <c r="K29" s="2717"/>
      <c r="L29" s="2718"/>
      <c r="M29" s="2717"/>
      <c r="N29" s="2717"/>
      <c r="O29" s="2718"/>
      <c r="P29" s="2717"/>
      <c r="Q29" s="2717"/>
      <c r="R29" s="2719"/>
    </row>
    <row r="30" spans="1:18" s="906" customFormat="1">
      <c r="B30" s="2717"/>
      <c r="C30" s="2717"/>
      <c r="D30" s="2717"/>
      <c r="H30" s="2717"/>
      <c r="I30" s="2718"/>
      <c r="J30" s="2717"/>
      <c r="K30" s="2717"/>
      <c r="L30" s="2718"/>
      <c r="M30" s="2717"/>
      <c r="N30" s="2717"/>
      <c r="O30" s="2718"/>
      <c r="P30" s="2717"/>
      <c r="Q30" s="2717"/>
      <c r="R30" s="2719"/>
    </row>
    <row r="31" spans="1:18" s="906" customFormat="1">
      <c r="B31" s="2717"/>
      <c r="C31" s="2717"/>
      <c r="D31" s="2717"/>
      <c r="H31" s="2717"/>
      <c r="I31" s="2718"/>
      <c r="J31" s="2717"/>
      <c r="K31" s="2717"/>
      <c r="L31" s="2718"/>
      <c r="M31" s="2717"/>
      <c r="N31" s="2717"/>
      <c r="O31" s="2718"/>
      <c r="P31" s="2717"/>
      <c r="Q31" s="2717"/>
      <c r="R31" s="2719"/>
    </row>
    <row r="32" spans="1:18" s="906" customFormat="1">
      <c r="B32" s="2717"/>
      <c r="C32" s="2717"/>
      <c r="D32" s="2717"/>
      <c r="H32" s="2717"/>
      <c r="I32" s="2718"/>
      <c r="J32" s="2717"/>
      <c r="K32" s="2717"/>
      <c r="L32" s="2718"/>
      <c r="M32" s="2717"/>
      <c r="N32" s="2717"/>
      <c r="O32" s="2718"/>
      <c r="P32" s="2717"/>
      <c r="Q32" s="2717"/>
      <c r="R32" s="2719"/>
    </row>
    <row r="33" spans="2:18" s="906" customFormat="1">
      <c r="B33" s="2717"/>
      <c r="C33" s="2717"/>
      <c r="D33" s="2717"/>
      <c r="H33" s="2717"/>
      <c r="I33" s="2718"/>
      <c r="J33" s="2717"/>
      <c r="K33" s="2717"/>
      <c r="L33" s="2718"/>
      <c r="M33" s="2717"/>
      <c r="N33" s="2717"/>
      <c r="O33" s="2718"/>
      <c r="P33" s="2717"/>
      <c r="Q33" s="2717"/>
      <c r="R33" s="2719"/>
    </row>
    <row r="34" spans="2:18" s="906" customFormat="1">
      <c r="B34" s="2717"/>
      <c r="C34" s="2717"/>
      <c r="D34" s="2717"/>
      <c r="H34" s="2717"/>
      <c r="I34" s="2718"/>
      <c r="J34" s="2717"/>
      <c r="K34" s="2717"/>
      <c r="L34" s="2718"/>
      <c r="M34" s="2717"/>
      <c r="N34" s="2717"/>
      <c r="O34" s="2718"/>
      <c r="P34" s="2717"/>
      <c r="Q34" s="2717"/>
      <c r="R34" s="2719"/>
    </row>
    <row r="35" spans="2:18" s="906" customFormat="1">
      <c r="B35" s="2717"/>
      <c r="C35" s="2717"/>
      <c r="D35" s="2717"/>
      <c r="H35" s="2717"/>
      <c r="I35" s="2718"/>
      <c r="J35" s="2717"/>
      <c r="K35" s="2717"/>
      <c r="L35" s="2718"/>
      <c r="M35" s="2717"/>
      <c r="N35" s="2717"/>
      <c r="O35" s="2718"/>
      <c r="P35" s="2717"/>
      <c r="Q35" s="2717"/>
      <c r="R35" s="2719"/>
    </row>
    <row r="36" spans="2:18" s="906" customFormat="1">
      <c r="B36" s="2717"/>
      <c r="C36" s="2717"/>
      <c r="D36" s="2717"/>
      <c r="H36" s="2717"/>
      <c r="I36" s="2718"/>
      <c r="J36" s="2717"/>
      <c r="K36" s="2717"/>
      <c r="L36" s="2718"/>
      <c r="M36" s="2717"/>
      <c r="N36" s="2717"/>
      <c r="O36" s="2718"/>
      <c r="P36" s="2717"/>
      <c r="Q36" s="2717"/>
      <c r="R36" s="2719"/>
    </row>
    <row r="37" spans="2:18" s="906" customFormat="1">
      <c r="B37" s="2717"/>
      <c r="C37" s="2717"/>
      <c r="D37" s="2717"/>
      <c r="H37" s="2717"/>
      <c r="I37" s="2718"/>
      <c r="J37" s="2717"/>
      <c r="K37" s="2717"/>
      <c r="L37" s="2718"/>
      <c r="M37" s="2717"/>
      <c r="N37" s="2717"/>
      <c r="O37" s="2718"/>
      <c r="P37" s="2717"/>
      <c r="Q37" s="2717"/>
      <c r="R37" s="2719"/>
    </row>
    <row r="38" spans="2:18" s="906" customFormat="1">
      <c r="B38" s="2717"/>
      <c r="C38" s="2717"/>
      <c r="D38" s="2717"/>
      <c r="E38" s="2717"/>
      <c r="F38" s="2717"/>
      <c r="G38" s="2718"/>
      <c r="H38" s="2717"/>
      <c r="I38" s="2718"/>
      <c r="J38" s="2717"/>
      <c r="K38" s="2717"/>
      <c r="L38" s="2718"/>
      <c r="M38" s="2717"/>
      <c r="N38" s="2717"/>
      <c r="O38" s="2718"/>
      <c r="P38" s="2717"/>
      <c r="Q38" s="2717"/>
      <c r="R38" s="2719"/>
    </row>
    <row r="39" spans="2:18" s="906" customFormat="1">
      <c r="B39" s="2717"/>
      <c r="C39" s="2717"/>
      <c r="D39" s="2717"/>
      <c r="E39" s="2717"/>
      <c r="F39" s="2717"/>
      <c r="G39" s="2718"/>
      <c r="H39" s="2717"/>
      <c r="I39" s="2718"/>
      <c r="J39" s="2717"/>
      <c r="K39" s="2717"/>
      <c r="L39" s="2718"/>
      <c r="M39" s="2717"/>
      <c r="N39" s="2717"/>
      <c r="O39" s="2718"/>
      <c r="P39" s="2717"/>
      <c r="Q39" s="2717"/>
      <c r="R39" s="2719"/>
    </row>
    <row r="40" spans="2:18" s="906" customFormat="1">
      <c r="B40" s="2717"/>
      <c r="C40" s="2717"/>
      <c r="D40" s="2717"/>
      <c r="E40" s="2717"/>
      <c r="F40" s="2717"/>
      <c r="G40" s="2718"/>
      <c r="H40" s="2717"/>
      <c r="I40" s="2718"/>
      <c r="J40" s="2717"/>
      <c r="K40" s="2717"/>
      <c r="L40" s="2718"/>
      <c r="M40" s="2717"/>
      <c r="N40" s="2717"/>
      <c r="O40" s="2718"/>
      <c r="P40" s="2717"/>
      <c r="Q40" s="2717"/>
      <c r="R40" s="2719"/>
    </row>
    <row r="41" spans="2:18" s="906" customFormat="1">
      <c r="B41" s="2717"/>
      <c r="C41" s="2717"/>
      <c r="D41" s="2717"/>
      <c r="E41" s="2717"/>
      <c r="F41" s="2717"/>
      <c r="G41" s="2718"/>
      <c r="H41" s="2717"/>
      <c r="I41" s="2718"/>
      <c r="J41" s="2717"/>
      <c r="K41" s="2717"/>
      <c r="L41" s="2718"/>
      <c r="M41" s="2717"/>
      <c r="N41" s="2717"/>
      <c r="O41" s="2718"/>
      <c r="P41" s="2717"/>
      <c r="Q41" s="2717"/>
      <c r="R41" s="2719"/>
    </row>
    <row r="42" spans="2:18" s="906" customFormat="1">
      <c r="B42" s="2717"/>
      <c r="C42" s="2717"/>
      <c r="D42" s="2717"/>
      <c r="E42" s="2717"/>
      <c r="F42" s="2717"/>
      <c r="G42" s="2718"/>
      <c r="H42" s="2717"/>
      <c r="I42" s="2718"/>
      <c r="J42" s="2717"/>
      <c r="K42" s="2717"/>
      <c r="L42" s="2718"/>
      <c r="M42" s="2717"/>
      <c r="N42" s="2717"/>
      <c r="O42" s="2718"/>
      <c r="P42" s="2717"/>
      <c r="Q42" s="2717"/>
      <c r="R42" s="2719"/>
    </row>
    <row r="43" spans="2:18" s="906" customFormat="1">
      <c r="B43" s="2717"/>
      <c r="C43" s="2717"/>
      <c r="D43" s="2717"/>
      <c r="E43" s="2717"/>
      <c r="F43" s="2717"/>
      <c r="G43" s="2718"/>
      <c r="H43" s="2717"/>
      <c r="I43" s="2718"/>
      <c r="J43" s="2717"/>
      <c r="K43" s="2717"/>
      <c r="L43" s="2718"/>
      <c r="M43" s="2717"/>
      <c r="N43" s="2717"/>
      <c r="O43" s="2718"/>
      <c r="P43" s="2717"/>
      <c r="Q43" s="2717"/>
      <c r="R43" s="2719"/>
    </row>
    <row r="44" spans="2:18" s="906" customFormat="1">
      <c r="B44" s="2717"/>
      <c r="C44" s="2717"/>
      <c r="D44" s="2717"/>
      <c r="E44" s="2717"/>
      <c r="F44" s="2717"/>
      <c r="G44" s="2718"/>
      <c r="H44" s="2717"/>
      <c r="I44" s="2718"/>
      <c r="J44" s="2717"/>
      <c r="K44" s="2717"/>
      <c r="L44" s="2718"/>
      <c r="M44" s="2717"/>
      <c r="N44" s="2717"/>
      <c r="O44" s="2718"/>
      <c r="P44" s="2717"/>
      <c r="Q44" s="2717"/>
      <c r="R44" s="2719"/>
    </row>
    <row r="45" spans="2:18" s="906" customFormat="1">
      <c r="B45" s="2717"/>
      <c r="C45" s="2717"/>
      <c r="D45" s="2717"/>
      <c r="E45" s="2717"/>
      <c r="F45" s="2717"/>
      <c r="G45" s="2718"/>
      <c r="H45" s="2717"/>
      <c r="I45" s="2718"/>
      <c r="J45" s="2717"/>
      <c r="K45" s="2717"/>
      <c r="L45" s="2718"/>
      <c r="M45" s="2717"/>
      <c r="N45" s="2717"/>
      <c r="O45" s="2718"/>
      <c r="P45" s="2717"/>
      <c r="Q45" s="2717"/>
      <c r="R45" s="2719"/>
    </row>
    <row r="46" spans="2:18" s="906" customFormat="1">
      <c r="B46" s="2717"/>
      <c r="C46" s="2717"/>
      <c r="D46" s="2717"/>
      <c r="E46" s="2717"/>
      <c r="F46" s="2717"/>
      <c r="G46" s="2718"/>
      <c r="H46" s="2717"/>
      <c r="I46" s="2718"/>
      <c r="J46" s="2717"/>
      <c r="K46" s="2717"/>
      <c r="L46" s="2718"/>
      <c r="M46" s="2717"/>
      <c r="N46" s="2717"/>
      <c r="O46" s="2718"/>
      <c r="P46" s="2717"/>
      <c r="Q46" s="2717"/>
      <c r="R46" s="2719"/>
    </row>
    <row r="47" spans="2:18" s="906" customFormat="1">
      <c r="B47" s="2717"/>
      <c r="C47" s="2717"/>
      <c r="D47" s="2717"/>
      <c r="E47" s="2717"/>
      <c r="F47" s="2717"/>
      <c r="G47" s="2718"/>
      <c r="H47" s="2717"/>
      <c r="I47" s="2718"/>
      <c r="J47" s="2717"/>
      <c r="K47" s="2717"/>
      <c r="L47" s="2718"/>
      <c r="M47" s="2717"/>
      <c r="N47" s="2717"/>
      <c r="O47" s="2718"/>
      <c r="P47" s="2717"/>
      <c r="Q47" s="2717"/>
      <c r="R47" s="2719"/>
    </row>
    <row r="48" spans="2:18" s="906" customFormat="1">
      <c r="B48" s="2717"/>
      <c r="C48" s="2717"/>
      <c r="D48" s="2717"/>
      <c r="E48" s="2717"/>
      <c r="F48" s="2717"/>
      <c r="G48" s="2718"/>
      <c r="H48" s="2717"/>
      <c r="I48" s="2718"/>
      <c r="J48" s="2717"/>
      <c r="K48" s="2717"/>
      <c r="L48" s="2718"/>
      <c r="M48" s="2717"/>
      <c r="N48" s="2717"/>
      <c r="O48" s="2718"/>
      <c r="P48" s="2717"/>
      <c r="Q48" s="2717"/>
      <c r="R48" s="2719"/>
    </row>
    <row r="49" spans="2:18" s="906" customFormat="1">
      <c r="B49" s="2717"/>
      <c r="C49" s="2717"/>
      <c r="D49" s="2717"/>
      <c r="E49" s="2717"/>
      <c r="F49" s="2717"/>
      <c r="G49" s="2718"/>
      <c r="H49" s="2717"/>
      <c r="I49" s="2718"/>
      <c r="J49" s="2717"/>
      <c r="K49" s="2717"/>
      <c r="L49" s="2718"/>
      <c r="M49" s="2717"/>
      <c r="N49" s="2717"/>
      <c r="O49" s="2718"/>
      <c r="P49" s="2717"/>
      <c r="Q49" s="2717"/>
      <c r="R49" s="2719"/>
    </row>
    <row r="50" spans="2:18" s="906" customFormat="1">
      <c r="B50" s="2717"/>
      <c r="C50" s="2717"/>
      <c r="D50" s="2717"/>
      <c r="E50" s="2717"/>
      <c r="F50" s="2717"/>
      <c r="G50" s="2718"/>
      <c r="H50" s="2717"/>
      <c r="I50" s="2718"/>
      <c r="J50" s="2717"/>
      <c r="K50" s="2717"/>
      <c r="L50" s="2718"/>
      <c r="M50" s="2717"/>
      <c r="N50" s="2717"/>
      <c r="O50" s="2718"/>
      <c r="P50" s="2717"/>
      <c r="Q50" s="2717"/>
      <c r="R50" s="2719"/>
    </row>
    <row r="51" spans="2:18" s="906" customFormat="1">
      <c r="B51" s="2717"/>
      <c r="C51" s="2717"/>
      <c r="D51" s="2717"/>
      <c r="E51" s="2717"/>
      <c r="F51" s="2717"/>
      <c r="G51" s="2718"/>
      <c r="H51" s="2717"/>
      <c r="I51" s="2718"/>
      <c r="J51" s="2717"/>
      <c r="K51" s="2717"/>
      <c r="L51" s="2718"/>
      <c r="M51" s="2717"/>
      <c r="N51" s="2717"/>
      <c r="O51" s="2718"/>
      <c r="P51" s="2717"/>
      <c r="Q51" s="2717"/>
      <c r="R51" s="2719"/>
    </row>
    <row r="52" spans="2:18" s="906" customFormat="1">
      <c r="B52" s="2717"/>
      <c r="C52" s="2717"/>
      <c r="D52" s="2717"/>
      <c r="E52" s="2717"/>
      <c r="F52" s="2717"/>
      <c r="G52" s="2718"/>
      <c r="H52" s="2717"/>
      <c r="I52" s="2718"/>
      <c r="J52" s="2717"/>
      <c r="K52" s="2717"/>
      <c r="L52" s="2718"/>
      <c r="M52" s="2717"/>
      <c r="N52" s="2717"/>
      <c r="O52" s="2718"/>
      <c r="P52" s="2717"/>
      <c r="Q52" s="2717"/>
      <c r="R52" s="2719"/>
    </row>
    <row r="53" spans="2:18" s="906" customFormat="1">
      <c r="B53" s="2717"/>
      <c r="C53" s="2717"/>
      <c r="D53" s="2717"/>
      <c r="E53" s="2717"/>
      <c r="F53" s="2717"/>
      <c r="G53" s="2718"/>
      <c r="H53" s="2717"/>
      <c r="I53" s="2718"/>
      <c r="J53" s="2717"/>
      <c r="K53" s="2717"/>
      <c r="L53" s="2718"/>
      <c r="M53" s="2717"/>
      <c r="N53" s="2717"/>
      <c r="O53" s="2718"/>
      <c r="P53" s="2717"/>
      <c r="Q53" s="2717"/>
      <c r="R53" s="2719"/>
    </row>
    <row r="54" spans="2:18" s="906" customFormat="1">
      <c r="B54" s="2717"/>
      <c r="C54" s="2717"/>
      <c r="D54" s="2717"/>
      <c r="E54" s="2717"/>
      <c r="F54" s="2717"/>
      <c r="G54" s="2718"/>
      <c r="H54" s="2717"/>
      <c r="I54" s="2718"/>
      <c r="J54" s="2717"/>
      <c r="K54" s="2717"/>
      <c r="L54" s="2718"/>
      <c r="M54" s="2717"/>
      <c r="N54" s="2717"/>
      <c r="O54" s="2718"/>
      <c r="P54" s="2717"/>
      <c r="Q54" s="2717"/>
      <c r="R54" s="2719"/>
    </row>
    <row r="55" spans="2:18" s="906" customFormat="1">
      <c r="B55" s="2717"/>
      <c r="C55" s="2717"/>
      <c r="D55" s="2717"/>
      <c r="E55" s="2717"/>
      <c r="F55" s="2717"/>
      <c r="G55" s="2718"/>
      <c r="H55" s="2717"/>
      <c r="I55" s="2718"/>
      <c r="J55" s="2717"/>
      <c r="K55" s="2717"/>
      <c r="L55" s="2718"/>
      <c r="M55" s="2717"/>
      <c r="N55" s="2717"/>
      <c r="O55" s="2718"/>
      <c r="P55" s="2717"/>
      <c r="Q55" s="2717"/>
      <c r="R55" s="2719"/>
    </row>
    <row r="56" spans="2:18" s="906" customFormat="1">
      <c r="B56" s="2717"/>
      <c r="C56" s="2717"/>
      <c r="D56" s="2717"/>
      <c r="E56" s="2717"/>
      <c r="F56" s="2717"/>
      <c r="G56" s="2718"/>
      <c r="H56" s="2717"/>
      <c r="I56" s="2718"/>
      <c r="J56" s="2717"/>
      <c r="K56" s="2717"/>
      <c r="L56" s="2718"/>
      <c r="M56" s="2717"/>
      <c r="N56" s="2717"/>
      <c r="O56" s="2718"/>
      <c r="P56" s="2717"/>
      <c r="Q56" s="2717"/>
      <c r="R56" s="2719"/>
    </row>
    <row r="57" spans="2:18" s="906" customFormat="1">
      <c r="B57" s="2717"/>
      <c r="C57" s="2717"/>
      <c r="D57" s="2717"/>
      <c r="E57" s="2717"/>
      <c r="F57" s="2717"/>
      <c r="G57" s="2718"/>
      <c r="H57" s="2717"/>
      <c r="I57" s="2718"/>
      <c r="J57" s="2717"/>
      <c r="K57" s="2717"/>
      <c r="L57" s="2718"/>
      <c r="M57" s="2717"/>
      <c r="N57" s="2717"/>
      <c r="O57" s="2718"/>
      <c r="P57" s="2717"/>
      <c r="Q57" s="2717"/>
      <c r="R57" s="2719"/>
    </row>
    <row r="58" spans="2:18" s="906" customFormat="1">
      <c r="B58" s="2717"/>
      <c r="C58" s="2717"/>
      <c r="D58" s="2717"/>
      <c r="E58" s="2717"/>
      <c r="F58" s="2717"/>
      <c r="G58" s="2718"/>
      <c r="H58" s="2717"/>
      <c r="I58" s="2718"/>
      <c r="J58" s="2717"/>
      <c r="K58" s="2717"/>
      <c r="L58" s="2718"/>
      <c r="M58" s="2717"/>
      <c r="N58" s="2717"/>
      <c r="O58" s="2718"/>
      <c r="P58" s="2717"/>
      <c r="Q58" s="2717"/>
      <c r="R58" s="2719"/>
    </row>
    <row r="59" spans="2:18" s="906" customFormat="1">
      <c r="B59" s="2717"/>
      <c r="C59" s="2717"/>
      <c r="D59" s="2717"/>
      <c r="E59" s="2717"/>
      <c r="F59" s="2717"/>
      <c r="G59" s="2718"/>
      <c r="H59" s="2717"/>
      <c r="I59" s="2718"/>
      <c r="J59" s="2717"/>
      <c r="K59" s="2717"/>
      <c r="L59" s="2718"/>
      <c r="M59" s="2717"/>
      <c r="N59" s="2717"/>
      <c r="O59" s="2718"/>
      <c r="P59" s="2717"/>
      <c r="Q59" s="2717"/>
      <c r="R59" s="2719"/>
    </row>
    <row r="60" spans="2:18" s="906" customFormat="1">
      <c r="B60" s="2717"/>
      <c r="C60" s="2717"/>
      <c r="D60" s="2717"/>
      <c r="E60" s="2717"/>
      <c r="F60" s="2717"/>
      <c r="G60" s="2718"/>
      <c r="H60" s="2717"/>
      <c r="I60" s="2718"/>
      <c r="J60" s="2717"/>
      <c r="K60" s="2717"/>
      <c r="L60" s="2718"/>
      <c r="M60" s="2717"/>
      <c r="N60" s="2717"/>
      <c r="O60" s="2718"/>
      <c r="P60" s="2717"/>
      <c r="Q60" s="2717"/>
      <c r="R60" s="2719"/>
    </row>
    <row r="61" spans="2:18" s="906" customFormat="1">
      <c r="B61" s="2717"/>
      <c r="C61" s="2717"/>
      <c r="D61" s="2717"/>
      <c r="E61" s="2717"/>
      <c r="F61" s="2717"/>
      <c r="G61" s="2718"/>
      <c r="H61" s="2717"/>
      <c r="I61" s="2718"/>
      <c r="J61" s="2717"/>
      <c r="K61" s="2717"/>
      <c r="L61" s="2718"/>
      <c r="M61" s="2717"/>
      <c r="N61" s="2717"/>
      <c r="O61" s="2718"/>
      <c r="P61" s="2717"/>
      <c r="Q61" s="2717"/>
      <c r="R61" s="2719"/>
    </row>
    <row r="62" spans="2:18" s="906" customFormat="1">
      <c r="B62" s="2717"/>
      <c r="C62" s="2717"/>
      <c r="D62" s="2717"/>
      <c r="E62" s="2717"/>
      <c r="F62" s="2717"/>
      <c r="G62" s="2718"/>
      <c r="H62" s="2717"/>
      <c r="I62" s="2718"/>
      <c r="J62" s="2717"/>
      <c r="K62" s="2717"/>
      <c r="L62" s="2718"/>
      <c r="M62" s="2717"/>
      <c r="N62" s="2717"/>
      <c r="O62" s="2718"/>
      <c r="P62" s="2717"/>
      <c r="Q62" s="2717"/>
      <c r="R62" s="2719"/>
    </row>
    <row r="63" spans="2:18" s="906" customFormat="1">
      <c r="B63" s="2717"/>
      <c r="C63" s="2717"/>
      <c r="D63" s="2717"/>
      <c r="E63" s="2717"/>
      <c r="F63" s="2717"/>
      <c r="G63" s="2718"/>
      <c r="H63" s="2717"/>
      <c r="I63" s="2718"/>
      <c r="J63" s="2717"/>
      <c r="K63" s="2717"/>
      <c r="L63" s="2718"/>
      <c r="M63" s="2717"/>
      <c r="N63" s="2717"/>
      <c r="O63" s="2718"/>
      <c r="P63" s="2717"/>
      <c r="Q63" s="2717"/>
      <c r="R63" s="2719"/>
    </row>
    <row r="64" spans="2:18" s="906" customFormat="1">
      <c r="B64" s="2717"/>
      <c r="C64" s="2717"/>
      <c r="D64" s="2717"/>
      <c r="E64" s="2717"/>
      <c r="F64" s="2717"/>
      <c r="G64" s="2718"/>
      <c r="H64" s="2717"/>
      <c r="I64" s="2718"/>
      <c r="J64" s="2717"/>
      <c r="K64" s="2717"/>
      <c r="L64" s="2718"/>
      <c r="M64" s="2717"/>
      <c r="N64" s="2717"/>
      <c r="O64" s="2718"/>
      <c r="P64" s="2717"/>
      <c r="Q64" s="2717"/>
      <c r="R64" s="2719"/>
    </row>
    <row r="65" spans="2:18" s="906" customFormat="1">
      <c r="B65" s="2717"/>
      <c r="C65" s="2717"/>
      <c r="D65" s="2717"/>
      <c r="E65" s="2717"/>
      <c r="F65" s="2717"/>
      <c r="G65" s="2718"/>
      <c r="H65" s="2717"/>
      <c r="I65" s="2718"/>
      <c r="J65" s="2717"/>
      <c r="K65" s="2717"/>
      <c r="L65" s="2718"/>
      <c r="M65" s="2717"/>
      <c r="N65" s="2717"/>
      <c r="O65" s="2718"/>
      <c r="P65" s="2717"/>
      <c r="Q65" s="2717"/>
      <c r="R65" s="2719"/>
    </row>
    <row r="66" spans="2:18" s="906" customFormat="1">
      <c r="B66" s="2717"/>
      <c r="C66" s="2717"/>
      <c r="D66" s="2717"/>
      <c r="E66" s="2717"/>
      <c r="F66" s="2717"/>
      <c r="G66" s="2718"/>
      <c r="H66" s="2717"/>
      <c r="I66" s="2718"/>
      <c r="J66" s="2717"/>
      <c r="K66" s="2717"/>
      <c r="L66" s="2718"/>
      <c r="M66" s="2717"/>
      <c r="N66" s="2717"/>
      <c r="O66" s="2718"/>
      <c r="P66" s="2717"/>
      <c r="Q66" s="2717"/>
      <c r="R66" s="2719"/>
    </row>
    <row r="67" spans="2:18" s="906" customFormat="1">
      <c r="B67" s="2717"/>
      <c r="C67" s="2717"/>
      <c r="D67" s="2717"/>
      <c r="E67" s="2717"/>
      <c r="F67" s="2717"/>
      <c r="G67" s="2718"/>
      <c r="H67" s="2717"/>
      <c r="I67" s="2718"/>
      <c r="J67" s="2717"/>
      <c r="K67" s="2717"/>
      <c r="L67" s="2718"/>
      <c r="M67" s="2717"/>
      <c r="N67" s="2717"/>
      <c r="O67" s="2718"/>
      <c r="P67" s="2717"/>
      <c r="Q67" s="2717"/>
      <c r="R67" s="2719"/>
    </row>
    <row r="68" spans="2:18" s="906" customFormat="1">
      <c r="B68" s="2717"/>
      <c r="C68" s="2717"/>
      <c r="D68" s="2717"/>
      <c r="E68" s="2717"/>
      <c r="F68" s="2717"/>
      <c r="G68" s="2718"/>
      <c r="H68" s="2717"/>
      <c r="I68" s="2718"/>
      <c r="J68" s="2717"/>
      <c r="K68" s="2717"/>
      <c r="L68" s="2718"/>
      <c r="M68" s="2717"/>
      <c r="N68" s="2717"/>
      <c r="O68" s="2718"/>
      <c r="P68" s="2717"/>
      <c r="Q68" s="2717"/>
      <c r="R68" s="2719"/>
    </row>
    <row r="69" spans="2:18" s="906" customFormat="1">
      <c r="B69" s="2717"/>
      <c r="C69" s="2717"/>
      <c r="D69" s="2717"/>
      <c r="E69" s="2717"/>
      <c r="F69" s="2717"/>
      <c r="G69" s="2718"/>
      <c r="H69" s="2717"/>
      <c r="I69" s="2718"/>
      <c r="J69" s="2717"/>
      <c r="K69" s="2717"/>
      <c r="L69" s="2718"/>
      <c r="M69" s="2717"/>
      <c r="N69" s="2717"/>
      <c r="O69" s="2718"/>
      <c r="P69" s="2717"/>
      <c r="Q69" s="2717"/>
      <c r="R69" s="2719"/>
    </row>
    <row r="70" spans="2:18" s="906" customFormat="1">
      <c r="B70" s="2717"/>
      <c r="C70" s="2717"/>
      <c r="D70" s="2717"/>
      <c r="E70" s="2717"/>
      <c r="F70" s="2717"/>
      <c r="G70" s="2718"/>
      <c r="H70" s="2717"/>
      <c r="I70" s="2718"/>
      <c r="J70" s="2717"/>
      <c r="K70" s="2717"/>
      <c r="L70" s="2718"/>
      <c r="M70" s="2717"/>
      <c r="N70" s="2717"/>
      <c r="O70" s="2718"/>
      <c r="P70" s="2717"/>
      <c r="Q70" s="2717"/>
      <c r="R70" s="2719"/>
    </row>
    <row r="71" spans="2:18" s="906" customFormat="1">
      <c r="B71" s="2717"/>
      <c r="C71" s="2717"/>
      <c r="D71" s="2717"/>
      <c r="E71" s="2717"/>
      <c r="F71" s="2717"/>
      <c r="G71" s="2718"/>
      <c r="H71" s="2717"/>
      <c r="I71" s="2718"/>
      <c r="J71" s="2717"/>
      <c r="K71" s="2717"/>
      <c r="L71" s="2718"/>
      <c r="M71" s="2717"/>
      <c r="N71" s="2717"/>
      <c r="O71" s="2718"/>
      <c r="P71" s="2717"/>
      <c r="Q71" s="2717"/>
      <c r="R71" s="2719"/>
    </row>
    <row r="72" spans="2:18" s="906" customFormat="1">
      <c r="B72" s="2717"/>
      <c r="C72" s="2717"/>
      <c r="D72" s="2717"/>
      <c r="E72" s="2717"/>
      <c r="F72" s="2717"/>
      <c r="G72" s="2718"/>
      <c r="H72" s="2717"/>
      <c r="I72" s="2718"/>
      <c r="J72" s="2717"/>
      <c r="K72" s="2717"/>
      <c r="L72" s="2718"/>
      <c r="M72" s="2717"/>
      <c r="N72" s="2717"/>
      <c r="O72" s="2718"/>
      <c r="P72" s="2717"/>
      <c r="Q72" s="2717"/>
      <c r="R72" s="2719"/>
    </row>
    <row r="73" spans="2:18" s="906" customFormat="1">
      <c r="B73" s="2717"/>
      <c r="C73" s="2717"/>
      <c r="D73" s="2717"/>
      <c r="E73" s="2717"/>
      <c r="F73" s="2717"/>
      <c r="G73" s="2718"/>
      <c r="H73" s="2717"/>
      <c r="I73" s="2718"/>
      <c r="J73" s="2717"/>
      <c r="K73" s="2717"/>
      <c r="L73" s="2718"/>
      <c r="M73" s="2717"/>
      <c r="N73" s="2717"/>
      <c r="O73" s="2718"/>
      <c r="P73" s="2717"/>
      <c r="Q73" s="2717"/>
      <c r="R73" s="2719"/>
    </row>
    <row r="74" spans="2:18" s="906" customFormat="1">
      <c r="B74" s="2717"/>
      <c r="C74" s="2717"/>
      <c r="D74" s="2717"/>
      <c r="E74" s="2717"/>
      <c r="F74" s="2717"/>
      <c r="G74" s="2718"/>
      <c r="H74" s="2717"/>
      <c r="I74" s="2718"/>
      <c r="J74" s="2717"/>
      <c r="K74" s="2717"/>
      <c r="L74" s="2718"/>
      <c r="M74" s="2717"/>
      <c r="N74" s="2717"/>
      <c r="O74" s="2718"/>
      <c r="P74" s="2717"/>
      <c r="Q74" s="2717"/>
      <c r="R74" s="2719"/>
    </row>
    <row r="75" spans="2:18" s="906" customFormat="1">
      <c r="B75" s="2717"/>
      <c r="C75" s="2717"/>
      <c r="D75" s="2717"/>
      <c r="E75" s="2717"/>
      <c r="F75" s="2717"/>
      <c r="G75" s="2718"/>
      <c r="H75" s="2717"/>
      <c r="I75" s="2718"/>
      <c r="J75" s="2717"/>
      <c r="K75" s="2717"/>
      <c r="L75" s="2718"/>
      <c r="M75" s="2717"/>
      <c r="N75" s="2717"/>
      <c r="O75" s="2718"/>
      <c r="P75" s="2717"/>
      <c r="Q75" s="2717"/>
      <c r="R75" s="2719"/>
    </row>
    <row r="76" spans="2:18" s="906" customFormat="1">
      <c r="B76" s="2717"/>
      <c r="C76" s="2717"/>
      <c r="D76" s="2717"/>
      <c r="E76" s="2717"/>
      <c r="F76" s="2717"/>
      <c r="G76" s="2718"/>
      <c r="H76" s="2717"/>
      <c r="I76" s="2718"/>
      <c r="J76" s="2717"/>
      <c r="K76" s="2717"/>
      <c r="L76" s="2718"/>
      <c r="M76" s="2717"/>
      <c r="N76" s="2717"/>
      <c r="O76" s="2718"/>
      <c r="P76" s="2717"/>
      <c r="Q76" s="2717"/>
      <c r="R76" s="2719"/>
    </row>
    <row r="77" spans="2:18" s="906" customFormat="1">
      <c r="B77" s="2717"/>
      <c r="C77" s="2717"/>
      <c r="D77" s="2717"/>
      <c r="E77" s="2717"/>
      <c r="F77" s="2717"/>
      <c r="G77" s="2718"/>
      <c r="H77" s="2717"/>
      <c r="I77" s="2718"/>
      <c r="J77" s="2717"/>
      <c r="K77" s="2717"/>
      <c r="L77" s="2718"/>
      <c r="M77" s="2717"/>
      <c r="N77" s="2717"/>
      <c r="O77" s="2718"/>
      <c r="P77" s="2717"/>
      <c r="Q77" s="2717"/>
      <c r="R77" s="2719"/>
    </row>
    <row r="78" spans="2:18" s="906" customFormat="1">
      <c r="B78" s="2717"/>
      <c r="C78" s="2717"/>
      <c r="D78" s="2717"/>
      <c r="E78" s="2717"/>
      <c r="F78" s="2717"/>
      <c r="G78" s="2718"/>
      <c r="H78" s="2717"/>
      <c r="I78" s="2718"/>
      <c r="J78" s="2717"/>
      <c r="K78" s="2717"/>
      <c r="L78" s="2718"/>
      <c r="M78" s="2717"/>
      <c r="N78" s="2717"/>
      <c r="O78" s="2718"/>
      <c r="P78" s="2717"/>
      <c r="Q78" s="2717"/>
      <c r="R78" s="2719"/>
    </row>
    <row r="79" spans="2:18" s="906" customFormat="1">
      <c r="B79" s="2717"/>
      <c r="C79" s="2717"/>
      <c r="D79" s="2717"/>
      <c r="E79" s="2717"/>
      <c r="F79" s="2717"/>
      <c r="G79" s="2718"/>
      <c r="H79" s="2717"/>
      <c r="I79" s="2718"/>
      <c r="J79" s="2717"/>
      <c r="K79" s="2717"/>
      <c r="L79" s="2718"/>
      <c r="M79" s="2717"/>
      <c r="N79" s="2717"/>
      <c r="O79" s="2718"/>
      <c r="P79" s="2717"/>
      <c r="Q79" s="2717"/>
      <c r="R79" s="2719"/>
    </row>
    <row r="80" spans="2:18" s="906" customFormat="1">
      <c r="B80" s="2717"/>
      <c r="C80" s="2717"/>
      <c r="D80" s="2717"/>
      <c r="E80" s="2717"/>
      <c r="F80" s="2717"/>
      <c r="G80" s="2718"/>
      <c r="H80" s="2717"/>
      <c r="I80" s="2718"/>
      <c r="J80" s="2717"/>
      <c r="K80" s="2717"/>
      <c r="L80" s="2718"/>
      <c r="M80" s="2717"/>
      <c r="N80" s="2717"/>
      <c r="O80" s="2718"/>
      <c r="P80" s="2717"/>
      <c r="Q80" s="2717"/>
      <c r="R80" s="2719"/>
    </row>
    <row r="81" spans="2:18" s="906" customFormat="1">
      <c r="B81" s="2717"/>
      <c r="C81" s="2717"/>
      <c r="D81" s="2717"/>
      <c r="E81" s="2717"/>
      <c r="F81" s="2717"/>
      <c r="G81" s="2718"/>
      <c r="H81" s="2717"/>
      <c r="I81" s="2718"/>
      <c r="J81" s="2717"/>
      <c r="K81" s="2717"/>
      <c r="L81" s="2718"/>
      <c r="M81" s="2717"/>
      <c r="N81" s="2717"/>
      <c r="O81" s="2718"/>
      <c r="P81" s="2717"/>
      <c r="Q81" s="2717"/>
      <c r="R81" s="2719"/>
    </row>
    <row r="82" spans="2:18" s="906" customFormat="1">
      <c r="B82" s="2717"/>
      <c r="C82" s="2717"/>
      <c r="D82" s="2717"/>
      <c r="E82" s="2717"/>
      <c r="F82" s="2717"/>
      <c r="G82" s="2718"/>
      <c r="H82" s="2717"/>
      <c r="I82" s="2718"/>
      <c r="J82" s="2717"/>
      <c r="K82" s="2717"/>
      <c r="L82" s="2718"/>
      <c r="M82" s="2717"/>
      <c r="N82" s="2717"/>
      <c r="O82" s="2718"/>
      <c r="P82" s="2717"/>
      <c r="Q82" s="2717"/>
      <c r="R82" s="2719"/>
    </row>
    <row r="83" spans="2:18" s="906" customFormat="1">
      <c r="B83" s="2717"/>
      <c r="C83" s="2717"/>
      <c r="D83" s="2717"/>
      <c r="E83" s="2717"/>
      <c r="F83" s="2717"/>
      <c r="G83" s="2718"/>
      <c r="H83" s="2717"/>
      <c r="I83" s="2718"/>
      <c r="J83" s="2717"/>
      <c r="K83" s="2717"/>
      <c r="L83" s="2718"/>
      <c r="M83" s="2717"/>
      <c r="N83" s="2717"/>
      <c r="O83" s="2718"/>
      <c r="P83" s="2717"/>
      <c r="Q83" s="2717"/>
      <c r="R83" s="2719"/>
    </row>
    <row r="84" spans="2:18" s="906" customFormat="1">
      <c r="B84" s="2717"/>
      <c r="C84" s="2717"/>
      <c r="D84" s="2717"/>
      <c r="E84" s="2717"/>
      <c r="F84" s="2717"/>
      <c r="G84" s="2718"/>
      <c r="H84" s="2717"/>
      <c r="I84" s="2718"/>
      <c r="J84" s="2717"/>
      <c r="K84" s="2717"/>
      <c r="L84" s="2718"/>
      <c r="M84" s="2717"/>
      <c r="N84" s="2717"/>
      <c r="O84" s="2718"/>
      <c r="P84" s="2717"/>
      <c r="Q84" s="2717"/>
      <c r="R84" s="2719"/>
    </row>
    <row r="85" spans="2:18" s="906" customFormat="1">
      <c r="B85" s="2717"/>
      <c r="C85" s="2717"/>
      <c r="D85" s="2717"/>
      <c r="E85" s="2717"/>
      <c r="F85" s="2717"/>
      <c r="G85" s="2718"/>
      <c r="H85" s="2717"/>
      <c r="I85" s="2718"/>
      <c r="J85" s="2717"/>
      <c r="K85" s="2717"/>
      <c r="L85" s="2718"/>
      <c r="M85" s="2717"/>
      <c r="N85" s="2717"/>
      <c r="O85" s="2718"/>
      <c r="P85" s="2717"/>
      <c r="Q85" s="2717"/>
      <c r="R85" s="2719"/>
    </row>
    <row r="86" spans="2:18" s="906" customFormat="1">
      <c r="B86" s="2717"/>
      <c r="C86" s="2717"/>
      <c r="D86" s="2717"/>
      <c r="E86" s="2717"/>
      <c r="F86" s="2717"/>
      <c r="G86" s="2718"/>
      <c r="H86" s="2717"/>
      <c r="I86" s="2718"/>
      <c r="J86" s="2717"/>
      <c r="K86" s="2717"/>
      <c r="L86" s="2718"/>
      <c r="M86" s="2717"/>
      <c r="N86" s="2717"/>
      <c r="O86" s="2718"/>
      <c r="P86" s="2717"/>
      <c r="Q86" s="2717"/>
      <c r="R86" s="2719"/>
    </row>
    <row r="87" spans="2:18" s="906" customFormat="1">
      <c r="B87" s="2717"/>
      <c r="C87" s="2717"/>
      <c r="D87" s="2717"/>
      <c r="E87" s="2717"/>
      <c r="F87" s="2717"/>
      <c r="G87" s="2718"/>
      <c r="H87" s="2717"/>
      <c r="I87" s="2718"/>
      <c r="J87" s="2717"/>
      <c r="K87" s="2717"/>
      <c r="L87" s="2718"/>
      <c r="M87" s="2717"/>
      <c r="N87" s="2717"/>
      <c r="O87" s="2718"/>
      <c r="P87" s="2717"/>
      <c r="Q87" s="2717"/>
      <c r="R87" s="2719"/>
    </row>
    <row r="88" spans="2:18" s="906" customFormat="1">
      <c r="B88" s="2717"/>
      <c r="C88" s="2717"/>
      <c r="D88" s="2717"/>
      <c r="E88" s="2717"/>
      <c r="F88" s="2717"/>
      <c r="G88" s="2718"/>
      <c r="H88" s="2717"/>
      <c r="I88" s="2718"/>
      <c r="J88" s="2717"/>
      <c r="K88" s="2717"/>
      <c r="L88" s="2718"/>
      <c r="M88" s="2717"/>
      <c r="N88" s="2717"/>
      <c r="O88" s="2718"/>
      <c r="P88" s="2717"/>
      <c r="Q88" s="2717"/>
      <c r="R88" s="2719"/>
    </row>
    <row r="89" spans="2:18" s="906" customFormat="1">
      <c r="B89" s="2717"/>
      <c r="C89" s="2717"/>
      <c r="D89" s="2717"/>
      <c r="E89" s="2717"/>
      <c r="F89" s="2717"/>
      <c r="G89" s="2718"/>
      <c r="H89" s="2717"/>
      <c r="I89" s="2718"/>
      <c r="J89" s="2717"/>
      <c r="K89" s="2717"/>
      <c r="L89" s="2718"/>
      <c r="M89" s="2717"/>
      <c r="N89" s="2717"/>
      <c r="O89" s="2718"/>
      <c r="P89" s="2717"/>
      <c r="Q89" s="2717"/>
      <c r="R89" s="2719"/>
    </row>
    <row r="90" spans="2:18" s="906" customFormat="1">
      <c r="B90" s="2717"/>
      <c r="C90" s="2717"/>
      <c r="D90" s="2717"/>
      <c r="E90" s="2717"/>
      <c r="F90" s="2717"/>
      <c r="G90" s="2718"/>
      <c r="H90" s="2717"/>
      <c r="I90" s="2718"/>
      <c r="J90" s="2717"/>
      <c r="K90" s="2717"/>
      <c r="L90" s="2718"/>
      <c r="M90" s="2717"/>
      <c r="N90" s="2717"/>
      <c r="O90" s="2718"/>
      <c r="P90" s="2717"/>
      <c r="Q90" s="2717"/>
      <c r="R90" s="2719"/>
    </row>
    <row r="91" spans="2:18" s="906" customFormat="1">
      <c r="B91" s="2717"/>
      <c r="C91" s="2717"/>
      <c r="D91" s="2717"/>
      <c r="E91" s="2717"/>
      <c r="F91" s="2717"/>
      <c r="G91" s="2718"/>
      <c r="H91" s="2717"/>
      <c r="I91" s="2718"/>
      <c r="J91" s="2717"/>
      <c r="K91" s="2717"/>
      <c r="L91" s="2718"/>
      <c r="M91" s="2717"/>
      <c r="N91" s="2717"/>
      <c r="O91" s="2718"/>
      <c r="P91" s="2717"/>
      <c r="Q91" s="2717"/>
      <c r="R91" s="2719"/>
    </row>
    <row r="92" spans="2:18" s="906" customFormat="1">
      <c r="B92" s="2717"/>
      <c r="C92" s="2717"/>
      <c r="D92" s="2717"/>
      <c r="E92" s="2717"/>
      <c r="F92" s="2717"/>
      <c r="G92" s="2718"/>
      <c r="H92" s="2717"/>
      <c r="I92" s="2718"/>
      <c r="J92" s="2717"/>
      <c r="K92" s="2717"/>
      <c r="L92" s="2718"/>
      <c r="M92" s="2717"/>
      <c r="N92" s="2717"/>
      <c r="O92" s="2718"/>
      <c r="P92" s="2717"/>
      <c r="Q92" s="2717"/>
      <c r="R92" s="2719"/>
    </row>
    <row r="93" spans="2:18" s="906" customFormat="1">
      <c r="B93" s="2717"/>
      <c r="C93" s="2717"/>
      <c r="D93" s="2717"/>
      <c r="E93" s="2717"/>
      <c r="F93" s="2717"/>
      <c r="G93" s="2718"/>
      <c r="H93" s="2717"/>
      <c r="I93" s="2718"/>
      <c r="J93" s="2717"/>
      <c r="K93" s="2717"/>
      <c r="L93" s="2718"/>
      <c r="M93" s="2717"/>
      <c r="N93" s="2717"/>
      <c r="O93" s="2718"/>
      <c r="P93" s="2717"/>
      <c r="Q93" s="2717"/>
      <c r="R93" s="2719"/>
    </row>
    <row r="94" spans="2:18" s="906" customFormat="1">
      <c r="B94" s="2717"/>
      <c r="C94" s="2717"/>
      <c r="D94" s="2717"/>
      <c r="E94" s="2717"/>
      <c r="F94" s="2717"/>
      <c r="G94" s="2718"/>
      <c r="H94" s="2717"/>
      <c r="I94" s="2718"/>
      <c r="J94" s="2717"/>
      <c r="K94" s="2717"/>
      <c r="L94" s="2718"/>
      <c r="M94" s="2717"/>
      <c r="N94" s="2717"/>
      <c r="O94" s="2718"/>
      <c r="P94" s="2717"/>
      <c r="Q94" s="2717"/>
      <c r="R94" s="2719"/>
    </row>
    <row r="95" spans="2:18" s="906" customFormat="1">
      <c r="B95" s="2717"/>
      <c r="C95" s="2717"/>
      <c r="D95" s="2717"/>
      <c r="E95" s="2717"/>
      <c r="F95" s="2717"/>
      <c r="G95" s="2718"/>
      <c r="H95" s="2717"/>
      <c r="I95" s="2718"/>
      <c r="J95" s="2717"/>
      <c r="K95" s="2717"/>
      <c r="L95" s="2718"/>
      <c r="M95" s="2717"/>
      <c r="N95" s="2717"/>
      <c r="O95" s="2718"/>
      <c r="P95" s="2717"/>
      <c r="Q95" s="2717"/>
      <c r="R95" s="2719"/>
    </row>
    <row r="96" spans="2:18" s="906" customFormat="1">
      <c r="B96" s="2717"/>
      <c r="C96" s="2717"/>
      <c r="D96" s="2717"/>
      <c r="E96" s="2717"/>
      <c r="F96" s="2717"/>
      <c r="G96" s="2718"/>
      <c r="H96" s="2717"/>
      <c r="I96" s="2718"/>
      <c r="J96" s="2717"/>
      <c r="K96" s="2717"/>
      <c r="L96" s="2718"/>
      <c r="M96" s="2717"/>
      <c r="N96" s="2717"/>
      <c r="O96" s="2718"/>
      <c r="P96" s="2717"/>
      <c r="Q96" s="2717"/>
      <c r="R96" s="2719"/>
    </row>
    <row r="97" spans="2:18" s="906" customFormat="1">
      <c r="B97" s="2717"/>
      <c r="C97" s="2717"/>
      <c r="D97" s="2717"/>
      <c r="E97" s="2717"/>
      <c r="F97" s="2717"/>
      <c r="G97" s="2718"/>
      <c r="H97" s="2717"/>
      <c r="I97" s="2718"/>
      <c r="J97" s="2717"/>
      <c r="K97" s="2717"/>
      <c r="L97" s="2718"/>
      <c r="M97" s="2717"/>
      <c r="N97" s="2717"/>
      <c r="O97" s="2718"/>
      <c r="P97" s="2717"/>
      <c r="Q97" s="2717"/>
      <c r="R97" s="2719"/>
    </row>
    <row r="98" spans="2:18" s="906" customFormat="1">
      <c r="B98" s="2717"/>
      <c r="C98" s="2717"/>
      <c r="D98" s="2717"/>
      <c r="E98" s="2717"/>
      <c r="F98" s="2717"/>
      <c r="G98" s="2718"/>
      <c r="H98" s="2717"/>
      <c r="I98" s="2718"/>
      <c r="J98" s="2717"/>
      <c r="K98" s="2717"/>
      <c r="L98" s="2718"/>
      <c r="M98" s="2717"/>
      <c r="N98" s="2717"/>
      <c r="O98" s="2718"/>
      <c r="P98" s="2717"/>
      <c r="Q98" s="2717"/>
      <c r="R98" s="2719"/>
    </row>
    <row r="99" spans="2:18" s="906" customFormat="1">
      <c r="B99" s="2717"/>
      <c r="C99" s="2717"/>
      <c r="D99" s="2717"/>
      <c r="E99" s="2717"/>
      <c r="F99" s="2717"/>
      <c r="G99" s="2718"/>
      <c r="H99" s="2717"/>
      <c r="I99" s="2718"/>
      <c r="J99" s="2717"/>
      <c r="K99" s="2717"/>
      <c r="L99" s="2718"/>
      <c r="M99" s="2717"/>
      <c r="N99" s="2717"/>
      <c r="O99" s="2718"/>
      <c r="P99" s="2717"/>
      <c r="Q99" s="2717"/>
      <c r="R99" s="2719"/>
    </row>
    <row r="100" spans="2:18" s="906" customFormat="1">
      <c r="B100" s="2717"/>
      <c r="C100" s="2717"/>
      <c r="D100" s="2717"/>
      <c r="E100" s="2717"/>
      <c r="F100" s="2717"/>
      <c r="G100" s="2718"/>
      <c r="H100" s="2717"/>
      <c r="I100" s="2718"/>
      <c r="J100" s="2717"/>
      <c r="K100" s="2717"/>
      <c r="L100" s="2718"/>
      <c r="M100" s="2717"/>
      <c r="N100" s="2717"/>
      <c r="O100" s="2718"/>
      <c r="P100" s="2717"/>
      <c r="Q100" s="2717"/>
      <c r="R100" s="2719"/>
    </row>
    <row r="101" spans="2:18" s="906" customFormat="1">
      <c r="B101" s="2717"/>
      <c r="C101" s="2717"/>
      <c r="D101" s="2717"/>
      <c r="E101" s="2717"/>
      <c r="F101" s="2717"/>
      <c r="G101" s="2718"/>
      <c r="H101" s="2717"/>
      <c r="I101" s="2718"/>
      <c r="J101" s="2717"/>
      <c r="K101" s="2717"/>
      <c r="L101" s="2718"/>
      <c r="M101" s="2717"/>
      <c r="N101" s="2717"/>
      <c r="O101" s="2718"/>
      <c r="P101" s="2717"/>
      <c r="Q101" s="2717"/>
      <c r="R101" s="2719"/>
    </row>
    <row r="102" spans="2:18" s="906" customFormat="1">
      <c r="B102" s="2717"/>
      <c r="C102" s="2717"/>
      <c r="D102" s="2717"/>
      <c r="E102" s="2717"/>
      <c r="F102" s="2717"/>
      <c r="G102" s="2718"/>
      <c r="H102" s="2717"/>
      <c r="I102" s="2718"/>
      <c r="J102" s="2717"/>
      <c r="K102" s="2717"/>
      <c r="L102" s="2718"/>
      <c r="M102" s="2717"/>
      <c r="N102" s="2717"/>
      <c r="O102" s="2718"/>
      <c r="P102" s="2717"/>
      <c r="Q102" s="2717"/>
      <c r="R102" s="2719"/>
    </row>
    <row r="103" spans="2:18" s="906" customFormat="1">
      <c r="B103" s="2717"/>
      <c r="C103" s="2717"/>
      <c r="D103" s="2717"/>
      <c r="E103" s="2717"/>
      <c r="F103" s="2717"/>
      <c r="G103" s="2718"/>
      <c r="H103" s="2717"/>
      <c r="I103" s="2718"/>
      <c r="J103" s="2717"/>
      <c r="K103" s="2717"/>
      <c r="L103" s="2718"/>
      <c r="M103" s="2717"/>
      <c r="N103" s="2717"/>
      <c r="O103" s="2718"/>
      <c r="P103" s="2717"/>
      <c r="Q103" s="2717"/>
      <c r="R103" s="2719"/>
    </row>
    <row r="104" spans="2:18" s="906" customFormat="1">
      <c r="B104" s="2717"/>
      <c r="C104" s="2717"/>
      <c r="D104" s="2717"/>
      <c r="E104" s="2717"/>
      <c r="F104" s="2717"/>
      <c r="G104" s="2718"/>
      <c r="H104" s="2717"/>
      <c r="I104" s="2718"/>
      <c r="J104" s="2717"/>
      <c r="K104" s="2717"/>
      <c r="L104" s="2718"/>
      <c r="M104" s="2717"/>
      <c r="N104" s="2717"/>
      <c r="O104" s="2718"/>
      <c r="P104" s="2717"/>
      <c r="Q104" s="2717"/>
      <c r="R104" s="2719"/>
    </row>
    <row r="105" spans="2:18" s="906" customFormat="1">
      <c r="B105" s="2717"/>
      <c r="C105" s="2717"/>
      <c r="D105" s="2717"/>
      <c r="E105" s="2717"/>
      <c r="F105" s="2717"/>
      <c r="G105" s="2718"/>
      <c r="H105" s="2717"/>
      <c r="I105" s="2718"/>
      <c r="J105" s="2717"/>
      <c r="K105" s="2717"/>
      <c r="L105" s="2718"/>
      <c r="M105" s="2717"/>
      <c r="N105" s="2717"/>
      <c r="O105" s="2718"/>
      <c r="P105" s="2717"/>
      <c r="Q105" s="2717"/>
      <c r="R105" s="2719"/>
    </row>
    <row r="106" spans="2:18" s="906" customFormat="1">
      <c r="B106" s="2717"/>
      <c r="C106" s="2717"/>
      <c r="D106" s="2717"/>
      <c r="E106" s="2717"/>
      <c r="F106" s="2717"/>
      <c r="G106" s="2718"/>
      <c r="H106" s="2717"/>
      <c r="I106" s="2718"/>
      <c r="J106" s="2717"/>
      <c r="K106" s="2717"/>
      <c r="L106" s="2718"/>
      <c r="M106" s="2717"/>
      <c r="N106" s="2717"/>
      <c r="O106" s="2718"/>
      <c r="P106" s="2717"/>
      <c r="Q106" s="2717"/>
      <c r="R106" s="2719"/>
    </row>
    <row r="107" spans="2:18" s="906" customFormat="1">
      <c r="B107" s="2717"/>
      <c r="C107" s="2717"/>
      <c r="D107" s="2717"/>
      <c r="E107" s="2717"/>
      <c r="F107" s="2717"/>
      <c r="G107" s="2718"/>
      <c r="H107" s="2717"/>
      <c r="I107" s="2718"/>
      <c r="J107" s="2717"/>
      <c r="K107" s="2717"/>
      <c r="L107" s="2718"/>
      <c r="M107" s="2717"/>
      <c r="N107" s="2717"/>
      <c r="O107" s="2718"/>
      <c r="P107" s="2717"/>
      <c r="Q107" s="2717"/>
      <c r="R107" s="2719"/>
    </row>
    <row r="108" spans="2:18" s="906" customFormat="1">
      <c r="B108" s="2717"/>
      <c r="C108" s="2717"/>
      <c r="D108" s="2717"/>
      <c r="E108" s="2717"/>
      <c r="F108" s="2717"/>
      <c r="G108" s="2718"/>
      <c r="H108" s="2717"/>
      <c r="I108" s="2718"/>
      <c r="J108" s="2717"/>
      <c r="K108" s="2717"/>
      <c r="L108" s="2718"/>
      <c r="M108" s="2717"/>
      <c r="N108" s="2717"/>
      <c r="O108" s="2718"/>
      <c r="P108" s="2717"/>
      <c r="Q108" s="2717"/>
      <c r="R108" s="2719"/>
    </row>
    <row r="109" spans="2:18" s="906" customFormat="1">
      <c r="B109" s="2717"/>
      <c r="C109" s="2717"/>
      <c r="D109" s="2717"/>
      <c r="E109" s="2717"/>
      <c r="F109" s="2717"/>
      <c r="G109" s="2718"/>
      <c r="H109" s="2717"/>
      <c r="I109" s="2718"/>
      <c r="J109" s="2717"/>
      <c r="K109" s="2717"/>
      <c r="L109" s="2718"/>
      <c r="M109" s="2717"/>
      <c r="N109" s="2717"/>
      <c r="O109" s="2718"/>
      <c r="P109" s="2717"/>
      <c r="Q109" s="2717"/>
      <c r="R109" s="2719"/>
    </row>
    <row r="110" spans="2:18" s="906" customFormat="1">
      <c r="B110" s="2717"/>
      <c r="C110" s="2717"/>
      <c r="D110" s="2717"/>
      <c r="E110" s="2717"/>
      <c r="F110" s="2717"/>
      <c r="G110" s="2718"/>
      <c r="H110" s="2717"/>
      <c r="I110" s="2718"/>
      <c r="J110" s="2717"/>
      <c r="K110" s="2717"/>
      <c r="L110" s="2718"/>
      <c r="M110" s="2717"/>
      <c r="N110" s="2717"/>
      <c r="O110" s="2718"/>
      <c r="P110" s="2717"/>
      <c r="Q110" s="2717"/>
      <c r="R110" s="2719"/>
    </row>
    <row r="111" spans="2:18" s="906" customFormat="1">
      <c r="B111" s="2717"/>
      <c r="C111" s="2717"/>
      <c r="D111" s="2717"/>
      <c r="E111" s="2717"/>
      <c r="F111" s="2717"/>
      <c r="G111" s="2718"/>
      <c r="H111" s="2717"/>
      <c r="I111" s="2718"/>
      <c r="J111" s="2717"/>
      <c r="K111" s="2717"/>
      <c r="L111" s="2718"/>
      <c r="M111" s="2717"/>
      <c r="N111" s="2717"/>
      <c r="O111" s="2718"/>
      <c r="P111" s="2717"/>
      <c r="Q111" s="2717"/>
      <c r="R111" s="2719"/>
    </row>
    <row r="112" spans="2:18" s="906" customFormat="1">
      <c r="B112" s="2717"/>
      <c r="C112" s="2717"/>
      <c r="D112" s="2717"/>
      <c r="E112" s="2717"/>
      <c r="F112" s="2717"/>
      <c r="G112" s="2718"/>
      <c r="H112" s="2717"/>
      <c r="I112" s="2718"/>
      <c r="J112" s="2717"/>
      <c r="K112" s="2717"/>
      <c r="L112" s="2718"/>
      <c r="M112" s="2717"/>
      <c r="N112" s="2717"/>
      <c r="O112" s="2718"/>
      <c r="P112" s="2717"/>
      <c r="Q112" s="2717"/>
      <c r="R112" s="2719"/>
    </row>
    <row r="113" spans="2:18" s="906" customFormat="1">
      <c r="B113" s="2717"/>
      <c r="C113" s="2717"/>
      <c r="D113" s="2717"/>
      <c r="E113" s="2717"/>
      <c r="F113" s="2717"/>
      <c r="G113" s="2718"/>
      <c r="H113" s="2717"/>
      <c r="I113" s="2718"/>
      <c r="J113" s="2717"/>
      <c r="K113" s="2717"/>
      <c r="L113" s="2718"/>
      <c r="M113" s="2717"/>
      <c r="N113" s="2717"/>
      <c r="O113" s="2718"/>
      <c r="P113" s="2717"/>
      <c r="Q113" s="2717"/>
      <c r="R113" s="2719"/>
    </row>
    <row r="114" spans="2:18" s="906" customFormat="1">
      <c r="B114" s="2717"/>
      <c r="C114" s="2717"/>
      <c r="D114" s="2717"/>
      <c r="E114" s="2717"/>
      <c r="F114" s="2717"/>
      <c r="G114" s="2718"/>
      <c r="H114" s="2717"/>
      <c r="I114" s="2718"/>
      <c r="J114" s="2717"/>
      <c r="K114" s="2717"/>
      <c r="L114" s="2718"/>
      <c r="M114" s="2717"/>
      <c r="N114" s="2717"/>
      <c r="O114" s="2718"/>
      <c r="P114" s="2717"/>
      <c r="Q114" s="2717"/>
      <c r="R114" s="2719"/>
    </row>
    <row r="115" spans="2:18" s="906" customFormat="1">
      <c r="B115" s="2717"/>
      <c r="C115" s="2717"/>
      <c r="D115" s="2717"/>
      <c r="E115" s="2717"/>
      <c r="F115" s="2717"/>
      <c r="G115" s="2718"/>
      <c r="H115" s="2717"/>
      <c r="I115" s="2718"/>
      <c r="J115" s="2717"/>
      <c r="K115" s="2717"/>
      <c r="L115" s="2718"/>
      <c r="M115" s="2717"/>
      <c r="N115" s="2717"/>
      <c r="O115" s="2718"/>
      <c r="P115" s="2717"/>
      <c r="Q115" s="2717"/>
      <c r="R115" s="2719"/>
    </row>
    <row r="116" spans="2:18" s="906" customFormat="1">
      <c r="B116" s="2717"/>
      <c r="C116" s="2717"/>
      <c r="D116" s="2717"/>
      <c r="E116" s="2717"/>
      <c r="F116" s="2717"/>
      <c r="G116" s="2718"/>
      <c r="H116" s="2717"/>
      <c r="I116" s="2718"/>
      <c r="J116" s="2717"/>
      <c r="K116" s="2717"/>
      <c r="L116" s="2718"/>
      <c r="M116" s="2717"/>
      <c r="N116" s="2717"/>
      <c r="O116" s="2718"/>
      <c r="P116" s="2717"/>
      <c r="Q116" s="2717"/>
      <c r="R116" s="2719"/>
    </row>
    <row r="117" spans="2:18" s="906" customFormat="1">
      <c r="B117" s="2717"/>
      <c r="C117" s="2717"/>
      <c r="D117" s="2717"/>
      <c r="E117" s="2717"/>
      <c r="F117" s="2717"/>
      <c r="G117" s="2718"/>
      <c r="H117" s="2717"/>
      <c r="I117" s="2718"/>
      <c r="J117" s="2717"/>
      <c r="K117" s="2717"/>
      <c r="L117" s="2718"/>
      <c r="M117" s="2717"/>
      <c r="N117" s="2717"/>
      <c r="O117" s="2718"/>
      <c r="P117" s="2717"/>
      <c r="Q117" s="2717"/>
      <c r="R117" s="2719"/>
    </row>
    <row r="118" spans="2:18" s="906" customFormat="1">
      <c r="B118" s="2717"/>
      <c r="C118" s="2717"/>
      <c r="D118" s="2717"/>
      <c r="E118" s="2717"/>
      <c r="F118" s="2717"/>
      <c r="G118" s="2718"/>
      <c r="H118" s="2717"/>
      <c r="I118" s="2718"/>
      <c r="J118" s="2717"/>
      <c r="K118" s="2717"/>
      <c r="L118" s="2718"/>
      <c r="M118" s="2717"/>
      <c r="N118" s="2717"/>
      <c r="O118" s="2718"/>
      <c r="P118" s="2717"/>
      <c r="Q118" s="2717"/>
      <c r="R118" s="2719"/>
    </row>
    <row r="119" spans="2:18" s="906" customFormat="1">
      <c r="B119" s="2717"/>
      <c r="C119" s="2717"/>
      <c r="D119" s="2717"/>
      <c r="E119" s="2717"/>
      <c r="F119" s="2717"/>
      <c r="G119" s="2718"/>
      <c r="H119" s="2717"/>
      <c r="I119" s="2718"/>
      <c r="J119" s="2717"/>
      <c r="K119" s="2717"/>
      <c r="L119" s="2718"/>
      <c r="M119" s="2717"/>
      <c r="N119" s="2717"/>
      <c r="O119" s="2718"/>
      <c r="P119" s="2717"/>
      <c r="Q119" s="2717"/>
      <c r="R119" s="2719"/>
    </row>
    <row r="120" spans="2:18" s="906" customFormat="1">
      <c r="B120" s="2717"/>
      <c r="C120" s="2717"/>
      <c r="D120" s="2717"/>
      <c r="E120" s="2717"/>
      <c r="F120" s="2717"/>
      <c r="G120" s="2718"/>
      <c r="H120" s="2717"/>
      <c r="I120" s="2718"/>
      <c r="J120" s="2717"/>
      <c r="K120" s="2717"/>
      <c r="L120" s="2718"/>
      <c r="M120" s="2717"/>
      <c r="N120" s="2717"/>
      <c r="O120" s="2718"/>
      <c r="P120" s="2717"/>
      <c r="Q120" s="2717"/>
      <c r="R120" s="2719"/>
    </row>
    <row r="121" spans="2:18" s="906" customFormat="1">
      <c r="B121" s="2717"/>
      <c r="C121" s="2717"/>
      <c r="D121" s="2717"/>
      <c r="E121" s="2717"/>
      <c r="F121" s="2717"/>
      <c r="G121" s="2718"/>
      <c r="H121" s="2717"/>
      <c r="I121" s="2718"/>
      <c r="J121" s="2717"/>
      <c r="K121" s="2717"/>
      <c r="L121" s="2718"/>
      <c r="M121" s="2717"/>
      <c r="N121" s="2717"/>
      <c r="O121" s="2718"/>
      <c r="P121" s="2717"/>
      <c r="Q121" s="2717"/>
      <c r="R121" s="2719"/>
    </row>
    <row r="122" spans="2:18" s="906" customFormat="1">
      <c r="B122" s="2717"/>
      <c r="C122" s="2717"/>
      <c r="D122" s="2717"/>
      <c r="E122" s="2717"/>
      <c r="F122" s="2717"/>
      <c r="G122" s="2718"/>
      <c r="H122" s="2717"/>
      <c r="I122" s="2718"/>
      <c r="J122" s="2717"/>
      <c r="K122" s="2717"/>
      <c r="L122" s="2718"/>
      <c r="M122" s="2717"/>
      <c r="N122" s="2717"/>
      <c r="O122" s="2718"/>
      <c r="P122" s="2717"/>
      <c r="Q122" s="2717"/>
      <c r="R122" s="2719"/>
    </row>
    <row r="123" spans="2:18" s="906" customFormat="1">
      <c r="B123" s="2717"/>
      <c r="C123" s="2717"/>
      <c r="D123" s="2717"/>
      <c r="E123" s="2717"/>
      <c r="F123" s="2717"/>
      <c r="G123" s="2718"/>
      <c r="H123" s="2717"/>
      <c r="I123" s="2718"/>
      <c r="J123" s="2717"/>
      <c r="K123" s="2717"/>
      <c r="L123" s="2718"/>
      <c r="M123" s="2717"/>
      <c r="N123" s="2717"/>
      <c r="O123" s="2718"/>
      <c r="P123" s="2717"/>
      <c r="Q123" s="2717"/>
      <c r="R123" s="2719"/>
    </row>
    <row r="124" spans="2:18" s="906" customFormat="1">
      <c r="B124" s="2717"/>
      <c r="C124" s="2717"/>
      <c r="D124" s="2717"/>
      <c r="E124" s="2717"/>
      <c r="F124" s="2717"/>
      <c r="G124" s="2718"/>
      <c r="H124" s="2717"/>
      <c r="I124" s="2718"/>
      <c r="J124" s="2717"/>
      <c r="K124" s="2717"/>
      <c r="L124" s="2718"/>
      <c r="M124" s="2717"/>
      <c r="N124" s="2717"/>
      <c r="O124" s="2718"/>
      <c r="P124" s="2717"/>
      <c r="Q124" s="2717"/>
      <c r="R124" s="2719"/>
    </row>
    <row r="125" spans="2:18" s="906" customFormat="1">
      <c r="B125" s="2717"/>
      <c r="C125" s="2717"/>
      <c r="D125" s="2717"/>
      <c r="E125" s="2717"/>
      <c r="F125" s="2717"/>
      <c r="G125" s="2718"/>
      <c r="H125" s="2717"/>
      <c r="I125" s="2718"/>
      <c r="J125" s="2717"/>
      <c r="K125" s="2717"/>
      <c r="L125" s="2718"/>
      <c r="M125" s="2717"/>
      <c r="N125" s="2717"/>
      <c r="O125" s="2718"/>
      <c r="P125" s="2717"/>
      <c r="Q125" s="2717"/>
      <c r="R125" s="2719"/>
    </row>
    <row r="126" spans="2:18" s="906" customFormat="1">
      <c r="B126" s="2717"/>
      <c r="C126" s="2717"/>
      <c r="D126" s="2717"/>
      <c r="E126" s="2717"/>
      <c r="F126" s="2717"/>
      <c r="G126" s="2718"/>
      <c r="H126" s="2717"/>
      <c r="I126" s="2718"/>
      <c r="J126" s="2717"/>
      <c r="K126" s="2717"/>
      <c r="L126" s="2718"/>
      <c r="M126" s="2717"/>
      <c r="N126" s="2717"/>
      <c r="O126" s="2718"/>
      <c r="P126" s="2717"/>
      <c r="Q126" s="2717"/>
      <c r="R126" s="2719"/>
    </row>
    <row r="127" spans="2:18" s="906" customFormat="1">
      <c r="B127" s="2717"/>
      <c r="C127" s="2717"/>
      <c r="D127" s="2717"/>
      <c r="E127" s="2717"/>
      <c r="F127" s="2717"/>
      <c r="G127" s="2718"/>
      <c r="H127" s="2717"/>
      <c r="I127" s="2718"/>
      <c r="J127" s="2717"/>
      <c r="K127" s="2717"/>
      <c r="L127" s="2718"/>
      <c r="M127" s="2717"/>
      <c r="N127" s="2717"/>
      <c r="O127" s="2718"/>
      <c r="P127" s="2717"/>
      <c r="Q127" s="2717"/>
      <c r="R127" s="2719"/>
    </row>
    <row r="128" spans="2:18" s="906" customFormat="1">
      <c r="B128" s="2717"/>
      <c r="C128" s="2717"/>
      <c r="D128" s="2717"/>
      <c r="E128" s="2717"/>
      <c r="F128" s="2717"/>
      <c r="G128" s="2718"/>
      <c r="H128" s="2717"/>
      <c r="I128" s="2718"/>
      <c r="J128" s="2717"/>
      <c r="K128" s="2717"/>
      <c r="L128" s="2718"/>
      <c r="M128" s="2717"/>
      <c r="N128" s="2717"/>
      <c r="O128" s="2718"/>
      <c r="P128" s="2717"/>
      <c r="Q128" s="2717"/>
      <c r="R128" s="2719"/>
    </row>
    <row r="129" spans="2:18" s="906" customFormat="1">
      <c r="B129" s="2717"/>
      <c r="C129" s="2717"/>
      <c r="D129" s="2717"/>
      <c r="E129" s="2717"/>
      <c r="F129" s="2717"/>
      <c r="G129" s="2718"/>
      <c r="H129" s="2717"/>
      <c r="I129" s="2718"/>
      <c r="J129" s="2717"/>
      <c r="K129" s="2717"/>
      <c r="L129" s="2718"/>
      <c r="M129" s="2717"/>
      <c r="N129" s="2717"/>
      <c r="O129" s="2718"/>
      <c r="P129" s="2717"/>
      <c r="Q129" s="2717"/>
      <c r="R129" s="2719"/>
    </row>
    <row r="130" spans="2:18" s="906" customFormat="1">
      <c r="B130" s="2717"/>
      <c r="C130" s="2717"/>
      <c r="D130" s="2717"/>
      <c r="E130" s="2717"/>
      <c r="F130" s="2717"/>
      <c r="G130" s="2718"/>
      <c r="H130" s="2717"/>
      <c r="I130" s="2718"/>
      <c r="J130" s="2717"/>
      <c r="K130" s="2717"/>
      <c r="L130" s="2718"/>
      <c r="M130" s="2717"/>
      <c r="N130" s="2717"/>
      <c r="O130" s="2718"/>
      <c r="P130" s="2717"/>
      <c r="Q130" s="2717"/>
      <c r="R130" s="2719"/>
    </row>
    <row r="131" spans="2:18" s="906" customFormat="1">
      <c r="B131" s="2717"/>
      <c r="C131" s="2717"/>
      <c r="D131" s="2717"/>
      <c r="E131" s="2717"/>
      <c r="F131" s="2717"/>
      <c r="G131" s="2718"/>
      <c r="H131" s="2717"/>
      <c r="I131" s="2718"/>
      <c r="J131" s="2717"/>
      <c r="K131" s="2717"/>
      <c r="L131" s="2718"/>
      <c r="M131" s="2717"/>
      <c r="N131" s="2717"/>
      <c r="O131" s="2718"/>
      <c r="P131" s="2717"/>
      <c r="Q131" s="2717"/>
      <c r="R131" s="2719"/>
    </row>
    <row r="132" spans="2:18" s="906" customFormat="1">
      <c r="B132" s="2717"/>
      <c r="C132" s="2717"/>
      <c r="D132" s="2717"/>
      <c r="E132" s="2717"/>
      <c r="F132" s="2717"/>
      <c r="G132" s="2718"/>
      <c r="H132" s="2717"/>
      <c r="I132" s="2718"/>
      <c r="J132" s="2717"/>
      <c r="K132" s="2717"/>
      <c r="L132" s="2718"/>
      <c r="M132" s="2717"/>
      <c r="N132" s="2717"/>
      <c r="O132" s="2718"/>
      <c r="P132" s="2717"/>
      <c r="Q132" s="2717"/>
      <c r="R132" s="2719"/>
    </row>
    <row r="133" spans="2:18" s="906" customFormat="1">
      <c r="B133" s="2717"/>
      <c r="C133" s="2717"/>
      <c r="D133" s="2717"/>
      <c r="E133" s="2717"/>
      <c r="F133" s="2717"/>
      <c r="G133" s="2718"/>
      <c r="H133" s="2717"/>
      <c r="I133" s="2718"/>
      <c r="J133" s="2717"/>
      <c r="K133" s="2717"/>
      <c r="L133" s="2718"/>
      <c r="M133" s="2717"/>
      <c r="N133" s="2717"/>
      <c r="O133" s="2718"/>
      <c r="P133" s="2717"/>
      <c r="Q133" s="2717"/>
      <c r="R133" s="2719"/>
    </row>
    <row r="134" spans="2:18" s="906" customFormat="1">
      <c r="B134" s="2717"/>
      <c r="C134" s="2717"/>
      <c r="D134" s="2717"/>
      <c r="E134" s="2717"/>
      <c r="F134" s="2717"/>
      <c r="G134" s="2718"/>
      <c r="H134" s="2717"/>
      <c r="I134" s="2718"/>
      <c r="J134" s="2717"/>
      <c r="K134" s="2717"/>
      <c r="L134" s="2718"/>
      <c r="M134" s="2717"/>
      <c r="N134" s="2717"/>
      <c r="O134" s="2718"/>
      <c r="P134" s="2717"/>
      <c r="Q134" s="2717"/>
      <c r="R134" s="2719"/>
    </row>
    <row r="135" spans="2:18" s="906" customFormat="1">
      <c r="B135" s="2717"/>
      <c r="C135" s="2717"/>
      <c r="D135" s="2717"/>
      <c r="E135" s="2717"/>
      <c r="F135" s="2717"/>
      <c r="G135" s="2718"/>
      <c r="H135" s="2717"/>
      <c r="I135" s="2718"/>
      <c r="J135" s="2717"/>
      <c r="K135" s="2717"/>
      <c r="L135" s="2718"/>
      <c r="M135" s="2717"/>
      <c r="N135" s="2717"/>
      <c r="O135" s="2718"/>
      <c r="P135" s="2717"/>
      <c r="Q135" s="2717"/>
      <c r="R135" s="2719"/>
    </row>
    <row r="136" spans="2:18" s="906" customFormat="1">
      <c r="B136" s="2717"/>
      <c r="C136" s="2717"/>
      <c r="D136" s="2717"/>
      <c r="E136" s="2717"/>
      <c r="F136" s="2717"/>
      <c r="G136" s="2718"/>
      <c r="H136" s="2717"/>
      <c r="I136" s="2718"/>
      <c r="J136" s="2717"/>
      <c r="K136" s="2717"/>
      <c r="L136" s="2718"/>
      <c r="M136" s="2717"/>
      <c r="N136" s="2717"/>
      <c r="O136" s="2718"/>
      <c r="P136" s="2717"/>
      <c r="Q136" s="2717"/>
      <c r="R136" s="2719"/>
    </row>
    <row r="137" spans="2:18" s="906" customFormat="1">
      <c r="B137" s="2717"/>
      <c r="C137" s="2717"/>
      <c r="D137" s="2717"/>
      <c r="E137" s="2717"/>
      <c r="F137" s="2717"/>
      <c r="G137" s="2718"/>
      <c r="H137" s="2717"/>
      <c r="I137" s="2718"/>
      <c r="J137" s="2717"/>
      <c r="K137" s="2717"/>
      <c r="L137" s="2718"/>
      <c r="M137" s="2717"/>
      <c r="N137" s="2717"/>
      <c r="O137" s="2718"/>
      <c r="P137" s="2717"/>
      <c r="Q137" s="2717"/>
      <c r="R137" s="2719"/>
    </row>
    <row r="138" spans="2:18" s="906" customFormat="1">
      <c r="B138" s="2717"/>
      <c r="C138" s="2717"/>
      <c r="D138" s="2717"/>
      <c r="E138" s="2717"/>
      <c r="F138" s="2717"/>
      <c r="G138" s="2718"/>
      <c r="H138" s="2717"/>
      <c r="I138" s="2718"/>
      <c r="J138" s="2717"/>
      <c r="K138" s="2717"/>
      <c r="L138" s="2718"/>
      <c r="M138" s="2717"/>
      <c r="N138" s="2717"/>
      <c r="O138" s="2718"/>
      <c r="P138" s="2717"/>
      <c r="Q138" s="2717"/>
      <c r="R138" s="2719"/>
    </row>
    <row r="139" spans="2:18" s="906" customFormat="1">
      <c r="B139" s="2717"/>
      <c r="C139" s="2717"/>
      <c r="D139" s="2717"/>
      <c r="E139" s="2717"/>
      <c r="F139" s="2717"/>
      <c r="G139" s="2718"/>
      <c r="H139" s="2717"/>
      <c r="I139" s="2718"/>
      <c r="J139" s="2717"/>
      <c r="K139" s="2717"/>
      <c r="L139" s="2718"/>
      <c r="M139" s="2717"/>
      <c r="N139" s="2717"/>
      <c r="O139" s="2718"/>
      <c r="P139" s="2717"/>
      <c r="Q139" s="2717"/>
      <c r="R139" s="2719"/>
    </row>
    <row r="140" spans="2:18" s="906" customFormat="1">
      <c r="B140" s="2717"/>
      <c r="C140" s="2717"/>
      <c r="D140" s="2717"/>
      <c r="E140" s="2717"/>
      <c r="F140" s="2717"/>
      <c r="G140" s="2718"/>
      <c r="H140" s="2717"/>
      <c r="I140" s="2718"/>
      <c r="J140" s="2717"/>
      <c r="K140" s="2717"/>
      <c r="L140" s="2718"/>
      <c r="M140" s="2717"/>
      <c r="N140" s="2717"/>
      <c r="O140" s="2718"/>
      <c r="P140" s="2717"/>
      <c r="Q140" s="2717"/>
      <c r="R140" s="2719"/>
    </row>
    <row r="141" spans="2:18" s="906" customFormat="1">
      <c r="B141" s="2717"/>
      <c r="C141" s="2717"/>
      <c r="D141" s="2717"/>
      <c r="E141" s="2717"/>
      <c r="F141" s="2717"/>
      <c r="G141" s="2718"/>
      <c r="H141" s="2717"/>
      <c r="I141" s="2718"/>
      <c r="J141" s="2717"/>
      <c r="K141" s="2717"/>
      <c r="L141" s="2718"/>
      <c r="M141" s="2717"/>
      <c r="N141" s="2717"/>
      <c r="O141" s="2718"/>
      <c r="P141" s="2717"/>
      <c r="Q141" s="2717"/>
      <c r="R141" s="2719"/>
    </row>
    <row r="142" spans="2:18" s="906" customFormat="1">
      <c r="B142" s="2717"/>
      <c r="C142" s="2717"/>
      <c r="D142" s="2717"/>
      <c r="E142" s="2717"/>
      <c r="F142" s="2717"/>
      <c r="G142" s="2718"/>
      <c r="H142" s="2717"/>
      <c r="I142" s="2718"/>
      <c r="J142" s="2717"/>
      <c r="K142" s="2717"/>
      <c r="L142" s="2718"/>
      <c r="M142" s="2717"/>
      <c r="N142" s="2717"/>
      <c r="O142" s="2718"/>
      <c r="P142" s="2717"/>
      <c r="Q142" s="2717"/>
      <c r="R142" s="2719"/>
    </row>
    <row r="143" spans="2:18" s="906" customFormat="1">
      <c r="B143" s="2717"/>
      <c r="C143" s="2717"/>
      <c r="D143" s="2717"/>
      <c r="E143" s="2717"/>
      <c r="F143" s="2717"/>
      <c r="G143" s="2718"/>
      <c r="H143" s="2717"/>
      <c r="I143" s="2718"/>
      <c r="J143" s="2717"/>
      <c r="K143" s="2717"/>
      <c r="L143" s="2718"/>
      <c r="M143" s="2717"/>
      <c r="N143" s="2717"/>
      <c r="O143" s="2718"/>
      <c r="P143" s="2717"/>
      <c r="Q143" s="2717"/>
      <c r="R143" s="2719"/>
    </row>
    <row r="144" spans="2:18" s="906" customFormat="1">
      <c r="B144" s="2717"/>
      <c r="C144" s="2717"/>
      <c r="D144" s="2717"/>
      <c r="E144" s="2717"/>
      <c r="F144" s="2717"/>
      <c r="G144" s="2718"/>
      <c r="H144" s="2717"/>
      <c r="I144" s="2718"/>
      <c r="J144" s="2717"/>
      <c r="K144" s="2717"/>
      <c r="L144" s="2718"/>
      <c r="M144" s="2717"/>
      <c r="N144" s="2717"/>
      <c r="O144" s="2718"/>
      <c r="P144" s="2717"/>
      <c r="Q144" s="2717"/>
      <c r="R144" s="2719"/>
    </row>
    <row r="145" spans="2:18" s="906" customFormat="1">
      <c r="B145" s="2717"/>
      <c r="C145" s="2717"/>
      <c r="D145" s="2717"/>
      <c r="E145" s="2717"/>
      <c r="F145" s="2717"/>
      <c r="G145" s="2718"/>
      <c r="H145" s="2717"/>
      <c r="I145" s="2718"/>
      <c r="J145" s="2717"/>
      <c r="K145" s="2717"/>
      <c r="L145" s="2718"/>
      <c r="M145" s="2717"/>
      <c r="N145" s="2717"/>
      <c r="O145" s="2718"/>
      <c r="P145" s="2717"/>
      <c r="Q145" s="2717"/>
      <c r="R145" s="2719"/>
    </row>
    <row r="146" spans="2:18" s="906" customFormat="1">
      <c r="B146" s="2717"/>
      <c r="C146" s="2717"/>
      <c r="D146" s="2717"/>
      <c r="E146" s="2717"/>
      <c r="F146" s="2717"/>
      <c r="G146" s="2718"/>
      <c r="H146" s="2717"/>
      <c r="I146" s="2718"/>
      <c r="J146" s="2717"/>
      <c r="K146" s="2717"/>
      <c r="L146" s="2718"/>
      <c r="M146" s="2717"/>
      <c r="N146" s="2717"/>
      <c r="O146" s="2718"/>
      <c r="P146" s="2717"/>
      <c r="Q146" s="2717"/>
      <c r="R146" s="2719"/>
    </row>
    <row r="147" spans="2:18" s="906" customFormat="1">
      <c r="B147" s="2717"/>
      <c r="C147" s="2717"/>
      <c r="D147" s="2717"/>
      <c r="E147" s="2717"/>
      <c r="F147" s="2717"/>
      <c r="G147" s="2718"/>
      <c r="H147" s="2717"/>
      <c r="I147" s="2718"/>
      <c r="J147" s="2717"/>
      <c r="K147" s="2717"/>
      <c r="L147" s="2718"/>
      <c r="M147" s="2717"/>
      <c r="N147" s="2717"/>
      <c r="O147" s="2718"/>
      <c r="P147" s="2717"/>
      <c r="Q147" s="2717"/>
      <c r="R147" s="2719"/>
    </row>
    <row r="148" spans="2:18" s="906" customFormat="1">
      <c r="B148" s="2717"/>
      <c r="C148" s="2717"/>
      <c r="D148" s="2717"/>
      <c r="E148" s="2717"/>
      <c r="F148" s="2717"/>
      <c r="G148" s="2718"/>
      <c r="H148" s="2717"/>
      <c r="I148" s="2718"/>
      <c r="J148" s="2717"/>
      <c r="K148" s="2717"/>
      <c r="L148" s="2718"/>
      <c r="M148" s="2717"/>
      <c r="N148" s="2717"/>
      <c r="O148" s="2718"/>
      <c r="P148" s="2717"/>
      <c r="Q148" s="2717"/>
      <c r="R148" s="2719"/>
    </row>
    <row r="149" spans="2:18" s="906" customFormat="1">
      <c r="B149" s="2717"/>
      <c r="C149" s="2717"/>
      <c r="D149" s="2717"/>
      <c r="E149" s="2717"/>
      <c r="F149" s="2717"/>
      <c r="G149" s="2718"/>
      <c r="H149" s="2717"/>
      <c r="I149" s="2718"/>
      <c r="J149" s="2717"/>
      <c r="K149" s="2717"/>
      <c r="L149" s="2718"/>
      <c r="M149" s="2717"/>
      <c r="N149" s="2717"/>
      <c r="O149" s="2718"/>
      <c r="P149" s="2717"/>
      <c r="Q149" s="2717"/>
      <c r="R149" s="2719"/>
    </row>
    <row r="150" spans="2:18" s="906" customFormat="1">
      <c r="B150" s="2717"/>
      <c r="C150" s="2717"/>
      <c r="D150" s="2717"/>
      <c r="E150" s="2717"/>
      <c r="F150" s="2717"/>
      <c r="G150" s="2718"/>
      <c r="H150" s="2717"/>
      <c r="I150" s="2718"/>
      <c r="J150" s="2717"/>
      <c r="K150" s="2717"/>
      <c r="L150" s="2718"/>
      <c r="M150" s="2717"/>
      <c r="N150" s="2717"/>
      <c r="O150" s="2718"/>
      <c r="P150" s="2717"/>
      <c r="Q150" s="2717"/>
      <c r="R150" s="2719"/>
    </row>
    <row r="151" spans="2:18" s="906" customFormat="1">
      <c r="B151" s="2717"/>
      <c r="C151" s="2717"/>
      <c r="D151" s="2717"/>
      <c r="E151" s="2717"/>
      <c r="F151" s="2717"/>
      <c r="G151" s="2718"/>
      <c r="H151" s="2717"/>
      <c r="I151" s="2718"/>
      <c r="J151" s="2717"/>
      <c r="K151" s="2717"/>
      <c r="L151" s="2718"/>
      <c r="M151" s="2717"/>
      <c r="N151" s="2717"/>
      <c r="O151" s="2718"/>
      <c r="P151" s="2717"/>
      <c r="Q151" s="2717"/>
      <c r="R151" s="2719"/>
    </row>
    <row r="152" spans="2:18" s="906" customFormat="1">
      <c r="B152" s="2717"/>
      <c r="C152" s="2717"/>
      <c r="D152" s="2717"/>
      <c r="E152" s="2717"/>
      <c r="F152" s="2717"/>
      <c r="G152" s="2718"/>
      <c r="H152" s="2717"/>
      <c r="I152" s="2718"/>
      <c r="J152" s="2717"/>
      <c r="K152" s="2717"/>
      <c r="L152" s="2718"/>
      <c r="M152" s="2717"/>
      <c r="N152" s="2717"/>
      <c r="O152" s="2718"/>
      <c r="P152" s="2717"/>
      <c r="Q152" s="2717"/>
      <c r="R152" s="2719"/>
    </row>
    <row r="153" spans="2:18" s="906" customFormat="1">
      <c r="B153" s="2717"/>
      <c r="C153" s="2717"/>
      <c r="D153" s="2717"/>
      <c r="E153" s="2717"/>
      <c r="F153" s="2717"/>
      <c r="G153" s="2718"/>
      <c r="H153" s="2717"/>
      <c r="I153" s="2718"/>
      <c r="J153" s="2717"/>
      <c r="K153" s="2717"/>
      <c r="L153" s="2718"/>
      <c r="M153" s="2717"/>
      <c r="N153" s="2717"/>
      <c r="O153" s="2718"/>
      <c r="P153" s="2717"/>
      <c r="Q153" s="2717"/>
      <c r="R153" s="2719"/>
    </row>
    <row r="154" spans="2:18" s="906" customFormat="1">
      <c r="B154" s="2717"/>
      <c r="C154" s="2717"/>
      <c r="D154" s="2717"/>
      <c r="E154" s="2717"/>
      <c r="F154" s="2717"/>
      <c r="G154" s="2718"/>
      <c r="H154" s="2717"/>
      <c r="I154" s="2718"/>
      <c r="J154" s="2717"/>
      <c r="K154" s="2717"/>
      <c r="L154" s="2718"/>
      <c r="M154" s="2717"/>
      <c r="N154" s="2717"/>
      <c r="O154" s="2718"/>
      <c r="P154" s="2717"/>
      <c r="Q154" s="2717"/>
      <c r="R154" s="2719"/>
    </row>
    <row r="155" spans="2:18" s="906" customFormat="1">
      <c r="B155" s="2717"/>
      <c r="C155" s="2717"/>
      <c r="D155" s="2717"/>
      <c r="E155" s="2717"/>
      <c r="F155" s="2717"/>
      <c r="G155" s="2718"/>
      <c r="H155" s="2717"/>
      <c r="I155" s="2718"/>
      <c r="J155" s="2717"/>
      <c r="K155" s="2717"/>
      <c r="L155" s="2718"/>
      <c r="M155" s="2717"/>
      <c r="N155" s="2717"/>
      <c r="O155" s="2718"/>
      <c r="P155" s="2717"/>
      <c r="Q155" s="2717"/>
      <c r="R155" s="2719"/>
    </row>
    <row r="156" spans="2:18" s="906" customFormat="1">
      <c r="B156" s="2717"/>
      <c r="C156" s="2717"/>
      <c r="D156" s="2717"/>
      <c r="E156" s="2717"/>
      <c r="F156" s="2717"/>
      <c r="G156" s="2718"/>
      <c r="H156" s="2717"/>
      <c r="I156" s="2718"/>
      <c r="J156" s="2717"/>
      <c r="K156" s="2717"/>
      <c r="L156" s="2718"/>
      <c r="M156" s="2717"/>
      <c r="N156" s="2717"/>
      <c r="O156" s="2718"/>
      <c r="P156" s="2717"/>
      <c r="Q156" s="2717"/>
      <c r="R156" s="2719"/>
    </row>
    <row r="157" spans="2:18" s="906" customFormat="1">
      <c r="B157" s="2717"/>
      <c r="C157" s="2717"/>
      <c r="D157" s="2717"/>
      <c r="E157" s="2717"/>
      <c r="F157" s="2717"/>
      <c r="G157" s="2718"/>
      <c r="H157" s="2717"/>
      <c r="I157" s="2718"/>
      <c r="J157" s="2717"/>
      <c r="K157" s="2717"/>
      <c r="L157" s="2718"/>
      <c r="M157" s="2717"/>
      <c r="N157" s="2717"/>
      <c r="O157" s="2718"/>
      <c r="P157" s="2717"/>
      <c r="Q157" s="2717"/>
      <c r="R157" s="2719"/>
    </row>
    <row r="158" spans="2:18" s="906" customFormat="1">
      <c r="B158" s="2717"/>
      <c r="C158" s="2717"/>
      <c r="D158" s="2717"/>
      <c r="E158" s="2717"/>
      <c r="F158" s="2717"/>
      <c r="G158" s="2718"/>
      <c r="H158" s="2717"/>
      <c r="I158" s="2718"/>
      <c r="J158" s="2717"/>
      <c r="K158" s="2717"/>
      <c r="L158" s="2718"/>
      <c r="M158" s="2717"/>
      <c r="N158" s="2717"/>
      <c r="O158" s="2718"/>
      <c r="P158" s="2717"/>
      <c r="Q158" s="2717"/>
      <c r="R158" s="2719"/>
    </row>
    <row r="159" spans="2:18" s="906" customFormat="1">
      <c r="B159" s="2717"/>
      <c r="C159" s="2717"/>
      <c r="D159" s="2717"/>
      <c r="E159" s="2717"/>
      <c r="F159" s="2717"/>
      <c r="G159" s="2718"/>
      <c r="H159" s="2717"/>
      <c r="I159" s="2718"/>
      <c r="J159" s="2717"/>
      <c r="K159" s="2717"/>
      <c r="L159" s="2718"/>
      <c r="M159" s="2717"/>
      <c r="N159" s="2717"/>
      <c r="O159" s="2718"/>
      <c r="P159" s="2717"/>
      <c r="Q159" s="2717"/>
      <c r="R159" s="2719"/>
    </row>
    <row r="160" spans="2:18" s="906" customFormat="1">
      <c r="B160" s="2717"/>
      <c r="C160" s="2717"/>
      <c r="D160" s="2717"/>
      <c r="E160" s="2717"/>
      <c r="F160" s="2717"/>
      <c r="G160" s="2718"/>
      <c r="H160" s="2717"/>
      <c r="I160" s="2718"/>
      <c r="J160" s="2717"/>
      <c r="K160" s="2717"/>
      <c r="L160" s="2718"/>
      <c r="M160" s="2717"/>
      <c r="N160" s="2717"/>
      <c r="O160" s="2718"/>
      <c r="P160" s="2717"/>
      <c r="Q160" s="2717"/>
      <c r="R160" s="2719"/>
    </row>
    <row r="161" spans="2:18" s="906" customFormat="1">
      <c r="B161" s="2717"/>
      <c r="C161" s="2717"/>
      <c r="D161" s="2717"/>
      <c r="E161" s="2717"/>
      <c r="F161" s="2717"/>
      <c r="G161" s="2718"/>
      <c r="H161" s="2717"/>
      <c r="I161" s="2718"/>
      <c r="J161" s="2717"/>
      <c r="K161" s="2717"/>
      <c r="L161" s="2718"/>
      <c r="M161" s="2717"/>
      <c r="N161" s="2717"/>
      <c r="O161" s="2718"/>
      <c r="P161" s="2717"/>
      <c r="Q161" s="2717"/>
      <c r="R161" s="2719"/>
    </row>
    <row r="162" spans="2:18" s="906" customFormat="1">
      <c r="B162" s="2717"/>
      <c r="C162" s="2717"/>
      <c r="D162" s="2717"/>
      <c r="E162" s="2717"/>
      <c r="F162" s="2717"/>
      <c r="G162" s="2718"/>
      <c r="H162" s="2717"/>
      <c r="I162" s="2718"/>
      <c r="J162" s="2717"/>
      <c r="K162" s="2717"/>
      <c r="L162" s="2718"/>
      <c r="M162" s="2717"/>
      <c r="N162" s="2717"/>
      <c r="O162" s="2718"/>
      <c r="P162" s="2717"/>
      <c r="Q162" s="2717"/>
      <c r="R162" s="2719"/>
    </row>
    <row r="163" spans="2:18" s="906" customFormat="1">
      <c r="B163" s="2717"/>
      <c r="C163" s="2717"/>
      <c r="D163" s="2717"/>
      <c r="E163" s="2717"/>
      <c r="F163" s="2717"/>
      <c r="G163" s="2718"/>
      <c r="H163" s="2717"/>
      <c r="I163" s="2718"/>
      <c r="J163" s="2717"/>
      <c r="K163" s="2717"/>
      <c r="L163" s="2718"/>
      <c r="M163" s="2717"/>
      <c r="N163" s="2717"/>
      <c r="O163" s="2718"/>
      <c r="P163" s="2717"/>
      <c r="Q163" s="2717"/>
      <c r="R163" s="2719"/>
    </row>
    <row r="164" spans="2:18" s="906" customFormat="1">
      <c r="B164" s="2717"/>
      <c r="C164" s="2717"/>
      <c r="D164" s="2717"/>
      <c r="E164" s="2717"/>
      <c r="F164" s="2717"/>
      <c r="G164" s="2718"/>
      <c r="H164" s="2717"/>
      <c r="I164" s="2718"/>
      <c r="J164" s="2717"/>
      <c r="K164" s="2717"/>
      <c r="L164" s="2718"/>
      <c r="M164" s="2717"/>
      <c r="N164" s="2717"/>
      <c r="O164" s="2718"/>
      <c r="P164" s="2717"/>
      <c r="Q164" s="2717"/>
      <c r="R164" s="2719"/>
    </row>
    <row r="165" spans="2:18" s="906" customFormat="1">
      <c r="B165" s="2717"/>
      <c r="C165" s="2717"/>
      <c r="D165" s="2717"/>
      <c r="E165" s="2717"/>
      <c r="F165" s="2717"/>
      <c r="G165" s="2718"/>
      <c r="H165" s="2717"/>
      <c r="I165" s="2718"/>
      <c r="J165" s="2717"/>
      <c r="K165" s="2717"/>
      <c r="L165" s="2718"/>
      <c r="M165" s="2717"/>
      <c r="N165" s="2717"/>
      <c r="O165" s="2718"/>
      <c r="P165" s="2717"/>
      <c r="Q165" s="2717"/>
      <c r="R165" s="2719"/>
    </row>
    <row r="166" spans="2:18" s="906" customFormat="1">
      <c r="B166" s="2717"/>
      <c r="C166" s="2717"/>
      <c r="D166" s="2717"/>
      <c r="E166" s="2717"/>
      <c r="F166" s="2717"/>
      <c r="G166" s="2718"/>
      <c r="H166" s="2717"/>
      <c r="I166" s="2718"/>
      <c r="J166" s="2717"/>
      <c r="K166" s="2717"/>
      <c r="L166" s="2718"/>
      <c r="M166" s="2717"/>
      <c r="N166" s="2717"/>
      <c r="O166" s="2718"/>
      <c r="P166" s="2717"/>
      <c r="Q166" s="2717"/>
      <c r="R166" s="2719"/>
    </row>
    <row r="167" spans="2:18" s="906" customFormat="1">
      <c r="B167" s="2717"/>
      <c r="C167" s="2717"/>
      <c r="D167" s="2717"/>
      <c r="E167" s="2717"/>
      <c r="F167" s="2717"/>
      <c r="G167" s="2718"/>
      <c r="H167" s="2717"/>
      <c r="I167" s="2718"/>
      <c r="J167" s="2717"/>
      <c r="K167" s="2717"/>
      <c r="L167" s="2718"/>
      <c r="M167" s="2717"/>
      <c r="N167" s="2717"/>
      <c r="O167" s="2718"/>
      <c r="P167" s="2717"/>
      <c r="Q167" s="2717"/>
      <c r="R167" s="2719"/>
    </row>
    <row r="168" spans="2:18" s="906" customFormat="1">
      <c r="B168" s="2717"/>
      <c r="C168" s="2717"/>
      <c r="D168" s="2717"/>
      <c r="E168" s="2717"/>
      <c r="F168" s="2717"/>
      <c r="G168" s="2718"/>
      <c r="H168" s="2717"/>
      <c r="I168" s="2718"/>
      <c r="J168" s="2717"/>
      <c r="K168" s="2717"/>
      <c r="L168" s="2718"/>
      <c r="M168" s="2717"/>
      <c r="N168" s="2717"/>
      <c r="O168" s="2718"/>
      <c r="P168" s="2717"/>
      <c r="Q168" s="2717"/>
      <c r="R168" s="2719"/>
    </row>
    <row r="169" spans="2:18" s="906" customFormat="1">
      <c r="B169" s="2717"/>
      <c r="C169" s="2717"/>
      <c r="D169" s="2717"/>
      <c r="E169" s="2717"/>
      <c r="F169" s="2717"/>
      <c r="G169" s="2718"/>
      <c r="H169" s="2717"/>
      <c r="I169" s="2718"/>
      <c r="J169" s="2717"/>
      <c r="K169" s="2717"/>
      <c r="L169" s="2718"/>
      <c r="M169" s="2717"/>
      <c r="N169" s="2717"/>
      <c r="O169" s="2718"/>
      <c r="P169" s="2717"/>
      <c r="Q169" s="2717"/>
      <c r="R169" s="2719"/>
    </row>
    <row r="170" spans="2:18" s="906" customFormat="1">
      <c r="B170" s="2717"/>
      <c r="C170" s="2717"/>
      <c r="D170" s="2717"/>
      <c r="E170" s="2717"/>
      <c r="F170" s="2717"/>
      <c r="G170" s="2718"/>
      <c r="H170" s="2717"/>
      <c r="I170" s="2718"/>
      <c r="J170" s="2717"/>
      <c r="K170" s="2717"/>
      <c r="L170" s="2718"/>
      <c r="M170" s="2717"/>
      <c r="N170" s="2717"/>
      <c r="O170" s="2718"/>
      <c r="P170" s="2717"/>
      <c r="Q170" s="2717"/>
      <c r="R170" s="2719"/>
    </row>
    <row r="171" spans="2:18" s="906" customFormat="1">
      <c r="B171" s="2717"/>
      <c r="C171" s="2717"/>
      <c r="D171" s="2717"/>
      <c r="E171" s="2717"/>
      <c r="F171" s="2717"/>
      <c r="G171" s="2718"/>
      <c r="H171" s="2717"/>
      <c r="I171" s="2718"/>
      <c r="J171" s="2717"/>
      <c r="K171" s="2717"/>
      <c r="L171" s="2718"/>
      <c r="M171" s="2717"/>
      <c r="N171" s="2717"/>
      <c r="O171" s="2718"/>
      <c r="P171" s="2717"/>
      <c r="Q171" s="2717"/>
      <c r="R171" s="2719"/>
    </row>
    <row r="172" spans="2:18" s="906" customFormat="1">
      <c r="B172" s="2717"/>
      <c r="C172" s="2717"/>
      <c r="D172" s="2717"/>
      <c r="E172" s="2717"/>
      <c r="F172" s="2717"/>
      <c r="G172" s="2718"/>
      <c r="H172" s="2717"/>
      <c r="I172" s="2718"/>
      <c r="J172" s="2717"/>
      <c r="K172" s="2717"/>
      <c r="L172" s="2718"/>
      <c r="M172" s="2717"/>
      <c r="N172" s="2717"/>
      <c r="O172" s="2718"/>
      <c r="P172" s="2717"/>
      <c r="Q172" s="2717"/>
      <c r="R172" s="2719"/>
    </row>
    <row r="173" spans="2:18" s="906" customFormat="1">
      <c r="B173" s="2717"/>
      <c r="C173" s="2717"/>
      <c r="D173" s="2717"/>
      <c r="E173" s="2717"/>
      <c r="F173" s="2717"/>
      <c r="G173" s="2718"/>
      <c r="H173" s="2717"/>
      <c r="I173" s="2718"/>
      <c r="J173" s="2717"/>
      <c r="K173" s="2717"/>
      <c r="L173" s="2718"/>
      <c r="M173" s="2717"/>
      <c r="N173" s="2717"/>
      <c r="O173" s="2718"/>
      <c r="P173" s="2717"/>
      <c r="Q173" s="2717"/>
      <c r="R173" s="2719"/>
    </row>
    <row r="174" spans="2:18" s="906" customFormat="1">
      <c r="B174" s="2717"/>
      <c r="C174" s="2717"/>
      <c r="D174" s="2717"/>
      <c r="E174" s="2717"/>
      <c r="F174" s="2717"/>
      <c r="G174" s="2718"/>
      <c r="H174" s="2717"/>
      <c r="I174" s="2718"/>
      <c r="J174" s="2717"/>
      <c r="K174" s="2717"/>
      <c r="L174" s="2718"/>
      <c r="M174" s="2717"/>
      <c r="N174" s="2717"/>
      <c r="O174" s="2718"/>
      <c r="P174" s="2717"/>
      <c r="Q174" s="2717"/>
      <c r="R174" s="2719"/>
    </row>
    <row r="175" spans="2:18" s="906" customFormat="1">
      <c r="B175" s="2717"/>
      <c r="C175" s="2717"/>
      <c r="D175" s="2717"/>
      <c r="E175" s="2717"/>
      <c r="F175" s="2717"/>
      <c r="G175" s="2718"/>
      <c r="H175" s="2717"/>
      <c r="I175" s="2718"/>
      <c r="J175" s="2717"/>
      <c r="K175" s="2717"/>
      <c r="L175" s="2718"/>
      <c r="M175" s="2717"/>
      <c r="N175" s="2717"/>
      <c r="O175" s="2718"/>
      <c r="P175" s="2717"/>
      <c r="Q175" s="2717"/>
      <c r="R175" s="2719"/>
    </row>
    <row r="176" spans="2:18" s="906" customFormat="1">
      <c r="B176" s="2717"/>
      <c r="C176" s="2717"/>
      <c r="D176" s="2717"/>
      <c r="E176" s="2717"/>
      <c r="F176" s="2717"/>
      <c r="G176" s="2718"/>
      <c r="H176" s="2717"/>
      <c r="I176" s="2718"/>
      <c r="J176" s="2717"/>
      <c r="K176" s="2717"/>
      <c r="L176" s="2718"/>
      <c r="M176" s="2717"/>
      <c r="N176" s="2717"/>
      <c r="O176" s="2718"/>
      <c r="P176" s="2717"/>
      <c r="Q176" s="2717"/>
      <c r="R176" s="2719"/>
    </row>
    <row r="177" spans="1:18" s="906" customFormat="1">
      <c r="B177" s="2717"/>
      <c r="C177" s="2717"/>
      <c r="D177" s="2717"/>
      <c r="E177" s="2717"/>
      <c r="F177" s="2717"/>
      <c r="G177" s="2718"/>
      <c r="H177" s="2717"/>
      <c r="I177" s="2718"/>
      <c r="J177" s="2717"/>
      <c r="K177" s="2717"/>
      <c r="L177" s="2718"/>
      <c r="M177" s="2717"/>
      <c r="N177" s="2717"/>
      <c r="O177" s="2718"/>
      <c r="P177" s="2717"/>
      <c r="Q177" s="2717"/>
      <c r="R177" s="2719"/>
    </row>
    <row r="178" spans="1:18" s="906" customFormat="1">
      <c r="B178" s="2717"/>
      <c r="C178" s="2717"/>
      <c r="D178" s="2717"/>
      <c r="E178" s="2717"/>
      <c r="F178" s="2717"/>
      <c r="G178" s="2718"/>
      <c r="H178" s="2717"/>
      <c r="I178" s="2718"/>
      <c r="J178" s="2717"/>
      <c r="K178" s="2717"/>
      <c r="L178" s="2718"/>
      <c r="M178" s="2717"/>
      <c r="N178" s="2717"/>
      <c r="O178" s="2718"/>
      <c r="P178" s="2717"/>
      <c r="Q178" s="2717"/>
      <c r="R178" s="2719"/>
    </row>
    <row r="179" spans="1:18" s="906" customFormat="1">
      <c r="B179" s="2717"/>
      <c r="C179" s="2717"/>
      <c r="D179" s="2717"/>
      <c r="E179" s="2717"/>
      <c r="F179" s="2717"/>
      <c r="G179" s="2718"/>
      <c r="H179" s="2717"/>
      <c r="I179" s="2718"/>
      <c r="J179" s="2717"/>
      <c r="K179" s="2717"/>
      <c r="L179" s="2718"/>
      <c r="M179" s="2717"/>
      <c r="N179" s="2717"/>
      <c r="O179" s="2718"/>
      <c r="P179" s="2717"/>
      <c r="Q179" s="2717"/>
      <c r="R179" s="2719"/>
    </row>
    <row r="180" spans="1:18" s="906" customFormat="1">
      <c r="B180" s="2717"/>
      <c r="C180" s="2717"/>
      <c r="D180" s="2717"/>
      <c r="E180" s="2717"/>
      <c r="F180" s="2717"/>
      <c r="G180" s="2718"/>
      <c r="H180" s="2717"/>
      <c r="I180" s="2718"/>
      <c r="J180" s="2717"/>
      <c r="K180" s="2717"/>
      <c r="L180" s="2718"/>
      <c r="M180" s="2717"/>
      <c r="N180" s="2717"/>
      <c r="O180" s="2718"/>
      <c r="P180" s="2717"/>
      <c r="Q180" s="2717"/>
      <c r="R180" s="2719"/>
    </row>
    <row r="181" spans="1:18" s="906" customFormat="1">
      <c r="B181" s="2717"/>
      <c r="C181" s="2717"/>
      <c r="D181" s="2717"/>
      <c r="E181" s="2717"/>
      <c r="F181" s="2717"/>
      <c r="G181" s="2718"/>
      <c r="H181" s="2717"/>
      <c r="I181" s="2718"/>
      <c r="J181" s="2717"/>
      <c r="K181" s="2717"/>
      <c r="L181" s="2718"/>
      <c r="M181" s="2717"/>
      <c r="N181" s="2717"/>
      <c r="O181" s="2718"/>
      <c r="P181" s="2717"/>
      <c r="Q181" s="2717"/>
      <c r="R181" s="2719"/>
    </row>
    <row r="182" spans="1:18" s="906" customFormat="1">
      <c r="B182" s="2717"/>
      <c r="C182" s="2717"/>
      <c r="D182" s="2717"/>
      <c r="E182" s="2717"/>
      <c r="F182" s="2717"/>
      <c r="G182" s="2718"/>
      <c r="H182" s="2717"/>
      <c r="I182" s="2718"/>
      <c r="J182" s="2717"/>
      <c r="K182" s="2717"/>
      <c r="L182" s="2718"/>
      <c r="M182" s="2717"/>
      <c r="N182" s="2717"/>
      <c r="O182" s="2718"/>
      <c r="P182" s="2717"/>
      <c r="Q182" s="2717"/>
      <c r="R182" s="2719"/>
    </row>
    <row r="183" spans="1:18" s="906" customFormat="1">
      <c r="B183" s="2717"/>
      <c r="C183" s="2717"/>
      <c r="D183" s="2717"/>
      <c r="E183" s="2717"/>
      <c r="F183" s="2717"/>
      <c r="G183" s="2718"/>
      <c r="H183" s="2717"/>
      <c r="I183" s="2718"/>
      <c r="J183" s="2717"/>
      <c r="K183" s="2717"/>
      <c r="L183" s="2718"/>
      <c r="M183" s="2717"/>
      <c r="N183" s="2717"/>
      <c r="O183" s="2718"/>
      <c r="P183" s="2717"/>
      <c r="Q183" s="2717"/>
      <c r="R183" s="2719"/>
    </row>
    <row r="184" spans="1:18" s="906" customFormat="1">
      <c r="B184" s="2717"/>
      <c r="C184" s="2717"/>
      <c r="D184" s="2717"/>
      <c r="E184" s="2717"/>
      <c r="F184" s="2717"/>
      <c r="G184" s="2718"/>
      <c r="H184" s="2717"/>
      <c r="I184" s="2718"/>
      <c r="J184" s="2717"/>
      <c r="K184" s="2717"/>
      <c r="L184" s="2718"/>
      <c r="M184" s="2717"/>
      <c r="N184" s="2717"/>
      <c r="O184" s="2718"/>
      <c r="P184" s="2717"/>
      <c r="Q184" s="2717"/>
      <c r="R184" s="2719"/>
    </row>
    <row r="185" spans="1:18" s="906"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6"/>
      <c r="B186" s="2717"/>
      <c r="C186" s="2717"/>
      <c r="E186" s="2717"/>
      <c r="F186" s="2717"/>
      <c r="G186" s="2718"/>
    </row>
    <row r="187" spans="1:18">
      <c r="A187" s="906"/>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7" sqref="H37"/>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27960.83</v>
      </c>
      <c r="C1" s="2915"/>
      <c r="D1" s="2915"/>
      <c r="E1" s="2915"/>
      <c r="F1" s="2915"/>
      <c r="G1" s="2916"/>
      <c r="H1" s="2917"/>
      <c r="I1" s="2917"/>
      <c r="J1" s="2917"/>
      <c r="K1" s="2917"/>
    </row>
    <row r="2" spans="1:11" ht="16.5">
      <c r="A2" s="2738" t="s">
        <v>1319</v>
      </c>
      <c r="B2" s="2738">
        <f>SUM(C14:C23)</f>
        <v>24172.12</v>
      </c>
      <c r="C2" s="2915"/>
      <c r="D2" s="2915"/>
      <c r="E2" s="2915"/>
      <c r="F2" s="2915"/>
      <c r="G2" s="2916"/>
      <c r="H2" s="2917"/>
      <c r="I2" s="2917"/>
      <c r="J2" s="2917"/>
      <c r="K2" s="2917"/>
    </row>
    <row r="3" spans="1:11" ht="16.5">
      <c r="A3" s="2738" t="s">
        <v>1328</v>
      </c>
      <c r="B3" s="2740">
        <f>项目基本情况!D3</f>
        <v>44224</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28093</v>
      </c>
      <c r="C5" s="2738">
        <f ca="1">ROUND(B5*10000/$B$1,0)</f>
        <v>10047</v>
      </c>
      <c r="D5" s="2738">
        <f ca="1">ROUND(B5*10000/$B$2,0)</f>
        <v>11622</v>
      </c>
      <c r="E5" s="2915"/>
      <c r="F5" s="2916"/>
      <c r="G5" s="2916"/>
      <c r="H5" s="2917"/>
      <c r="I5" s="2917"/>
      <c r="J5" s="2917"/>
      <c r="K5" s="2917"/>
    </row>
    <row r="6" spans="1:11" ht="16.5">
      <c r="A6" s="2738" t="s">
        <v>1322</v>
      </c>
      <c r="B6" s="2738">
        <f ca="1">SUM(G14:G23)</f>
        <v>28093</v>
      </c>
      <c r="C6" s="2738">
        <f ca="1">ROUND(B6*10000/$B$1,0)</f>
        <v>10047</v>
      </c>
      <c r="D6" s="2738">
        <f ca="1">ROUND(B6*10000/$B$2,0)</f>
        <v>11622</v>
      </c>
      <c r="E6" s="2915"/>
      <c r="F6" s="2916"/>
      <c r="G6" s="2916"/>
      <c r="H6" s="2917"/>
      <c r="I6" s="2917"/>
      <c r="J6" s="2917"/>
      <c r="K6" s="2917"/>
    </row>
    <row r="7" spans="1:11" ht="16.5">
      <c r="A7" s="2738" t="s">
        <v>1330</v>
      </c>
      <c r="B7" s="2738">
        <f>SUM(H14:H23)</f>
        <v>0</v>
      </c>
      <c r="C7" s="2738">
        <f>ROUND(B7*10000/$B$1,0)</f>
        <v>0</v>
      </c>
      <c r="D7" s="2738">
        <f>ROUND(B7*10000/$B$2,0)</f>
        <v>0</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27960.83</v>
      </c>
      <c r="C14" s="2744">
        <f>结果表!C118</f>
        <v>24172.12</v>
      </c>
      <c r="D14" s="2744">
        <f ca="1">结果表!H118</f>
        <v>28093</v>
      </c>
      <c r="E14" s="2744">
        <f ca="1">ROUND(D14*10000/B14,0)</f>
        <v>10047</v>
      </c>
      <c r="F14" s="2744">
        <f ca="1">ROUND(D14*10000/C14,0)</f>
        <v>11622</v>
      </c>
      <c r="G14" s="2744">
        <f ca="1">结果表!D122</f>
        <v>28093</v>
      </c>
      <c r="H14" s="2744" t="str">
        <f>结果表!D124</f>
        <v>——</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Normal="100" zoomScaleSheetLayoutView="100" zoomScalePageLayoutView="80" workbookViewId="0">
      <selection activeCell="D122" sqref="D122:I122"/>
    </sheetView>
  </sheetViews>
  <sheetFormatPr defaultColWidth="12.625" defaultRowHeight="21.75" customHeight="1"/>
  <cols>
    <col min="1" max="2" width="12.625" style="1939"/>
    <col min="3" max="4" width="12.625" style="1939" customWidth="1"/>
    <col min="5" max="9" width="12.625" style="1939"/>
    <col min="10" max="11" width="12.625" style="733" customWidth="1"/>
    <col min="12" max="12" width="12.625" style="733"/>
    <col min="13" max="13" width="14.125" style="733" bestFit="1" customWidth="1"/>
    <col min="14" max="26" width="12.625" style="733"/>
    <col min="27" max="35" width="12.625" style="1938"/>
    <col min="36" max="16384" width="12.625" style="1939"/>
  </cols>
  <sheetData>
    <row r="1" spans="1:12" ht="21.75" customHeight="1" thickBot="1">
      <c r="A1" s="1822" t="s">
        <v>1949</v>
      </c>
      <c r="B1" s="1933"/>
      <c r="C1" s="1934"/>
      <c r="D1" s="1933"/>
      <c r="E1" s="1933"/>
      <c r="F1" s="1935" t="s">
        <v>1950</v>
      </c>
      <c r="G1" s="1746" t="s">
        <v>3075</v>
      </c>
      <c r="H1" s="1936" t="str">
        <f>IF(G1="现房","——","估价对象范围")</f>
        <v>——</v>
      </c>
      <c r="I1" s="1937" t="s">
        <v>3076</v>
      </c>
    </row>
    <row r="2" spans="1:12" ht="21.75" customHeight="1" thickBot="1">
      <c r="A2" s="3229" t="str">
        <f>项目基本情况!S2</f>
        <v>房地产</v>
      </c>
      <c r="B2" s="3230"/>
      <c r="C2" s="3230"/>
      <c r="D2" s="3230"/>
      <c r="E2" s="3230"/>
      <c r="F2" s="3230"/>
      <c r="G2" s="3230"/>
      <c r="H2" s="3230"/>
      <c r="I2" s="3231"/>
    </row>
    <row r="3" spans="1:12" ht="12.75">
      <c r="A3" s="3233" t="s">
        <v>1951</v>
      </c>
      <c r="B3" s="3234"/>
      <c r="C3" s="3234"/>
      <c r="D3" s="3234"/>
      <c r="E3" s="3234"/>
      <c r="F3" s="3234"/>
      <c r="G3" s="3234"/>
      <c r="H3" s="3234"/>
      <c r="I3" s="3234"/>
    </row>
    <row r="4" spans="1:12" ht="14.25">
      <c r="A4" s="1940" t="s">
        <v>1952</v>
      </c>
      <c r="B4" s="1941" t="s">
        <v>1953</v>
      </c>
      <c r="C4" s="1942" t="s">
        <v>3077</v>
      </c>
      <c r="D4" s="1942" t="s">
        <v>3194</v>
      </c>
      <c r="E4" s="3238" t="s">
        <v>1954</v>
      </c>
      <c r="F4" s="3239"/>
      <c r="G4" s="3239"/>
      <c r="H4" s="3239"/>
      <c r="I4" s="324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74" t="s">
        <v>1955</v>
      </c>
      <c r="B5" s="3232">
        <v>25</v>
      </c>
      <c r="C5" s="3235"/>
      <c r="D5" s="3223"/>
      <c r="E5" s="136" t="s">
        <v>1956</v>
      </c>
      <c r="F5" s="1943"/>
      <c r="G5" s="1943"/>
      <c r="H5" s="1943"/>
      <c r="I5" s="1557"/>
    </row>
    <row r="6" spans="1:12" ht="12.75">
      <c r="A6" s="3174"/>
      <c r="B6" s="3232"/>
      <c r="C6" s="3237"/>
      <c r="D6" s="3223"/>
      <c r="E6" s="136" t="s">
        <v>1957</v>
      </c>
      <c r="F6" s="1943"/>
      <c r="G6" s="1943"/>
      <c r="H6" s="1943"/>
      <c r="I6" s="1557"/>
    </row>
    <row r="7" spans="1:12" ht="12.75">
      <c r="A7" s="3174"/>
      <c r="B7" s="3232"/>
      <c r="C7" s="3236"/>
      <c r="D7" s="3223"/>
      <c r="E7" s="136" t="s">
        <v>1958</v>
      </c>
      <c r="F7" s="1943"/>
      <c r="G7" s="1943"/>
      <c r="H7" s="1943"/>
      <c r="I7" s="1557"/>
    </row>
    <row r="8" spans="1:12" ht="12.75">
      <c r="A8" s="3174" t="s">
        <v>1959</v>
      </c>
      <c r="B8" s="3232">
        <v>15</v>
      </c>
      <c r="C8" s="3235"/>
      <c r="D8" s="3223"/>
      <c r="E8" s="136" t="s">
        <v>1960</v>
      </c>
      <c r="F8" s="1943"/>
      <c r="G8" s="1943"/>
      <c r="H8" s="1943"/>
      <c r="I8" s="1557"/>
    </row>
    <row r="9" spans="1:12" ht="12.75">
      <c r="A9" s="3174"/>
      <c r="B9" s="3232"/>
      <c r="C9" s="3236"/>
      <c r="D9" s="3223"/>
      <c r="E9" s="136" t="s">
        <v>1961</v>
      </c>
      <c r="F9" s="1943"/>
      <c r="G9" s="1943"/>
      <c r="H9" s="1943"/>
      <c r="I9" s="1557"/>
    </row>
    <row r="10" spans="1:12" ht="12.75">
      <c r="A10" s="3174" t="s">
        <v>1962</v>
      </c>
      <c r="B10" s="3232">
        <v>15</v>
      </c>
      <c r="C10" s="3235"/>
      <c r="D10" s="3223"/>
      <c r="E10" s="136" t="s">
        <v>1963</v>
      </c>
      <c r="F10" s="1943"/>
      <c r="G10" s="1943"/>
      <c r="H10" s="1943"/>
      <c r="I10" s="1557"/>
    </row>
    <row r="11" spans="1:12" ht="12.75">
      <c r="A11" s="3174"/>
      <c r="B11" s="3232"/>
      <c r="C11" s="3236"/>
      <c r="D11" s="3223"/>
      <c r="E11" s="136" t="s">
        <v>1964</v>
      </c>
      <c r="F11" s="1943"/>
      <c r="G11" s="1943"/>
      <c r="H11" s="1943"/>
      <c r="I11" s="1557"/>
    </row>
    <row r="12" spans="1:12" ht="12.75">
      <c r="A12" s="3174" t="s">
        <v>1965</v>
      </c>
      <c r="B12" s="3232">
        <v>15</v>
      </c>
      <c r="C12" s="3235"/>
      <c r="D12" s="3223"/>
      <c r="E12" s="136" t="s">
        <v>1966</v>
      </c>
      <c r="F12" s="1943"/>
      <c r="G12" s="1943"/>
      <c r="H12" s="1943"/>
      <c r="I12" s="1557"/>
    </row>
    <row r="13" spans="1:12" ht="12.75">
      <c r="A13" s="3174"/>
      <c r="B13" s="3232"/>
      <c r="C13" s="3236"/>
      <c r="D13" s="3223"/>
      <c r="E13" s="136" t="s">
        <v>1967</v>
      </c>
      <c r="F13" s="1943"/>
      <c r="G13" s="1943"/>
      <c r="H13" s="1943"/>
      <c r="I13" s="1557"/>
    </row>
    <row r="14" spans="1:12" ht="12.75">
      <c r="A14" s="3174" t="s">
        <v>1968</v>
      </c>
      <c r="B14" s="3232">
        <v>30</v>
      </c>
      <c r="C14" s="3235">
        <v>5</v>
      </c>
      <c r="D14" s="3223">
        <v>5</v>
      </c>
      <c r="E14" s="136" t="s">
        <v>1969</v>
      </c>
      <c r="F14" s="1943"/>
      <c r="G14" s="1943"/>
      <c r="H14" s="1943"/>
      <c r="I14" s="1557"/>
    </row>
    <row r="15" spans="1:12" ht="12.75">
      <c r="A15" s="3174"/>
      <c r="B15" s="3232"/>
      <c r="C15" s="3237"/>
      <c r="D15" s="3223"/>
      <c r="E15" s="136" t="s">
        <v>1970</v>
      </c>
      <c r="F15" s="1943"/>
      <c r="G15" s="1943"/>
      <c r="H15" s="1943"/>
      <c r="I15" s="1557"/>
    </row>
    <row r="16" spans="1:12" ht="12.75">
      <c r="A16" s="3174"/>
      <c r="B16" s="3232"/>
      <c r="C16" s="3236"/>
      <c r="D16" s="3223"/>
      <c r="E16" s="136" t="s">
        <v>1971</v>
      </c>
      <c r="F16" s="1943"/>
      <c r="G16" s="1943"/>
      <c r="H16" s="1943"/>
      <c r="I16" s="1557"/>
    </row>
    <row r="17" spans="1:36" ht="15">
      <c r="A17" s="1944" t="s">
        <v>1972</v>
      </c>
      <c r="B17" s="60"/>
      <c r="C17" s="137">
        <f>SUM(C5:C16)</f>
        <v>5</v>
      </c>
      <c r="D17" s="137">
        <f>SUM(D5:D16)</f>
        <v>5</v>
      </c>
      <c r="E17" s="134"/>
      <c r="F17" s="134"/>
      <c r="G17" s="134"/>
      <c r="H17" s="134"/>
      <c r="I17" s="134"/>
      <c r="K17" s="308"/>
      <c r="L17" s="308" t="s">
        <v>1973</v>
      </c>
      <c r="M17" s="308" t="s">
        <v>1974</v>
      </c>
    </row>
    <row r="18" spans="1:36" ht="31.9" customHeight="1" thickBot="1">
      <c r="A18" s="1945" t="s">
        <v>1975</v>
      </c>
      <c r="B18" s="1946"/>
      <c r="C18" s="138">
        <f>ROUND(C17/SUM(C17:D17),2)</f>
        <v>0.5</v>
      </c>
      <c r="D18" s="138">
        <f>1-C18</f>
        <v>0.5</v>
      </c>
      <c r="E18" s="3254" t="s">
        <v>2872</v>
      </c>
      <c r="F18" s="3255"/>
      <c r="G18" s="3255"/>
      <c r="H18" s="3255"/>
      <c r="I18" s="3255"/>
      <c r="K18" s="308" t="s">
        <v>1976</v>
      </c>
      <c r="L18" s="308">
        <f>IF(C1="",'数据-汇总表'!E3,SUMIF(项目类型,C1,'数据-汇总表'!E17:E26)+SUMIF(项目类型,C1,'数据-汇总表'!I17:I26))</f>
        <v>27960.83</v>
      </c>
      <c r="M18" s="308">
        <f>IF(C1="",'数据-汇总表'!E3,SUMIF(项目类型,C1,'数据-汇总表'!E17:E26))</f>
        <v>27960.83</v>
      </c>
    </row>
    <row r="19" spans="1:36" ht="15">
      <c r="A19" s="1947" t="s">
        <v>1977</v>
      </c>
      <c r="B19" s="1948" t="s">
        <v>1978</v>
      </c>
      <c r="C19" s="139">
        <f ca="1">SUMIF(INDIRECT("'"&amp;C4&amp;"'"&amp;"!A:A"),结果表!B19,INDIRECT("'"&amp;C4&amp;"'"&amp;"!B:B"))</f>
        <v>27523</v>
      </c>
      <c r="D19" s="140">
        <f ca="1">SUMIF(INDIRECT("'"&amp;D4&amp;"'"&amp;"!A:A"),结果表!B19,INDIRECT("'"&amp;D4&amp;"'"&amp;"!B:B"))</f>
        <v>28662</v>
      </c>
      <c r="E19" s="1947" t="s">
        <v>1979</v>
      </c>
      <c r="F19" s="1948" t="s">
        <v>1978</v>
      </c>
      <c r="G19" s="141">
        <f ca="1">ROUND(C19*$C$18+D19*$D$18,0)</f>
        <v>28093</v>
      </c>
      <c r="H19" s="1949" t="s">
        <v>1980</v>
      </c>
      <c r="I19" s="134">
        <v>28048</v>
      </c>
      <c r="K19" s="308" t="s">
        <v>1981</v>
      </c>
      <c r="L19" s="308">
        <f>IF(C1="",'数据-汇总表'!D3,SUMIF(项目类型,C1,'数据-汇总表'!D17:D26)+SUMIF(项目类型,C1,'数据-汇总表'!H17:H27))</f>
        <v>24172.12</v>
      </c>
      <c r="M19" s="308">
        <f>IF(C1="",'数据-汇总表'!D3,SUMIF(项目类型,C1,'数据-汇总表'!D17:D26))</f>
        <v>24172.12</v>
      </c>
    </row>
    <row r="20" spans="1:36" ht="15">
      <c r="A20" s="1950"/>
      <c r="B20" s="1155" t="s">
        <v>1982</v>
      </c>
      <c r="C20" s="142">
        <f ca="1">SUMIF(INDIRECT("'"&amp;C4&amp;"'"&amp;"!A:A"),结果表!B20,INDIRECT("'"&amp;C4&amp;"'"&amp;"!B:B"))</f>
        <v>9843</v>
      </c>
      <c r="D20" s="143">
        <f ca="1">SUMIF(INDIRECT("'"&amp;D4&amp;"'"&amp;"!A:A"),结果表!B20,INDIRECT("'"&amp;D4&amp;"'"&amp;"!B:B"))</f>
        <v>10251</v>
      </c>
      <c r="E20" s="1950"/>
      <c r="F20" s="1155" t="s">
        <v>1982</v>
      </c>
      <c r="G20" s="144">
        <f ca="1">ROUND(C20*$C$18+D20*$D$18,0)</f>
        <v>10047</v>
      </c>
      <c r="H20" s="916" t="s">
        <v>1983</v>
      </c>
      <c r="I20" s="134"/>
    </row>
    <row r="21" spans="1:36" ht="15" customHeight="1" thickBot="1">
      <c r="A21" s="936"/>
      <c r="B21" s="1951" t="s">
        <v>1984</v>
      </c>
      <c r="C21" s="727">
        <f ca="1">ROUND(C19*10000/L19,0)</f>
        <v>11386</v>
      </c>
      <c r="D21" s="728">
        <f ca="1">ROUND(D19*10000/L19,0)</f>
        <v>11857</v>
      </c>
      <c r="E21" s="936"/>
      <c r="F21" s="1951" t="s">
        <v>1984</v>
      </c>
      <c r="G21" s="145">
        <f ca="1">ROUND(G19*10000/L19,0)</f>
        <v>11622</v>
      </c>
      <c r="H21" s="1952" t="s">
        <v>1983</v>
      </c>
      <c r="I21" s="134"/>
    </row>
    <row r="22" spans="1:36" ht="15" thickBot="1">
      <c r="A22" s="1874" t="s">
        <v>1985</v>
      </c>
      <c r="B22" s="1953"/>
      <c r="C22" s="1954"/>
      <c r="D22" s="729">
        <f ca="1">IF(C19&lt;D19,D19/C19-1,C19/D19-1)</f>
        <v>4.1383570105003153E-2</v>
      </c>
      <c r="E22" s="134"/>
      <c r="F22" s="134"/>
      <c r="G22" s="134"/>
      <c r="H22" s="134"/>
      <c r="I22" s="134"/>
    </row>
    <row r="23" spans="1:36" ht="13.5" thickBot="1">
      <c r="A23" s="1933"/>
      <c r="B23" s="1933"/>
      <c r="C23" s="1933"/>
      <c r="D23" s="1933"/>
      <c r="E23" s="134"/>
      <c r="F23" s="134"/>
      <c r="G23" s="134"/>
      <c r="H23" s="134"/>
      <c r="I23" s="134"/>
    </row>
    <row r="24" spans="1:36" ht="14.25">
      <c r="A24" s="3247" t="s">
        <v>1986</v>
      </c>
      <c r="B24" s="1948" t="s">
        <v>1978</v>
      </c>
      <c r="C24" s="141">
        <f>IF(B30=0,0,D30)</f>
        <v>0</v>
      </c>
      <c r="D24" s="1955"/>
      <c r="E24" s="134"/>
      <c r="F24" s="134"/>
      <c r="G24" s="134"/>
      <c r="H24" s="134"/>
      <c r="I24" s="134"/>
    </row>
    <row r="25" spans="1:36" ht="14.25">
      <c r="A25" s="3248"/>
      <c r="B25" s="1155" t="s">
        <v>1982</v>
      </c>
      <c r="C25" s="146">
        <f>IF(B30=0,0,C30)</f>
        <v>0</v>
      </c>
      <c r="D25" s="1956"/>
      <c r="E25" s="134"/>
      <c r="F25" s="134"/>
      <c r="G25" s="134"/>
      <c r="H25" s="134"/>
      <c r="I25" s="134"/>
    </row>
    <row r="26" spans="1:36" ht="13.5" customHeight="1">
      <c r="A26" s="1957" t="s">
        <v>1987</v>
      </c>
      <c r="B26" s="147" t="s">
        <v>1988</v>
      </c>
      <c r="C26" s="147" t="s">
        <v>1989</v>
      </c>
      <c r="D26" s="148" t="s">
        <v>1990</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1991</v>
      </c>
      <c r="B30" s="147"/>
      <c r="C30" s="147"/>
      <c r="D30" s="147"/>
      <c r="E30" s="2521" t="s">
        <v>2873</v>
      </c>
      <c r="F30" s="134"/>
      <c r="G30" s="134"/>
      <c r="H30" s="134"/>
      <c r="I30" s="134"/>
    </row>
    <row r="31" spans="1:36" s="2527" customFormat="1" ht="26.45" customHeight="1" thickTop="1" thickBot="1">
      <c r="A31" s="2522"/>
      <c r="B31" s="2523"/>
      <c r="C31" s="2523"/>
      <c r="D31" s="2523"/>
      <c r="E31" s="2523"/>
      <c r="F31" s="2523"/>
      <c r="G31" s="2523"/>
      <c r="H31" s="2523"/>
      <c r="I31" s="2524" t="s">
        <v>2874</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1992</v>
      </c>
      <c r="B32" s="1960"/>
      <c r="C32" s="149">
        <f ca="1">IF(D32="总价",G19-C24,G20-C25)</f>
        <v>28093</v>
      </c>
      <c r="D32" s="1961" t="s">
        <v>3078</v>
      </c>
      <c r="E32" s="134"/>
      <c r="F32" s="134"/>
      <c r="G32" s="134"/>
      <c r="H32" s="134"/>
      <c r="I32" s="134"/>
    </row>
    <row r="33" spans="1:15" ht="15">
      <c r="A33" s="893" t="s">
        <v>1993</v>
      </c>
      <c r="B33" s="1962"/>
      <c r="C33" s="1963" t="s">
        <v>3079</v>
      </c>
      <c r="D33" s="1964" t="s">
        <v>3077</v>
      </c>
      <c r="E33" s="1965" t="s">
        <v>1994</v>
      </c>
      <c r="F33" s="1966" t="str">
        <f>IF(D32="楼面单价","取值（单价）","取值（总价）")</f>
        <v>取值（总价）</v>
      </c>
      <c r="G33" s="134"/>
      <c r="H33" s="134"/>
      <c r="I33" s="134"/>
    </row>
    <row r="34" spans="1:15" ht="15">
      <c r="A34" s="1967"/>
      <c r="B34" s="1968" t="s">
        <v>1995</v>
      </c>
      <c r="C34" s="153">
        <f ca="1">IF(C33="自定义",F34,C32-C35)</f>
        <v>15142</v>
      </c>
      <c r="D34" s="969">
        <f ca="1">IF(C33="自定义",ROUND(C34/C32,3),IF(C33="收益比率",SUMIF(INDIRECT("'"&amp;D33&amp;"'"&amp;"!b:b"),"土地收益比率",INDIRECT("'"&amp;D33&amp;"'"&amp;"!c:c")),SUMIF(INDIRECT("'"&amp;D33&amp;"'"&amp;"!b:b"),"土地成本比率",INDIRECT("'"&amp;D33&amp;"'"&amp;"!c:c"))))</f>
        <v>0.53899999999999992</v>
      </c>
      <c r="E34" s="1969" t="s">
        <v>1996</v>
      </c>
      <c r="F34" s="1498"/>
      <c r="G34" s="134"/>
      <c r="H34" s="134"/>
      <c r="I34" s="134"/>
    </row>
    <row r="35" spans="1:15" ht="15.75" thickBot="1">
      <c r="A35" s="1970"/>
      <c r="B35" s="1971" t="s">
        <v>1997</v>
      </c>
      <c r="C35" s="1330">
        <f ca="1">IF(C33="自定义",F35,ROUND(C32*D35,0))</f>
        <v>12951</v>
      </c>
      <c r="D35" s="1331">
        <f ca="1">IF(C33="自定义",ROUND(C35/C32,3),IF(C33="收益比率",SUMIF(INDIRECT("'"&amp;D33&amp;"'"&amp;"!b:b"),"建筑物收益比率",INDIRECT("'"&amp;D33&amp;"'"&amp;"!c:c")),SUMIF(INDIRECT("'"&amp;D33&amp;"'"&amp;"!b:b"),"建筑物成本比率",INDIRECT("'"&amp;D33&amp;"'"&amp;"!c:c"))))</f>
        <v>0.46100000000000002</v>
      </c>
      <c r="E35" s="1972" t="s">
        <v>1998</v>
      </c>
      <c r="F35" s="159"/>
      <c r="G35" s="134"/>
      <c r="H35" s="134"/>
      <c r="I35" s="134"/>
    </row>
    <row r="36" spans="1:15" ht="15.75" thickBot="1">
      <c r="A36" s="3224" t="s">
        <v>1999</v>
      </c>
      <c r="B36" s="1973" t="s">
        <v>2000</v>
      </c>
      <c r="C36" s="150"/>
      <c r="D36" s="1974"/>
      <c r="E36" s="1975"/>
      <c r="F36" s="1976"/>
      <c r="G36" s="134"/>
      <c r="H36" s="134"/>
      <c r="I36" s="134"/>
    </row>
    <row r="37" spans="1:15" ht="15.75" thickBot="1">
      <c r="A37" s="3225"/>
      <c r="B37" s="1860" t="s">
        <v>2001</v>
      </c>
      <c r="C37" s="152"/>
      <c r="D37" s="1299"/>
      <c r="E37" s="1299"/>
      <c r="F37" s="1976"/>
      <c r="G37" s="134"/>
      <c r="H37" s="134"/>
      <c r="I37" s="134"/>
    </row>
    <row r="38" spans="1:15" ht="15.75" thickBot="1">
      <c r="A38" s="3226"/>
      <c r="B38" s="1977" t="s">
        <v>2002</v>
      </c>
      <c r="C38" s="682"/>
      <c r="D38" s="1978" t="s">
        <v>2003</v>
      </c>
      <c r="E38" s="1299"/>
      <c r="F38" s="1976"/>
      <c r="G38" s="134"/>
      <c r="H38" s="134"/>
      <c r="I38" s="134"/>
    </row>
    <row r="39" spans="1:15" ht="15">
      <c r="A39" s="1950" t="s">
        <v>2004</v>
      </c>
      <c r="B39" s="1979" t="s">
        <v>2005</v>
      </c>
      <c r="C39" s="1980" t="s">
        <v>2006</v>
      </c>
      <c r="D39" s="1980" t="s">
        <v>2007</v>
      </c>
      <c r="E39" s="1981" t="s">
        <v>2008</v>
      </c>
      <c r="F39" s="1976"/>
      <c r="G39" s="134"/>
      <c r="H39" s="134"/>
      <c r="I39" s="134"/>
    </row>
    <row r="40" spans="1:15" ht="14.25">
      <c r="A40" s="1982" t="s">
        <v>2009</v>
      </c>
      <c r="B40" s="154"/>
      <c r="C40" s="155"/>
      <c r="D40" s="155"/>
      <c r="E40" s="156"/>
      <c r="F40" s="1976"/>
      <c r="G40" s="134"/>
      <c r="H40" s="134"/>
      <c r="I40" s="134"/>
    </row>
    <row r="41" spans="1:15" ht="14.25">
      <c r="A41" s="1982" t="s">
        <v>2010</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2011</v>
      </c>
      <c r="B44" s="1987"/>
      <c r="C44" s="1987"/>
      <c r="D44" s="1988"/>
      <c r="E44" s="1988"/>
      <c r="F44" s="1989"/>
      <c r="G44" s="1989"/>
      <c r="H44" s="1989"/>
      <c r="I44" s="1989"/>
      <c r="J44" s="1990" t="s">
        <v>2012</v>
      </c>
      <c r="K44" s="1991"/>
      <c r="L44" s="1991"/>
      <c r="M44" s="1991"/>
      <c r="N44" s="1991"/>
      <c r="O44" s="1991"/>
    </row>
    <row r="45" spans="1:15" ht="14.25" customHeight="1" thickBot="1">
      <c r="A45" s="3244" t="s">
        <v>2013</v>
      </c>
      <c r="B45" s="3245"/>
      <c r="C45" s="3246"/>
      <c r="D45" s="160">
        <f ca="1">ROUND(H101*F45,0)</f>
        <v>28093</v>
      </c>
      <c r="E45" s="161" t="s">
        <v>2014</v>
      </c>
      <c r="F45" s="162">
        <v>1</v>
      </c>
      <c r="G45" s="163" t="s">
        <v>2015</v>
      </c>
      <c r="H45" s="134"/>
      <c r="I45" s="134"/>
      <c r="J45" s="3161" t="s">
        <v>2016</v>
      </c>
      <c r="K45" s="3161"/>
      <c r="L45" s="3161"/>
      <c r="M45" s="3161"/>
      <c r="N45" s="3161"/>
      <c r="O45" s="3161"/>
    </row>
    <row r="46" spans="1:15" ht="14.25" customHeight="1">
      <c r="A46" s="3241" t="s">
        <v>2017</v>
      </c>
      <c r="B46" s="3242"/>
      <c r="C46" s="3242"/>
      <c r="D46" s="3242"/>
      <c r="E46" s="3242"/>
      <c r="F46" s="3242"/>
      <c r="G46" s="3243"/>
      <c r="H46" s="1992"/>
      <c r="I46" s="164"/>
      <c r="J46" s="2749">
        <v>1</v>
      </c>
      <c r="K46" s="3162" t="s">
        <v>2018</v>
      </c>
      <c r="L46" s="3162"/>
      <c r="M46" s="3163"/>
      <c r="N46" s="3163"/>
      <c r="O46" s="3163"/>
    </row>
    <row r="47" spans="1:15" ht="12" customHeight="1">
      <c r="A47" s="165" t="s">
        <v>2019</v>
      </c>
      <c r="B47" s="166"/>
      <c r="C47" s="167"/>
      <c r="D47" s="1245" t="s">
        <v>2020</v>
      </c>
      <c r="E47" s="308" t="s">
        <v>2021</v>
      </c>
      <c r="F47" s="168" t="s">
        <v>2022</v>
      </c>
      <c r="G47" s="2772" t="s">
        <v>2023</v>
      </c>
      <c r="H47" s="2773"/>
      <c r="I47" s="164"/>
      <c r="J47" s="2749">
        <v>2</v>
      </c>
      <c r="K47" s="3162" t="s">
        <v>2024</v>
      </c>
      <c r="L47" s="3162"/>
      <c r="M47" s="3164">
        <f>'数据-取费表'!B2</f>
        <v>44224</v>
      </c>
      <c r="N47" s="3164"/>
      <c r="O47" s="3164"/>
    </row>
    <row r="48" spans="1:15" ht="25.5">
      <c r="A48" s="3227" t="s">
        <v>2025</v>
      </c>
      <c r="B48" s="3228"/>
      <c r="C48" s="3228"/>
      <c r="D48" s="2547" t="b">
        <f>IF(H48="情况1",0,IF(H48="情况2",D52,IF(H48="情况3",D53,IF(H48="情况4",D54))))</f>
        <v>0</v>
      </c>
      <c r="E48" s="2557" t="str">
        <f>IF(H48="情况4","(销售额-原购置价)×税（费）率","销售额×税（费）率")</f>
        <v>销售额×税（费）率</v>
      </c>
      <c r="F48" s="2774">
        <f>IF(H48="情况1","免征",'数据-取费表'!B41)</f>
        <v>5.6000000000000001E-2</v>
      </c>
      <c r="G48" s="2775" t="s">
        <v>2026</v>
      </c>
      <c r="H48" s="2776"/>
      <c r="I48" s="1992"/>
      <c r="J48" s="2749">
        <v>3</v>
      </c>
      <c r="K48" s="3162" t="s">
        <v>2027</v>
      </c>
      <c r="L48" s="3162"/>
      <c r="M48" s="3165">
        <f ca="1">H101</f>
        <v>28093</v>
      </c>
      <c r="N48" s="3165"/>
      <c r="O48" s="3165"/>
    </row>
    <row r="49" spans="1:35" ht="25.5" customHeight="1">
      <c r="A49" s="2556" t="s">
        <v>2028</v>
      </c>
      <c r="B49" s="3210" t="s">
        <v>2029</v>
      </c>
      <c r="C49" s="3210"/>
      <c r="D49" s="1775">
        <v>0</v>
      </c>
      <c r="E49" s="330" t="s">
        <v>2030</v>
      </c>
      <c r="F49" s="2650" t="s">
        <v>34</v>
      </c>
      <c r="G49" s="3193"/>
      <c r="H49" s="2528" t="s">
        <v>2875</v>
      </c>
      <c r="I49" s="2529"/>
      <c r="J49" s="2749">
        <v>4</v>
      </c>
      <c r="K49" s="3162" t="str">
        <f>IF(项目基本情况!E8="房地产抵押价值","房地产抵押价值","抵押担保权已注销时的房地产抵押价值")</f>
        <v>房地产抵押价值</v>
      </c>
      <c r="L49" s="3162"/>
      <c r="M49" s="3165">
        <f ca="1">IF(项目基本情况!E8="房地产抵押价值",H107,H109)</f>
        <v>28093</v>
      </c>
      <c r="N49" s="3165"/>
      <c r="O49" s="3165"/>
    </row>
    <row r="50" spans="1:35" ht="25.5" customHeight="1">
      <c r="A50" s="2777"/>
      <c r="B50" s="3210" t="s">
        <v>2031</v>
      </c>
      <c r="C50" s="3210"/>
      <c r="D50" s="2778"/>
      <c r="E50" s="338"/>
      <c r="F50" s="2650"/>
      <c r="G50" s="3194"/>
      <c r="H50" s="2530" t="s">
        <v>2876</v>
      </c>
      <c r="I50" s="2529"/>
      <c r="J50" s="3161" t="s">
        <v>2032</v>
      </c>
      <c r="K50" s="3161"/>
      <c r="L50" s="3161"/>
      <c r="M50" s="3161"/>
      <c r="N50" s="3161"/>
      <c r="O50" s="3161"/>
    </row>
    <row r="51" spans="1:35" ht="20.45" customHeight="1">
      <c r="A51" s="2779"/>
      <c r="B51" s="3210" t="s">
        <v>2033</v>
      </c>
      <c r="C51" s="3210"/>
      <c r="D51" s="1245"/>
      <c r="E51" s="333"/>
      <c r="F51" s="2650"/>
      <c r="G51" s="3195"/>
      <c r="H51" s="2530" t="s">
        <v>2877</v>
      </c>
      <c r="I51" s="2529"/>
      <c r="J51" s="2750" t="s">
        <v>2034</v>
      </c>
      <c r="K51" s="3162" t="s">
        <v>2035</v>
      </c>
      <c r="L51" s="3162"/>
      <c r="M51" s="2750" t="s">
        <v>2036</v>
      </c>
      <c r="N51" s="2750" t="s">
        <v>2037</v>
      </c>
      <c r="O51" s="2750" t="s">
        <v>2038</v>
      </c>
    </row>
    <row r="52" spans="1:35" ht="24" customHeight="1">
      <c r="A52" s="2558" t="s">
        <v>2039</v>
      </c>
      <c r="B52" s="3210" t="s">
        <v>2040</v>
      </c>
      <c r="C52" s="3210"/>
      <c r="D52" s="1245">
        <f ca="1">ROUND(D45*'数据-取费表'!B41/(1+'数据-取费表'!C42),0)</f>
        <v>1498</v>
      </c>
      <c r="E52" s="2557" t="s">
        <v>2041</v>
      </c>
      <c r="F52" s="2780">
        <f>'数据-取费表'!B41</f>
        <v>5.6000000000000001E-2</v>
      </c>
      <c r="G52" s="2781"/>
      <c r="H52" s="2770"/>
      <c r="I52" s="1993"/>
      <c r="J52" s="2749">
        <v>1</v>
      </c>
      <c r="K52" s="3187" t="s">
        <v>2042</v>
      </c>
      <c r="L52" s="3187"/>
      <c r="M52" s="2751" t="b">
        <f>D48</f>
        <v>0</v>
      </c>
      <c r="N52" s="2749" t="str">
        <f>E48</f>
        <v>销售额×税（费）率</v>
      </c>
      <c r="O52" s="2752">
        <f>F48</f>
        <v>5.6000000000000001E-2</v>
      </c>
    </row>
    <row r="53" spans="1:35" ht="12" customHeight="1">
      <c r="A53" s="2558" t="s">
        <v>2043</v>
      </c>
      <c r="B53" s="3211" t="s">
        <v>3027</v>
      </c>
      <c r="C53" s="3212"/>
      <c r="D53" s="1245">
        <f ca="1">ROUND(D45*'数据-取费表'!B41/(1+'数据-取费表'!C42),0)</f>
        <v>1498</v>
      </c>
      <c r="E53" s="2557" t="s">
        <v>2041</v>
      </c>
      <c r="F53" s="2780">
        <f>'数据-取费表'!B41</f>
        <v>5.6000000000000001E-2</v>
      </c>
      <c r="G53" s="2781"/>
      <c r="H53" s="2770"/>
      <c r="I53" s="1993"/>
      <c r="J53" s="2749">
        <v>2</v>
      </c>
      <c r="K53" s="3187" t="s">
        <v>2044</v>
      </c>
      <c r="L53" s="3187"/>
      <c r="M53" s="2751">
        <f t="shared" ref="M53:O54" ca="1" si="0">D55</f>
        <v>14</v>
      </c>
      <c r="N53" s="2749" t="str">
        <f t="shared" si="0"/>
        <v>销售额×税（费）率</v>
      </c>
      <c r="O53" s="2752" t="str">
        <f t="shared" si="0"/>
        <v>免征</v>
      </c>
    </row>
    <row r="54" spans="1:35" ht="12" customHeight="1">
      <c r="A54" s="2558" t="s">
        <v>2045</v>
      </c>
      <c r="B54" s="3211" t="s">
        <v>3028</v>
      </c>
      <c r="C54" s="3212"/>
      <c r="D54" s="1245">
        <f ca="1">C68</f>
        <v>1498</v>
      </c>
      <c r="E54" s="333" t="s">
        <v>2046</v>
      </c>
      <c r="F54" s="2780">
        <f>'数据-取费表'!B41</f>
        <v>5.6000000000000001E-2</v>
      </c>
      <c r="G54" s="2781"/>
      <c r="H54" s="2782"/>
      <c r="I54" s="1993"/>
      <c r="J54" s="2749">
        <v>3</v>
      </c>
      <c r="K54" s="3187" t="s">
        <v>2047</v>
      </c>
      <c r="L54" s="3187"/>
      <c r="M54" s="2751">
        <f t="shared" ca="1" si="0"/>
        <v>15900</v>
      </c>
      <c r="N54" s="2749" t="str">
        <f t="shared" si="0"/>
        <v>增值额×税（费）率</v>
      </c>
      <c r="O54" s="2753" t="str">
        <f t="shared" si="0"/>
        <v>免征</v>
      </c>
    </row>
    <row r="55" spans="1:35" ht="24" customHeight="1">
      <c r="A55" s="3250" t="s">
        <v>2048</v>
      </c>
      <c r="B55" s="3228"/>
      <c r="C55" s="3228"/>
      <c r="D55" s="2547">
        <f ca="1">IF(H55="个人住宅",0,ROUND(D45*I55,0))</f>
        <v>14</v>
      </c>
      <c r="E55" s="2557" t="s">
        <v>2049</v>
      </c>
      <c r="F55" s="2780" t="str">
        <f>IF(H55="正常",I55,"免征")</f>
        <v>免征</v>
      </c>
      <c r="G55" s="2781"/>
      <c r="H55" s="2776"/>
      <c r="I55" s="170">
        <f>'数据-取费表'!B49</f>
        <v>5.0000000000000001E-4</v>
      </c>
      <c r="J55" s="2749">
        <f>IF(H59="非个人房产","",4)</f>
        <v>4</v>
      </c>
      <c r="K55" s="3187" t="str">
        <f>IF(H59="非个人房产","——","个人所得税")</f>
        <v>个人所得税</v>
      </c>
      <c r="L55" s="3187"/>
      <c r="M55" s="2754">
        <f ca="1">D59</f>
        <v>268</v>
      </c>
      <c r="N55" s="2228" t="str">
        <f>E59</f>
        <v>差额计税</v>
      </c>
      <c r="O55" s="2755">
        <f>F59</f>
        <v>0.01</v>
      </c>
    </row>
    <row r="56" spans="1:35" ht="24.75">
      <c r="A56" s="3250" t="s">
        <v>2050</v>
      </c>
      <c r="B56" s="3228"/>
      <c r="C56" s="3228"/>
      <c r="D56" s="2547">
        <f ca="1">IF(H56="个人住宅",D57,D58)</f>
        <v>15900</v>
      </c>
      <c r="E56" s="2557" t="s">
        <v>2051</v>
      </c>
      <c r="F56" s="2780" t="str">
        <f>IF(H56="正常",F58,"免征")</f>
        <v>免征</v>
      </c>
      <c r="G56" s="2783" t="s">
        <v>2052</v>
      </c>
      <c r="H56" s="2784"/>
      <c r="I56" s="1994"/>
      <c r="J56" s="2749" t="str">
        <f>IF(项目基本情况!K6="上海银行",IF(J55="",4,J55+1),"")</f>
        <v/>
      </c>
      <c r="K56" s="3168" t="str">
        <f>IF(项目基本情况!K6="上海银行","其他处置费用","")</f>
        <v/>
      </c>
      <c r="L56" s="3169"/>
      <c r="M56" s="2751" t="str">
        <f>IF(项目基本情况!K6="上海银行",M69,"")</f>
        <v/>
      </c>
      <c r="N56" s="3168" t="str">
        <f>IF(项目基本情况!K6="上海银行","包含处置中涉及的律师、诉讼、拍卖、评估等费用","")</f>
        <v/>
      </c>
      <c r="O56" s="3171"/>
    </row>
    <row r="57" spans="1:35" ht="12.75">
      <c r="A57" s="2558" t="s">
        <v>2028</v>
      </c>
      <c r="B57" s="3211" t="s">
        <v>2053</v>
      </c>
      <c r="C57" s="3212"/>
      <c r="D57" s="1775">
        <v>0</v>
      </c>
      <c r="E57" s="330" t="s">
        <v>2030</v>
      </c>
      <c r="F57" s="308"/>
      <c r="G57" s="2781"/>
      <c r="H57" s="2785"/>
      <c r="I57" s="1994"/>
      <c r="J57" s="3187">
        <f>IF(AND(J55="",J56=""),4,IF(项目基本情况!K6="上海银行",结果表!J56+1,结果表!J55+1))</f>
        <v>5</v>
      </c>
      <c r="K57" s="3187" t="s">
        <v>2054</v>
      </c>
      <c r="L57" s="2756" t="s">
        <v>2055</v>
      </c>
      <c r="M57" s="2757"/>
      <c r="N57" s="2758">
        <f ca="1">SUMIF(M52:M56,"&lt;9e307")</f>
        <v>16182</v>
      </c>
      <c r="O57" s="2759"/>
      <c r="P57" s="2919">
        <f ca="1">N57/M49</f>
        <v>0.57601537749617338</v>
      </c>
    </row>
    <row r="58" spans="1:35" ht="24.75">
      <c r="A58" s="2558" t="s">
        <v>2039</v>
      </c>
      <c r="B58" s="3211" t="s">
        <v>2056</v>
      </c>
      <c r="C58" s="3210"/>
      <c r="D58" s="2547">
        <f ca="1">IF(H58="转让取得",C81,C97)</f>
        <v>15900</v>
      </c>
      <c r="E58" s="2557" t="s">
        <v>2051</v>
      </c>
      <c r="F58" s="308" t="s">
        <v>34</v>
      </c>
      <c r="G58" s="2781"/>
      <c r="H58" s="2784"/>
      <c r="I58" s="1994"/>
      <c r="J58" s="3187"/>
      <c r="K58" s="3187"/>
      <c r="L58" s="2756" t="s">
        <v>2057</v>
      </c>
      <c r="M58" s="2760"/>
      <c r="N58" s="2761" t="str">
        <f ca="1">NUMBERSTRING(INT(N57*10000),2)&amp;"元整"</f>
        <v>壹亿陆仟壹佰捌拾贰万元整</v>
      </c>
      <c r="O58" s="2762"/>
    </row>
    <row r="59" spans="1:35" ht="24.75" thickBot="1">
      <c r="A59" s="3191" t="s">
        <v>2058</v>
      </c>
      <c r="B59" s="3192"/>
      <c r="C59" s="3192"/>
      <c r="D59" s="2786">
        <f ca="1">IF(H59="非个人房产","——",IF(H59="个人住宅（满五唯一有凭证）",0,IF(H59="个人其他（无凭证）",ROUND(D45*F59,0),ROUND(C67*F59,0))))</f>
        <v>268</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2052</v>
      </c>
      <c r="H59" s="2532"/>
      <c r="I59" s="2531" t="s">
        <v>2878</v>
      </c>
      <c r="J59" s="3189">
        <f>J57+1</f>
        <v>6</v>
      </c>
      <c r="K59" s="3187" t="s">
        <v>2059</v>
      </c>
      <c r="L59" s="2749" t="s">
        <v>2055</v>
      </c>
      <c r="M59" s="2763"/>
      <c r="N59" s="2764">
        <f ca="1">M49-N57</f>
        <v>11911</v>
      </c>
      <c r="O59" s="2765"/>
    </row>
    <row r="60" spans="1:35" ht="12" customHeight="1">
      <c r="A60" s="1995"/>
      <c r="B60" s="1933"/>
      <c r="C60" s="1933"/>
      <c r="D60" s="1933"/>
      <c r="E60" s="1763"/>
      <c r="F60" s="1994"/>
      <c r="G60" s="1994"/>
      <c r="H60" s="1996"/>
      <c r="I60" s="134"/>
      <c r="J60" s="3190"/>
      <c r="K60" s="3187"/>
      <c r="L60" s="2756" t="s">
        <v>2057</v>
      </c>
      <c r="M60" s="2760"/>
      <c r="N60" s="2761" t="str">
        <f ca="1">NUMBERSTRING(INT(N59*10000),2)&amp;"元整"</f>
        <v>壹亿壹仟玖佰壹拾壹万元整</v>
      </c>
      <c r="O60" s="2762"/>
    </row>
    <row r="61" spans="1:35" ht="13.5" thickBot="1">
      <c r="A61" s="3249" t="s">
        <v>2060</v>
      </c>
      <c r="B61" s="3249"/>
      <c r="C61" s="3249"/>
      <c r="D61" s="3249"/>
      <c r="E61" s="3249"/>
      <c r="F61" s="1994"/>
      <c r="G61" s="1994"/>
      <c r="H61" s="1996"/>
      <c r="I61" s="134"/>
      <c r="J61" s="2749">
        <f>J59+1</f>
        <v>7</v>
      </c>
      <c r="K61" s="3187" t="s">
        <v>2061</v>
      </c>
      <c r="L61" s="3187"/>
      <c r="M61" s="2766"/>
      <c r="N61" s="2767">
        <f ca="1">ROUND(N59*10000/'数据-汇总表'!E3,0)</f>
        <v>4260</v>
      </c>
      <c r="O61" s="2768"/>
    </row>
    <row r="62" spans="1:35" ht="12.75">
      <c r="A62" s="3206" t="s">
        <v>2062</v>
      </c>
      <c r="B62" s="3207"/>
      <c r="C62" s="2209"/>
      <c r="D62" s="2209" t="s">
        <v>2063</v>
      </c>
      <c r="E62" s="171" t="s">
        <v>2064</v>
      </c>
      <c r="F62" s="1994"/>
      <c r="G62" s="1994"/>
      <c r="H62" s="1996"/>
      <c r="I62" s="134"/>
    </row>
    <row r="63" spans="1:35" ht="12.75">
      <c r="A63" s="178" t="s">
        <v>775</v>
      </c>
      <c r="B63" s="172" t="s">
        <v>2065</v>
      </c>
      <c r="C63" s="2790">
        <f ca="1">ROUND((C64+C65)/(1+'数据-取费表'!C42),0)</f>
        <v>26755</v>
      </c>
      <c r="D63" s="172"/>
      <c r="E63" s="173"/>
      <c r="F63" s="1994"/>
      <c r="G63" s="1994"/>
      <c r="H63" s="1996"/>
      <c r="I63" s="134"/>
      <c r="J63" s="3170" t="s">
        <v>2066</v>
      </c>
      <c r="K63" s="1501" t="s">
        <v>2067</v>
      </c>
      <c r="L63" s="1501">
        <f ca="1">IF(M49&gt;10000,M49*0.5%,IF(AND(M49&gt;1000,M49&lt;=10000),M49*1%,IF(AND(M49&gt;100,M49&lt;=1000),M49*3%,IF(AND(M49&gt;10,M49&lt;=100),M49*5%,M49*8%))))</f>
        <v>140.465</v>
      </c>
      <c r="M63" s="308">
        <f ca="1">ROUND(L63,1)</f>
        <v>140.5</v>
      </c>
      <c r="N63" s="2769"/>
      <c r="Z63" s="1938"/>
      <c r="AI63" s="1939"/>
    </row>
    <row r="64" spans="1:35" ht="14.25" customHeight="1">
      <c r="A64" s="174" t="s">
        <v>770</v>
      </c>
      <c r="B64" s="175" t="s">
        <v>2068</v>
      </c>
      <c r="C64" s="2791">
        <f ca="1">D45</f>
        <v>28093</v>
      </c>
      <c r="D64" s="175" t="s">
        <v>32</v>
      </c>
      <c r="E64" s="177"/>
      <c r="F64" s="1994"/>
      <c r="G64" s="1994"/>
      <c r="H64" s="1996"/>
      <c r="I64" s="134"/>
      <c r="J64" s="3170"/>
      <c r="K64" s="1501" t="s">
        <v>2069</v>
      </c>
      <c r="L64" s="1501">
        <f ca="1">IF(M49&gt;2000,M49*0.5%,IF(AND(M49&gt;1000,M49&lt;=2000),M49*0.6%,IF(AND(M49&gt;500,M49&lt;=1000),M49*0.7%,IF(AND(M49&gt;200,M49&lt;=500),M49*0.8%,IF(AND(M49&gt;100,M49&lt;=200),M49*0.9%,IF(AND(M49&gt;50,M49&lt;=100),M49*1%,IF(AND(M49&gt;20,M49&lt;=50),M49*1.5%,IF(AND(M49&gt;10,M49&lt;=20),M49*2%,IF(AND(M49&gt;1,M49&lt;=10),M49*2.5%)))))))))</f>
        <v>140.465</v>
      </c>
      <c r="M64" s="308">
        <f t="shared" ref="M64:M65" ca="1" si="1">ROUND(L64,1)</f>
        <v>140.5</v>
      </c>
      <c r="N64" s="2770" t="s">
        <v>2070</v>
      </c>
      <c r="Z64" s="1938"/>
      <c r="AI64" s="1939"/>
    </row>
    <row r="65" spans="1:35" ht="14.25" customHeight="1">
      <c r="A65" s="174" t="s">
        <v>771</v>
      </c>
      <c r="B65" s="175" t="s">
        <v>2071</v>
      </c>
      <c r="C65" s="2792"/>
      <c r="D65" s="175"/>
      <c r="E65" s="177"/>
      <c r="F65" s="1994"/>
      <c r="G65" s="1994"/>
      <c r="H65" s="1996"/>
      <c r="I65" s="134"/>
      <c r="J65" s="3170"/>
      <c r="K65" s="1501" t="s">
        <v>2072</v>
      </c>
      <c r="L65" s="1501">
        <f ca="1">IF(M49&gt;1000,M49*0.1%,IF(AND(M49&gt;500,M49&lt;=1000),M49*0.5%,IF(AND(M49&gt;50,M49&lt;=500),M49*1%,IF(AND(M49&gt;1,M49&lt;=50),M49*1.5%))))</f>
        <v>28.093</v>
      </c>
      <c r="M65" s="308">
        <f t="shared" ca="1" si="1"/>
        <v>28.1</v>
      </c>
      <c r="N65" s="2770" t="s">
        <v>2070</v>
      </c>
      <c r="Z65" s="1938"/>
      <c r="AI65" s="1939"/>
    </row>
    <row r="66" spans="1:35" ht="14.25" customHeight="1">
      <c r="A66" s="178" t="s">
        <v>772</v>
      </c>
      <c r="B66" s="179" t="s">
        <v>2073</v>
      </c>
      <c r="C66" s="2793"/>
      <c r="D66" s="179" t="s">
        <v>32</v>
      </c>
      <c r="E66" s="1509" t="s">
        <v>1337</v>
      </c>
      <c r="F66" s="1994"/>
      <c r="G66" s="1994"/>
      <c r="H66" s="1996"/>
      <c r="I66" s="134"/>
      <c r="J66" s="3170"/>
      <c r="K66" s="1501" t="s">
        <v>2074</v>
      </c>
      <c r="L66" s="1501">
        <f ca="1">M49*0.5%</f>
        <v>140.465</v>
      </c>
      <c r="M66" s="308">
        <f ca="1">IF(L66&gt;0.5,0.5,ROUND(L66,0))</f>
        <v>0.5</v>
      </c>
      <c r="N66" s="2770" t="s">
        <v>2075</v>
      </c>
      <c r="Z66" s="1938"/>
      <c r="AI66" s="1939"/>
    </row>
    <row r="67" spans="1:35" ht="14.25" customHeight="1">
      <c r="A67" s="178" t="s">
        <v>773</v>
      </c>
      <c r="B67" s="179" t="s">
        <v>2076</v>
      </c>
      <c r="C67" s="2794">
        <f ca="1">C63-C66</f>
        <v>26755</v>
      </c>
      <c r="D67" s="175" t="s">
        <v>32</v>
      </c>
      <c r="E67" s="177"/>
      <c r="F67" s="1994"/>
      <c r="G67" s="1994"/>
      <c r="H67" s="1996"/>
      <c r="I67" s="134"/>
      <c r="J67" s="3170"/>
      <c r="K67" s="1501" t="s">
        <v>2077</v>
      </c>
      <c r="L67" s="1501">
        <f ca="1">IF(M49&gt;=10000,(8.25+(M49-10000)*0.01%),IF(AND(M49&gt;=8000,M49&lt;10000),(7.85+(M49-8000)*0.02%),IF(AND(M49&gt;=5000,M49&lt;8000),(6.65+(M49-5000)*0.04%),IF(AND(M49&gt;=2000,M49&lt;5000),(4.25+(PM49-2000)*0.08%),IF(AND(M49&gt;=1000,M49&lt;2000),(2.75+(M49-1000)*0.15%),IF(AND(M49&gt;=100,M49&lt;1000),(0.5+(M49-100)*0.25%),IF(AND(M49&gt;0,M49&lt;100),M49*0.5%)))))))</f>
        <v>10.0593</v>
      </c>
      <c r="M67" s="308">
        <f ca="1">ROUND(L67*0.9,1)</f>
        <v>9.1</v>
      </c>
      <c r="N67" s="2769"/>
      <c r="Z67" s="1938"/>
      <c r="AI67" s="1939"/>
    </row>
    <row r="68" spans="1:35" ht="14.25" customHeight="1" thickBot="1">
      <c r="A68" s="181" t="s">
        <v>774</v>
      </c>
      <c r="B68" s="182" t="s">
        <v>2078</v>
      </c>
      <c r="C68" s="2795">
        <f ca="1">IF(C67&lt;=0,0,ROUND(C67*D68,0))</f>
        <v>1498</v>
      </c>
      <c r="D68" s="2796">
        <f>'数据-取费表'!B41</f>
        <v>5.6000000000000001E-2</v>
      </c>
      <c r="E68" s="184"/>
      <c r="F68" s="1994"/>
      <c r="G68" s="1994"/>
      <c r="H68" s="1996"/>
      <c r="I68" s="134"/>
      <c r="J68" s="3170"/>
      <c r="K68" s="1501" t="s">
        <v>2079</v>
      </c>
      <c r="L68" s="1501">
        <f ca="1">IF(M49&gt;10000,M49*0.5%,IF(AND(M49&gt;5000,M49&lt;=10000),M49*1%,IF(AND(M49&gt;1000,M49&lt;=5000),M49*2%,IF(AND(M49&gt;200,M49&lt;=1000),M49*3%,M49*5%))))</f>
        <v>140.465</v>
      </c>
      <c r="M68" s="308">
        <f ca="1">ROUND(L68,1)</f>
        <v>140.5</v>
      </c>
      <c r="N68" s="2769"/>
      <c r="Z68" s="1938"/>
      <c r="AI68" s="1939"/>
    </row>
    <row r="69" spans="1:35" s="1958" customFormat="1" ht="16.5" customHeight="1">
      <c r="A69" s="1997"/>
      <c r="B69" s="1998"/>
      <c r="C69" s="1999"/>
      <c r="D69" s="2000"/>
      <c r="E69" s="2001"/>
      <c r="F69" s="1763"/>
      <c r="G69" s="1763"/>
      <c r="H69" s="1762"/>
      <c r="I69" s="1933"/>
      <c r="J69" s="3170"/>
      <c r="K69" s="1501" t="s">
        <v>2080</v>
      </c>
      <c r="L69" s="1501"/>
      <c r="M69" s="308">
        <f ca="1">ROUND(SUM(M63:M68),0)</f>
        <v>459</v>
      </c>
      <c r="N69" s="2771">
        <f ca="1">M69/M49</f>
        <v>1.6338589684262984E-2</v>
      </c>
      <c r="O69" s="733"/>
      <c r="P69" s="733"/>
      <c r="Q69" s="733"/>
      <c r="R69" s="733"/>
      <c r="S69" s="733"/>
      <c r="T69" s="733"/>
      <c r="U69" s="733"/>
      <c r="V69" s="733"/>
      <c r="W69" s="733"/>
      <c r="X69" s="733"/>
      <c r="Y69" s="733"/>
      <c r="Z69" s="1938"/>
      <c r="AA69" s="1938"/>
      <c r="AB69" s="1938"/>
      <c r="AC69" s="1938"/>
      <c r="AD69" s="1938"/>
      <c r="AE69" s="1938"/>
      <c r="AF69" s="1938"/>
      <c r="AG69" s="1938"/>
      <c r="AH69" s="1938"/>
    </row>
    <row r="70" spans="1:35" s="2003" customFormat="1" ht="15" thickBot="1">
      <c r="A70" s="3214" t="s">
        <v>2081</v>
      </c>
      <c r="B70" s="3215"/>
      <c r="C70" s="3215"/>
      <c r="D70" s="3215"/>
      <c r="E70" s="3215"/>
      <c r="F70" s="3215"/>
      <c r="G70" s="3215"/>
      <c r="H70" s="3215"/>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06" t="s">
        <v>2062</v>
      </c>
      <c r="B71" s="3207"/>
      <c r="C71" s="2209"/>
      <c r="D71" s="2209" t="s">
        <v>2063</v>
      </c>
      <c r="E71" s="185" t="s">
        <v>2064</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2082</v>
      </c>
      <c r="C72" s="2794">
        <f ca="1">ROUND(D45/(1+'数据-取费表'!C42),0)</f>
        <v>26755</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2083</v>
      </c>
      <c r="C73" s="2794">
        <f ca="1">C74+C78</f>
        <v>161</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2084</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2085</v>
      </c>
      <c r="C75" s="2797"/>
      <c r="D75" s="175" t="s">
        <v>32</v>
      </c>
      <c r="E75" s="190" t="s">
        <v>2086</v>
      </c>
      <c r="F75" s="2798"/>
      <c r="G75" s="190" t="s">
        <v>2087</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2088</v>
      </c>
      <c r="C76" s="175">
        <f>IF(F75="购房发票",ROUND(C75*H75*D76,0),0)</f>
        <v>0</v>
      </c>
      <c r="D76" s="2800">
        <v>0.05</v>
      </c>
      <c r="E76" s="3211" t="s">
        <v>2089</v>
      </c>
      <c r="F76" s="3210"/>
      <c r="G76" s="3210"/>
      <c r="H76" s="3213"/>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2090</v>
      </c>
      <c r="C77" s="175">
        <f>ROUND(IF(G77="个人住宅",0,IF(G77="2016年5月1日前购买",C75*D77,C75*D77/(1+'数据-取费表'!C42))),0)</f>
        <v>0</v>
      </c>
      <c r="D77" s="2801">
        <f>'数据-取费表'!B48+'数据-取费表'!B49</f>
        <v>3.0499999999999999E-2</v>
      </c>
      <c r="E77" s="2547" t="s">
        <v>2091</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2092</v>
      </c>
      <c r="C78" s="2802">
        <f ca="1">ROUND(D45*D78/(1+'数据-取费表'!C42),0)</f>
        <v>161</v>
      </c>
      <c r="D78" s="2803">
        <f>'数据-取费表'!B43</f>
        <v>6.000000000000001E-3</v>
      </c>
      <c r="E78" s="3203" t="s">
        <v>2093</v>
      </c>
      <c r="F78" s="3204"/>
      <c r="G78" s="3204"/>
      <c r="H78" s="3205"/>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2094</v>
      </c>
      <c r="C79" s="2794">
        <f ca="1">C72-C73</f>
        <v>26594</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2095</v>
      </c>
      <c r="C80" s="2804">
        <f ca="1">IF(C79&lt;=0,0,C79/C73)</f>
        <v>165.18012422360249</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2096</v>
      </c>
      <c r="C81" s="2805">
        <f ca="1">ROUND(IF(C79&lt;=0,0,IF(C80&gt;=200%,C79*60%-C73*35%,IF(C80&gt;=100%,C79*50%-C73*15%,IF(C80&gt;=50%,C79*40%-C73*5%,IF(C80&lt;50%,C79*30%,0))))),0)</f>
        <v>15900</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8"/>
      <c r="B82" s="689"/>
      <c r="C82" s="7"/>
      <c r="D82" s="7"/>
      <c r="E82" s="689"/>
      <c r="F82" s="689"/>
      <c r="G82" s="689"/>
      <c r="H82" s="690"/>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14" t="s">
        <v>2097</v>
      </c>
      <c r="B83" s="3215"/>
      <c r="C83" s="3215"/>
      <c r="D83" s="3215"/>
      <c r="E83" s="3215"/>
      <c r="F83" s="3215"/>
      <c r="G83" s="3215"/>
      <c r="H83" s="3215"/>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06" t="s">
        <v>2062</v>
      </c>
      <c r="B84" s="3207"/>
      <c r="C84" s="2209"/>
      <c r="D84" s="2209" t="s">
        <v>2063</v>
      </c>
      <c r="E84" s="185" t="s">
        <v>2064</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2082</v>
      </c>
      <c r="C85" s="2794">
        <f ca="1">ROUND(D45/(1+'数据-取费表'!C42),0)</f>
        <v>26755</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2083</v>
      </c>
      <c r="C86" s="2794">
        <f ca="1">IF(H88="仅含出让金",C87+C90+C91+C92+C93+C94,C87+C91+C92+C93+C94)</f>
        <v>161</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2098</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2099</v>
      </c>
      <c r="C88" s="2808"/>
      <c r="D88" s="2803"/>
      <c r="E88" s="199" t="s">
        <v>2100</v>
      </c>
      <c r="F88" s="2550"/>
      <c r="G88" s="200" t="s">
        <v>2101</v>
      </c>
      <c r="H88" s="2010"/>
      <c r="I88" s="2007"/>
      <c r="J88" s="2747" t="s">
        <v>3024</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2090</v>
      </c>
      <c r="C89" s="2802">
        <f>ROUND(C88*D89,0)</f>
        <v>0</v>
      </c>
      <c r="D89" s="2803">
        <f>'数据-取费表'!B48+'数据-取费表'!B49</f>
        <v>3.0499999999999999E-2</v>
      </c>
      <c r="E89" s="199" t="s">
        <v>2102</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2103</v>
      </c>
      <c r="C90" s="2808"/>
      <c r="D90" s="2803"/>
      <c r="E90" s="199" t="str">
        <f>IF(H88="-","土地取得成本中已包含该笔费用"," ")</f>
        <v xml:space="preserve"> </v>
      </c>
      <c r="F90" s="2550"/>
      <c r="G90" s="3172" t="s">
        <v>2870</v>
      </c>
      <c r="H90" s="3173"/>
      <c r="I90" s="2007"/>
      <c r="J90" s="2747" t="s">
        <v>3025</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2104</v>
      </c>
      <c r="B91" s="175" t="s">
        <v>2105</v>
      </c>
      <c r="C91" s="2802">
        <f>IF(H91="——",成本法!C33,I91)</f>
        <v>0</v>
      </c>
      <c r="D91" s="2803"/>
      <c r="E91" s="3203" t="s">
        <v>2106</v>
      </c>
      <c r="F91" s="3204"/>
      <c r="G91" s="3204"/>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2107</v>
      </c>
      <c r="B92" s="175" t="s">
        <v>2108</v>
      </c>
      <c r="C92" s="2802">
        <f>ROUND((C87+C90+C91)*D92,0)</f>
        <v>0</v>
      </c>
      <c r="D92" s="2809"/>
      <c r="E92" s="3203" t="s">
        <v>2109</v>
      </c>
      <c r="F92" s="3204"/>
      <c r="G92" s="3204"/>
      <c r="H92" s="3205"/>
      <c r="I92" s="2007"/>
      <c r="J92" s="2748" t="s">
        <v>3026</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2110</v>
      </c>
      <c r="B93" s="175" t="s">
        <v>2092</v>
      </c>
      <c r="C93" s="2802">
        <f ca="1">ROUND(D45*D93/(1+'数据-取费表'!C42),0)</f>
        <v>161</v>
      </c>
      <c r="D93" s="2803">
        <f>'数据-取费表'!B43</f>
        <v>6.000000000000001E-3</v>
      </c>
      <c r="E93" s="3203" t="s">
        <v>2093</v>
      </c>
      <c r="F93" s="3204"/>
      <c r="G93" s="3204"/>
      <c r="H93" s="3205"/>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2111</v>
      </c>
      <c r="B94" s="175" t="s">
        <v>2112</v>
      </c>
      <c r="C94" s="2808">
        <f>ROUND((C87+C90+C91)*D94,0)</f>
        <v>0</v>
      </c>
      <c r="D94" s="2803">
        <v>0.2</v>
      </c>
      <c r="E94" s="3251" t="s">
        <v>2113</v>
      </c>
      <c r="F94" s="3252"/>
      <c r="G94" s="3252"/>
      <c r="H94" s="3253"/>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2094</v>
      </c>
      <c r="C95" s="2794">
        <f ca="1">ROUND(C85-C86,0)</f>
        <v>26594</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2095</v>
      </c>
      <c r="C96" s="2804">
        <f ca="1">IF(C95&lt;=0,0,C95/C86)</f>
        <v>165.18012422360249</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2096</v>
      </c>
      <c r="C97" s="2805">
        <f ca="1">ROUND(IF(C95&lt;=0,0,IF(C96&gt;=200%,C95*60%-C86*35%,IF(C96&gt;=100%,C95*50%-C86*15%,IF(C96&gt;=50%,C95*40%-C86*5%,IF(C96&lt;50%,C95*30%,0))))),0)</f>
        <v>15900</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2114</v>
      </c>
      <c r="B99" s="1933"/>
      <c r="C99" s="1933"/>
      <c r="D99" s="1933"/>
      <c r="E99" s="1763"/>
      <c r="F99" s="1763"/>
      <c r="G99" s="1763"/>
      <c r="H99" s="1762"/>
      <c r="I99" s="134"/>
    </row>
    <row r="100" spans="1:35" ht="18.75" customHeight="1">
      <c r="A100" s="3153" t="s">
        <v>2115</v>
      </c>
      <c r="B100" s="3154"/>
      <c r="C100" s="3154"/>
      <c r="D100" s="3188"/>
      <c r="E100" s="3154" t="s">
        <v>2116</v>
      </c>
      <c r="F100" s="3154"/>
      <c r="G100" s="3154"/>
      <c r="H100" s="3188"/>
      <c r="I100" s="134"/>
    </row>
    <row r="101" spans="1:35" ht="18.75" customHeight="1">
      <c r="A101" s="3196" t="s">
        <v>2117</v>
      </c>
      <c r="B101" s="3197"/>
      <c r="C101" s="2811" t="str">
        <f>C4</f>
        <v>成本法</v>
      </c>
      <c r="D101" s="2812" t="str">
        <f>D4</f>
        <v>收益法（汇总）</v>
      </c>
      <c r="E101" s="3166" t="s">
        <v>2118</v>
      </c>
      <c r="F101" s="3167"/>
      <c r="G101" s="2013" t="s">
        <v>2119</v>
      </c>
      <c r="H101" s="2821">
        <f ca="1">H118</f>
        <v>28093</v>
      </c>
      <c r="I101" s="134"/>
    </row>
    <row r="102" spans="1:35" ht="18.75" customHeight="1">
      <c r="A102" s="3198" t="s">
        <v>2120</v>
      </c>
      <c r="B102" s="2810" t="s">
        <v>2119</v>
      </c>
      <c r="C102" s="2811">
        <f ca="1">C19</f>
        <v>27523</v>
      </c>
      <c r="D102" s="2812">
        <f ca="1">D19</f>
        <v>28662</v>
      </c>
      <c r="E102" s="3166"/>
      <c r="F102" s="3167"/>
      <c r="G102" s="2013" t="s">
        <v>2121</v>
      </c>
      <c r="H102" s="2781">
        <f ca="1">I118</f>
        <v>10047</v>
      </c>
      <c r="I102" s="134"/>
    </row>
    <row r="103" spans="1:35" ht="42.75" customHeight="1">
      <c r="A103" s="3198"/>
      <c r="B103" s="2810" t="s">
        <v>2121</v>
      </c>
      <c r="C103" s="2813">
        <f ca="1">C20</f>
        <v>9843</v>
      </c>
      <c r="D103" s="2814">
        <f ca="1">D20</f>
        <v>10251</v>
      </c>
      <c r="E103" s="3159" t="s">
        <v>2122</v>
      </c>
      <c r="F103" s="3160"/>
      <c r="G103" s="2014" t="s">
        <v>2123</v>
      </c>
      <c r="H103" s="2821">
        <f>IF(D36="正常操作",H104+H105+H106,H105+H106)</f>
        <v>0</v>
      </c>
      <c r="I103" s="134"/>
    </row>
    <row r="104" spans="1:35" ht="18.75" customHeight="1">
      <c r="A104" s="3198" t="s">
        <v>2124</v>
      </c>
      <c r="B104" s="2815" t="s">
        <v>2119</v>
      </c>
      <c r="C104" s="2816">
        <f ca="1">H118</f>
        <v>28093</v>
      </c>
      <c r="D104" s="2817"/>
      <c r="E104" s="1860" t="s">
        <v>2125</v>
      </c>
      <c r="F104" s="1851"/>
      <c r="G104" s="2014" t="s">
        <v>2123</v>
      </c>
      <c r="H104" s="2822">
        <f>IF(D36="同一抵押权人同一抵押物续贷",C36&amp;"（续贷，未扣减，详见特别提示）",C36)</f>
        <v>0</v>
      </c>
      <c r="I104" s="134"/>
    </row>
    <row r="105" spans="1:35" ht="18.75" customHeight="1" thickBot="1">
      <c r="A105" s="3208"/>
      <c r="B105" s="2818" t="s">
        <v>2121</v>
      </c>
      <c r="C105" s="2819">
        <f ca="1">I118</f>
        <v>10047</v>
      </c>
      <c r="D105" s="2820"/>
      <c r="E105" s="1860" t="s">
        <v>2126</v>
      </c>
      <c r="F105" s="1851"/>
      <c r="G105" s="2014" t="s">
        <v>2123</v>
      </c>
      <c r="H105" s="2823">
        <f>C37</f>
        <v>0</v>
      </c>
      <c r="I105" s="134"/>
    </row>
    <row r="106" spans="1:35" ht="18.75" customHeight="1">
      <c r="A106" s="1933" t="s">
        <v>2127</v>
      </c>
      <c r="B106" s="1933"/>
      <c r="C106" s="1933"/>
      <c r="D106" s="1933"/>
      <c r="E106" s="2015" t="s">
        <v>2128</v>
      </c>
      <c r="F106" s="1851"/>
      <c r="G106" s="2014" t="s">
        <v>2123</v>
      </c>
      <c r="H106" s="2823">
        <f>C38</f>
        <v>0</v>
      </c>
      <c r="I106" s="134"/>
    </row>
    <row r="107" spans="1:35" ht="18.75" customHeight="1">
      <c r="A107" s="134"/>
      <c r="B107" s="134"/>
      <c r="C107" s="134"/>
      <c r="D107" s="134"/>
      <c r="E107" s="3199" t="str">
        <f>IF(项目基本情况!E8="已注销","——","3.房地产抵押价值")</f>
        <v>3.房地产抵押价值</v>
      </c>
      <c r="F107" s="3167"/>
      <c r="G107" s="2013" t="s">
        <v>2119</v>
      </c>
      <c r="H107" s="2821">
        <f ca="1">IF(E107="——","——",H101-H103)</f>
        <v>28093</v>
      </c>
      <c r="I107" s="134"/>
    </row>
    <row r="108" spans="1:35" ht="18.75" customHeight="1">
      <c r="A108" s="134"/>
      <c r="B108" s="134"/>
      <c r="C108" s="134"/>
      <c r="D108" s="134"/>
      <c r="E108" s="3199"/>
      <c r="F108" s="3167"/>
      <c r="G108" s="2013" t="s">
        <v>2121</v>
      </c>
      <c r="H108" s="2781">
        <f ca="1">ROUND(H107*10000/'数据-汇总表'!E3,0)</f>
        <v>10047</v>
      </c>
      <c r="I108" s="134"/>
    </row>
    <row r="109" spans="1:35" ht="18.75" customHeight="1">
      <c r="A109" s="134"/>
      <c r="B109" s="134"/>
      <c r="C109" s="134"/>
      <c r="D109" s="134"/>
      <c r="E109" s="3199" t="str">
        <f>IF(项目基本情况!E8="已注销及未注销","4.抵押担保权已注销时的房地产抵押价值",IF(项目基本情况!E8="已注销","3.抵押担保权已注销时的房地产抵押价值","——"))</f>
        <v>——</v>
      </c>
      <c r="F109" s="3167"/>
      <c r="G109" s="2013" t="s">
        <v>2119</v>
      </c>
      <c r="H109" s="2824" t="str">
        <f>IF(E109="——","——",H101-H105-H106)</f>
        <v>——</v>
      </c>
      <c r="I109" s="134"/>
    </row>
    <row r="110" spans="1:35" ht="18.75" customHeight="1">
      <c r="A110" s="134"/>
      <c r="B110" s="134"/>
      <c r="C110" s="134"/>
      <c r="D110" s="134"/>
      <c r="E110" s="3199"/>
      <c r="F110" s="3167"/>
      <c r="G110" s="2013" t="s">
        <v>2121</v>
      </c>
      <c r="H110" s="2781" t="str">
        <f>IF(H109="——","——",ROUND(H109*10000/'数据-汇总表'!E3,0))</f>
        <v>——</v>
      </c>
      <c r="I110" s="134"/>
    </row>
    <row r="111" spans="1:35" ht="18.75" customHeight="1">
      <c r="A111" s="134"/>
      <c r="B111" s="134"/>
      <c r="C111" s="134"/>
      <c r="D111" s="134"/>
      <c r="E111" s="3200" t="str">
        <f>IF(项目基本情况!E9="抵押净值",IF(OR(项目基本情况!E8="已注销",项目基本情况!E8="房地产抵押价值"),"4.抵押净值","5.抵押净值"),"——")</f>
        <v>——</v>
      </c>
      <c r="F111" s="3186"/>
      <c r="G111" s="2013" t="s">
        <v>2119</v>
      </c>
      <c r="H111" s="2821" t="str">
        <f>IF(E111="——","——",N59)</f>
        <v>——</v>
      </c>
      <c r="I111" s="134"/>
    </row>
    <row r="112" spans="1:35" ht="18.75" customHeight="1" thickBot="1">
      <c r="A112" s="134"/>
      <c r="B112" s="134"/>
      <c r="C112" s="134"/>
      <c r="D112" s="134"/>
      <c r="E112" s="3201"/>
      <c r="F112" s="3202"/>
      <c r="G112" s="2016" t="s">
        <v>2121</v>
      </c>
      <c r="H112" s="2825" t="str">
        <f>IF(E111="——","——",N61)</f>
        <v>——</v>
      </c>
      <c r="I112" s="134"/>
    </row>
    <row r="113" spans="1:27" ht="18.75" customHeight="1">
      <c r="A113" s="134"/>
      <c r="B113" s="134"/>
      <c r="C113" s="134"/>
      <c r="D113" s="134"/>
      <c r="E113" s="3209" t="s">
        <v>2127</v>
      </c>
      <c r="F113" s="3209"/>
      <c r="G113" s="3209"/>
      <c r="H113" s="3209"/>
      <c r="I113" s="134"/>
    </row>
    <row r="114" spans="1:27" ht="3.75" customHeight="1">
      <c r="A114" s="1933"/>
      <c r="B114" s="1933"/>
      <c r="C114" s="1933"/>
      <c r="D114" s="1933"/>
      <c r="E114" s="1995"/>
      <c r="F114" s="1995"/>
      <c r="G114" s="1995"/>
      <c r="H114" s="1995"/>
      <c r="I114" s="1933"/>
    </row>
    <row r="115" spans="1:27" ht="18.75" customHeight="1">
      <c r="A115" s="3220" t="s">
        <v>2129</v>
      </c>
      <c r="B115" s="3221"/>
      <c r="C115" s="3221"/>
      <c r="D115" s="3221"/>
      <c r="E115" s="3221"/>
      <c r="F115" s="3221"/>
      <c r="G115" s="3221"/>
      <c r="H115" s="3221"/>
      <c r="I115" s="3222"/>
    </row>
    <row r="116" spans="1:27" ht="27" customHeight="1">
      <c r="A116" s="3174" t="s">
        <v>2130</v>
      </c>
      <c r="B116" s="3178" t="s">
        <v>2131</v>
      </c>
      <c r="C116" s="3178" t="s">
        <v>2132</v>
      </c>
      <c r="D116" s="3184" t="s">
        <v>2133</v>
      </c>
      <c r="E116" s="3185"/>
      <c r="F116" s="3216" t="s">
        <v>2134</v>
      </c>
      <c r="G116" s="3216"/>
      <c r="H116" s="3174" t="s">
        <v>2135</v>
      </c>
      <c r="I116" s="3174"/>
    </row>
    <row r="117" spans="1:27" ht="18.75" customHeight="1">
      <c r="A117" s="3174"/>
      <c r="B117" s="3179"/>
      <c r="C117" s="3179"/>
      <c r="D117" s="2552" t="s">
        <v>2136</v>
      </c>
      <c r="E117" s="2552" t="s">
        <v>2137</v>
      </c>
      <c r="F117" s="2552" t="s">
        <v>2136</v>
      </c>
      <c r="G117" s="2552" t="s">
        <v>2138</v>
      </c>
      <c r="H117" s="2552" t="s">
        <v>2136</v>
      </c>
      <c r="I117" s="2552" t="s">
        <v>2138</v>
      </c>
    </row>
    <row r="118" spans="1:27" ht="24.75" customHeight="1">
      <c r="A118" s="2826" t="str">
        <f>项目基本情况!S2</f>
        <v>房地产</v>
      </c>
      <c r="B118" s="2552">
        <f>M18</f>
        <v>27960.83</v>
      </c>
      <c r="C118" s="2552">
        <f>M19</f>
        <v>24172.12</v>
      </c>
      <c r="D118" s="2552">
        <f ca="1">ROUND(IF(D32="总价",C34,E118*B118/10000),0)</f>
        <v>15142</v>
      </c>
      <c r="E118" s="2552">
        <f ca="1">ROUND(IF(C33="自定义",IF(D32="楼面单价",C34,D118*10000/B118),I118-G118),0)</f>
        <v>5415</v>
      </c>
      <c r="F118" s="2552">
        <f ca="1">ROUND(IF(D32="总价",C35,G118*B118/10000),0)</f>
        <v>12951</v>
      </c>
      <c r="G118" s="2552">
        <f ca="1">ROUND(IF(D32="楼面单价",C35,F118*10000/B118),0)</f>
        <v>4632</v>
      </c>
      <c r="H118" s="2552">
        <f ca="1">ROUND(IF(D32="总价",C32,I118*B118/10000),0)</f>
        <v>28093</v>
      </c>
      <c r="I118" s="2552">
        <f ca="1">ROUND(IF(D32="楼面单价",C32,H118*10000/B118),0)</f>
        <v>10047</v>
      </c>
    </row>
    <row r="119" spans="1:27" ht="18.75" customHeight="1">
      <c r="A119" s="3174" t="s">
        <v>2139</v>
      </c>
      <c r="B119" s="3174"/>
      <c r="C119" s="3174"/>
      <c r="D119" s="3180" t="str">
        <f ca="1">NUMBERSTRING(INT(D118*10000),2)&amp;"元整"</f>
        <v>壹亿伍仟壹佰肆拾贰万元整</v>
      </c>
      <c r="E119" s="3181"/>
      <c r="F119" s="3180" t="str">
        <f ca="1">NUMBERSTRING(INT(F118*10000),2)&amp;"元整"</f>
        <v>壹亿贰仟玖佰伍拾壹万元整</v>
      </c>
      <c r="G119" s="3181"/>
      <c r="H119" s="3180" t="str">
        <f ca="1">NUMBERSTRING(INT(H118*10000),2)&amp;"元整"</f>
        <v>贰亿捌仟零玖拾叁万元整</v>
      </c>
      <c r="I119" s="3181"/>
    </row>
    <row r="120" spans="1:27" ht="18.75" customHeight="1">
      <c r="A120" s="3175" t="str">
        <f>IF(项目基本情况!B9="房地产市场价值","",MID(E103,3,LEN(E103)-2))</f>
        <v>估价师知悉的法定优先受偿款</v>
      </c>
      <c r="B120" s="3176"/>
      <c r="C120" s="3177"/>
      <c r="D120" s="3175">
        <f>H103</f>
        <v>0</v>
      </c>
      <c r="E120" s="3176"/>
      <c r="F120" s="3176"/>
      <c r="G120" s="3176"/>
      <c r="H120" s="3176"/>
      <c r="I120" s="3177"/>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17" t="s">
        <v>2139</v>
      </c>
      <c r="B121" s="3218"/>
      <c r="C121" s="3219"/>
      <c r="D121" s="3180" t="str">
        <f>IF(D120=0,"零元整",NUMBERSTRING(INT(D120*10000),2)&amp;"元整")</f>
        <v>零元整</v>
      </c>
      <c r="E121" s="3182"/>
      <c r="F121" s="3182"/>
      <c r="G121" s="3182"/>
      <c r="H121" s="3182"/>
      <c r="I121" s="3181"/>
      <c r="AA121" s="733"/>
    </row>
    <row r="122" spans="1:27" ht="18.75" customHeight="1">
      <c r="A122" s="3186" t="str">
        <f>IF(项目基本情况!B9="房地产市场价值","",MID(E107,3,LEN(E107)-2))</f>
        <v>房地产抵押价值</v>
      </c>
      <c r="B122" s="3186"/>
      <c r="C122" s="3186"/>
      <c r="D122" s="3175">
        <f ca="1">H107</f>
        <v>28093</v>
      </c>
      <c r="E122" s="3176"/>
      <c r="F122" s="3176"/>
      <c r="G122" s="3176"/>
      <c r="H122" s="3176"/>
      <c r="I122" s="3177"/>
      <c r="AA122" s="733"/>
    </row>
    <row r="123" spans="1:27" ht="18.75" customHeight="1">
      <c r="A123" s="3174" t="s">
        <v>2139</v>
      </c>
      <c r="B123" s="3174"/>
      <c r="C123" s="3174"/>
      <c r="D123" s="3180" t="str">
        <f ca="1">NUMBERSTRING(INT(D122*10000),2)&amp;"元整"</f>
        <v>贰亿捌仟零玖拾叁万元整</v>
      </c>
      <c r="E123" s="3182"/>
      <c r="F123" s="3182"/>
      <c r="G123" s="3182"/>
      <c r="H123" s="3182"/>
      <c r="I123" s="3181"/>
      <c r="AA123" s="733"/>
    </row>
    <row r="124" spans="1:27" ht="18.75" customHeight="1">
      <c r="A124" s="3186" t="str">
        <f>IF(项目基本情况!B9="房地产市场价值","",MID(E109,3,LEN(E109)-2))</f>
        <v/>
      </c>
      <c r="B124" s="3186"/>
      <c r="C124" s="3186"/>
      <c r="D124" s="3175" t="str">
        <f>H109</f>
        <v>——</v>
      </c>
      <c r="E124" s="3176"/>
      <c r="F124" s="3176"/>
      <c r="G124" s="3176"/>
      <c r="H124" s="3176"/>
      <c r="I124" s="3177"/>
      <c r="AA124" s="733"/>
    </row>
    <row r="125" spans="1:27" ht="18.75" customHeight="1">
      <c r="A125" s="3174" t="s">
        <v>2139</v>
      </c>
      <c r="B125" s="3174"/>
      <c r="C125" s="3174"/>
      <c r="D125" s="3180" t="e">
        <f>NUMBERSTRING(INT(D124*10000),2)&amp;"元整"</f>
        <v>#VALUE!</v>
      </c>
      <c r="E125" s="3182"/>
      <c r="F125" s="3182"/>
      <c r="G125" s="3182"/>
      <c r="H125" s="3182"/>
      <c r="I125" s="3181"/>
      <c r="AA125" s="733"/>
    </row>
    <row r="126" spans="1:27" ht="18.75" customHeight="1">
      <c r="A126" s="3186" t="str">
        <f>IF(项目基本情况!B9="房地产市场价值","",MID(E111,3,LEN(E111)-2))</f>
        <v/>
      </c>
      <c r="B126" s="3186"/>
      <c r="C126" s="3186"/>
      <c r="D126" s="3175" t="str">
        <f>H111</f>
        <v>——</v>
      </c>
      <c r="E126" s="3176"/>
      <c r="F126" s="3176"/>
      <c r="G126" s="3176"/>
      <c r="H126" s="3176"/>
      <c r="I126" s="3177"/>
      <c r="AA126" s="733"/>
    </row>
    <row r="127" spans="1:27" ht="18.75" customHeight="1">
      <c r="A127" s="3174" t="s">
        <v>2139</v>
      </c>
      <c r="B127" s="3174"/>
      <c r="C127" s="3174"/>
      <c r="D127" s="3180" t="e">
        <f>NUMBERSTRING(INT(D126*10000),2)&amp;"元整"</f>
        <v>#VALUE!</v>
      </c>
      <c r="E127" s="3182"/>
      <c r="F127" s="3182"/>
      <c r="G127" s="3182"/>
      <c r="H127" s="3182"/>
      <c r="I127" s="3181"/>
      <c r="AA127" s="733"/>
    </row>
    <row r="128" spans="1:27" ht="21.75" customHeight="1">
      <c r="A128" s="3183" t="s">
        <v>2140</v>
      </c>
      <c r="B128" s="3183"/>
      <c r="C128" s="3183"/>
      <c r="D128" s="3183"/>
      <c r="E128" s="3183"/>
      <c r="F128" s="3183"/>
      <c r="G128" s="3183"/>
      <c r="H128" s="3183"/>
      <c r="I128" s="3183"/>
      <c r="AA128" s="733"/>
    </row>
    <row r="129" spans="1:35" ht="21.75" customHeight="1">
      <c r="A129" s="2017" t="s">
        <v>2141</v>
      </c>
      <c r="B129" s="2018"/>
      <c r="C129" s="2019" t="s">
        <v>2142</v>
      </c>
      <c r="D129" s="2020"/>
      <c r="E129" s="2020"/>
      <c r="F129" s="2020"/>
      <c r="G129" s="2020"/>
      <c r="H129" s="2021"/>
      <c r="I129" s="2022"/>
      <c r="AA129" s="733"/>
    </row>
    <row r="130" spans="1:35" ht="21.75" customHeight="1">
      <c r="A130" s="2023">
        <v>1</v>
      </c>
      <c r="B130" s="2024"/>
      <c r="C130" s="2024"/>
      <c r="D130" s="2025"/>
      <c r="E130" s="2025"/>
      <c r="F130" s="2025"/>
      <c r="G130" s="2025"/>
      <c r="H130" s="2026"/>
      <c r="I130" s="2027"/>
      <c r="AA130" s="733"/>
    </row>
    <row r="131" spans="1:35" ht="21.75" customHeight="1">
      <c r="A131" s="2023">
        <v>2</v>
      </c>
      <c r="B131" s="2024"/>
      <c r="C131" s="2024"/>
      <c r="D131" s="2025"/>
      <c r="E131" s="2025"/>
      <c r="F131" s="2025"/>
      <c r="G131" s="2025"/>
      <c r="H131" s="2026"/>
      <c r="I131" s="2027"/>
      <c r="AA131" s="733"/>
    </row>
    <row r="132" spans="1:35" ht="21.75" customHeight="1">
      <c r="A132" s="2023">
        <v>3</v>
      </c>
      <c r="B132" s="2024"/>
      <c r="C132" s="2024"/>
      <c r="D132" s="2025"/>
      <c r="E132" s="2025"/>
      <c r="F132" s="2025"/>
      <c r="G132" s="2025"/>
      <c r="H132" s="2026"/>
      <c r="I132" s="2027"/>
      <c r="AA132" s="733"/>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3"/>
    </row>
    <row r="135" spans="1:35" ht="21.75" customHeight="1">
      <c r="A135" s="733"/>
      <c r="B135" s="733"/>
      <c r="C135" s="733"/>
      <c r="D135" s="733"/>
      <c r="E135" s="733"/>
      <c r="F135" s="2033" t="s">
        <v>2143</v>
      </c>
      <c r="G135" s="2034"/>
      <c r="H135" s="2034"/>
      <c r="I135" s="2035" t="s">
        <v>2144</v>
      </c>
    </row>
    <row r="136" spans="1:35" ht="21.75" customHeight="1">
      <c r="A136" s="733"/>
      <c r="B136" s="2036" t="s">
        <v>2145</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4"/>
      <c r="C138" s="2034"/>
      <c r="D138" s="2034"/>
      <c r="E138" s="2034"/>
      <c r="F138" s="2034"/>
      <c r="G138" s="2034"/>
      <c r="H138" s="2034"/>
      <c r="I138" s="2035" t="s">
        <v>2146</v>
      </c>
    </row>
    <row r="139" spans="1:35" ht="21.75" customHeight="1">
      <c r="A139" s="733"/>
      <c r="B139" s="2036" t="s">
        <v>2147</v>
      </c>
      <c r="C139" s="733"/>
      <c r="D139" s="733"/>
      <c r="E139" s="733"/>
      <c r="F139" s="733"/>
      <c r="G139" s="733"/>
      <c r="H139" s="733"/>
      <c r="I139" s="733"/>
    </row>
    <row r="140" spans="1:35" ht="21.75" customHeight="1">
      <c r="A140" s="733"/>
      <c r="B140" s="2036"/>
      <c r="C140" s="733"/>
      <c r="D140" s="733"/>
      <c r="E140" s="733"/>
      <c r="F140" s="733"/>
      <c r="G140" s="733"/>
      <c r="H140" s="733"/>
      <c r="I140" s="733"/>
    </row>
    <row r="141" spans="1:35" ht="21.75" customHeight="1">
      <c r="A141" s="733"/>
      <c r="B141" s="2034"/>
      <c r="C141" s="2034"/>
      <c r="D141" s="2034"/>
      <c r="E141" s="2034"/>
      <c r="F141" s="2034"/>
      <c r="G141" s="2034"/>
      <c r="H141" s="2034"/>
      <c r="I141" s="2035" t="s">
        <v>2146</v>
      </c>
    </row>
    <row r="142" spans="1:35" ht="21.75" customHeight="1">
      <c r="A142" s="733"/>
      <c r="B142" s="2036"/>
      <c r="C142" s="2037"/>
      <c r="D142" s="2038"/>
      <c r="E142" s="2038"/>
      <c r="F142" s="1927"/>
      <c r="G142" s="733"/>
      <c r="H142" s="733"/>
      <c r="I142" s="733"/>
    </row>
    <row r="143" spans="1:35" s="135" customFormat="1" ht="21.75" customHeight="1">
      <c r="A143" s="733"/>
      <c r="B143" s="2036"/>
      <c r="C143" s="2037"/>
      <c r="D143" s="2038"/>
      <c r="E143" s="2038"/>
      <c r="F143" s="1927"/>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5"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5"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8"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8"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8"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8"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8"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8"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8"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8"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8"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8"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8"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8"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8"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8"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8"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8"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8"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8"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8"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8"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8"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8"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8"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8"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8"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8"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8"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8"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8"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8"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8"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8"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8"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8"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8"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8"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8"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8"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8"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8"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8"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8"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8"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8"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8"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8"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8"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8"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8"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8"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8"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8"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8"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8"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8"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8"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8"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8"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8"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8"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8"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8"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8"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8"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8"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8"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8"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8"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8"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8"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8"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8"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8"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8"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8"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8"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8"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8"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8"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8"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8"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8"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8"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8"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8"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8"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8"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8"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8"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8"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8"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8"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8"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8"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8"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8"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8"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8"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8"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8"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8"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8"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8"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8"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7" sqref="C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2148</v>
      </c>
      <c r="B1" s="1654"/>
      <c r="C1" s="204"/>
      <c r="D1" s="204"/>
      <c r="E1" s="204"/>
      <c r="F1" s="204"/>
      <c r="G1" s="1286">
        <f>MATCH(B1,'数据-取费表'!A6:A16,0)+5</f>
        <v>8</v>
      </c>
    </row>
    <row r="2" spans="1:9" s="206" customFormat="1" ht="18" customHeight="1">
      <c r="A2" s="207" t="s">
        <v>2149</v>
      </c>
      <c r="B2" s="208">
        <f ca="1">IF(D2="——",C52,C52-E2)</f>
        <v>27523</v>
      </c>
      <c r="C2" s="205" t="s">
        <v>2150</v>
      </c>
      <c r="D2" s="2039" t="s">
        <v>70</v>
      </c>
      <c r="E2" s="1329" t="e">
        <f ca="1">SUMIF(INDIRECT("'"&amp;G2&amp;"'"&amp;"!A:A"),"承租人权益价值",INDIRECT("'"&amp;G2&amp;"'"&amp;"!c:c"))</f>
        <v>#REF!</v>
      </c>
      <c r="F2" s="2040" t="s">
        <v>2150</v>
      </c>
      <c r="G2" s="2041"/>
    </row>
    <row r="3" spans="1:9" s="206" customFormat="1" ht="18" customHeight="1" thickBot="1">
      <c r="A3" s="209" t="s">
        <v>2151</v>
      </c>
      <c r="B3" s="210">
        <f ca="1">ROUND(B2*10000/(IF(B1="",'数据-汇总表'!E3,INDIRECT("'数据-取费表'!k"&amp;$G$1))),0)</f>
        <v>9843</v>
      </c>
      <c r="C3" s="205" t="s">
        <v>2152</v>
      </c>
      <c r="D3" s="205"/>
      <c r="E3" s="205"/>
      <c r="F3" s="205"/>
      <c r="G3" s="205"/>
    </row>
    <row r="4" spans="1:9" s="214" customFormat="1" ht="15.75">
      <c r="A4" s="211" t="s">
        <v>2153</v>
      </c>
      <c r="B4" s="212"/>
      <c r="C4" s="212"/>
      <c r="D4" s="212"/>
      <c r="E4" s="212"/>
      <c r="F4" s="212"/>
      <c r="G4" s="213"/>
    </row>
    <row r="5" spans="1:9" s="220" customFormat="1" ht="13.5" customHeight="1">
      <c r="A5" s="261" t="s">
        <v>2154</v>
      </c>
      <c r="B5" s="216" t="s">
        <v>2155</v>
      </c>
      <c r="C5" s="217">
        <f>C6+C7+C8</f>
        <v>10664</v>
      </c>
      <c r="D5" s="217" t="s">
        <v>2156</v>
      </c>
      <c r="E5" s="218" t="s">
        <v>2157</v>
      </c>
      <c r="F5" s="218" t="s">
        <v>2158</v>
      </c>
      <c r="G5" s="219"/>
    </row>
    <row r="6" spans="1:9" s="220" customFormat="1" ht="13.5" customHeight="1">
      <c r="A6" s="885" t="s">
        <v>2159</v>
      </c>
      <c r="B6" s="221" t="s">
        <v>2160</v>
      </c>
      <c r="C6" s="222">
        <f>'土地比较法-住宅、综合'!F66</f>
        <v>9860</v>
      </c>
      <c r="D6" s="223"/>
      <c r="E6" s="224"/>
      <c r="F6" s="224"/>
      <c r="G6" s="225"/>
    </row>
    <row r="7" spans="1:9" s="220" customFormat="1" ht="13.5" customHeight="1">
      <c r="A7" s="885" t="s">
        <v>2161</v>
      </c>
      <c r="B7" s="221" t="s">
        <v>2162</v>
      </c>
      <c r="C7" s="226">
        <f>ROUND(C6*F7,0)</f>
        <v>301</v>
      </c>
      <c r="D7" s="226"/>
      <c r="E7" s="224"/>
      <c r="F7" s="227">
        <f>IF(项目基本情况!B8="出让",0,'数据-取费表'!B48+'数据-取费表'!B49)</f>
        <v>3.0499999999999999E-2</v>
      </c>
      <c r="G7" s="225"/>
    </row>
    <row r="8" spans="1:9" s="229" customFormat="1">
      <c r="A8" s="885" t="s">
        <v>2163</v>
      </c>
      <c r="B8" s="221" t="s">
        <v>2164</v>
      </c>
      <c r="C8" s="226">
        <f>IF(G8="已包含在土地购买价格中","0",IF(B1="",'数据-取费表'!B29,IF(G9="全部缴纳",C9+C10,H9)))</f>
        <v>503</v>
      </c>
      <c r="D8" s="228"/>
      <c r="E8" s="226"/>
      <c r="F8" s="227"/>
      <c r="G8" s="2042" t="s">
        <v>3073</v>
      </c>
    </row>
    <row r="9" spans="1:9" s="220" customFormat="1" ht="13.5" customHeight="1">
      <c r="A9" s="886" t="s">
        <v>800</v>
      </c>
      <c r="B9" s="230" t="s">
        <v>2165</v>
      </c>
      <c r="C9" s="231">
        <f ca="1">ROUND(D9*E9/10000,0)</f>
        <v>0</v>
      </c>
      <c r="D9" s="953">
        <f ca="1">IF(B1="",'数据-汇总表'!E5,IF(INDIRECT("'数据-取费表'!c"&amp;$G$1)="住宅",INDIRECT("'数据-取费表'!k"&amp;$G$1),0))</f>
        <v>0</v>
      </c>
      <c r="E9" s="231">
        <f>'数据-取费表'!B27</f>
        <v>180</v>
      </c>
      <c r="F9" s="227"/>
      <c r="G9" s="2043"/>
      <c r="H9" s="1297"/>
      <c r="I9" s="2044" t="s">
        <v>2166</v>
      </c>
    </row>
    <row r="10" spans="1:9" s="220" customFormat="1" ht="13.5" customHeight="1">
      <c r="A10" s="886" t="s">
        <v>801</v>
      </c>
      <c r="B10" s="230" t="s">
        <v>2167</v>
      </c>
      <c r="C10" s="231">
        <f ca="1">ROUND(D10*E10/10000,0)</f>
        <v>503</v>
      </c>
      <c r="D10" s="953">
        <f ca="1">IF(B1="",'数据-汇总表'!E6,IF(INDIRECT("'数据-取费表'!c"&amp;$G$1)="住宅",INDIRECT("'数据-取费表'!s"&amp;$G$1),INDIRECT("'数据-取费表'!k"&amp;$G$1)+INDIRECT("'数据-取费表'!s"&amp;$G$1)))</f>
        <v>27960.83</v>
      </c>
      <c r="E10" s="231">
        <f>'数据-取费表'!B28</f>
        <v>180</v>
      </c>
      <c r="F10" s="227"/>
      <c r="G10" s="232"/>
    </row>
    <row r="11" spans="1:9" s="220" customFormat="1" ht="13.5" hidden="1" customHeight="1">
      <c r="A11" s="233" t="s">
        <v>7</v>
      </c>
      <c r="B11" s="221" t="s">
        <v>2168</v>
      </c>
      <c r="C11" s="217"/>
      <c r="D11" s="955"/>
      <c r="E11" s="224"/>
      <c r="F11" s="224"/>
      <c r="G11" s="225"/>
    </row>
    <row r="12" spans="1:9" s="220" customFormat="1" ht="13.5" hidden="1" customHeight="1">
      <c r="A12" s="233" t="s">
        <v>8</v>
      </c>
      <c r="B12" s="221" t="s">
        <v>2169</v>
      </c>
      <c r="C12" s="217">
        <v>0</v>
      </c>
      <c r="D12" s="955"/>
      <c r="E12" s="234"/>
      <c r="F12" s="227">
        <v>3.0499999999999999E-2</v>
      </c>
      <c r="G12" s="225"/>
    </row>
    <row r="13" spans="1:9" s="220" customFormat="1" ht="13.5" hidden="1" customHeight="1">
      <c r="A13" s="233" t="s">
        <v>9</v>
      </c>
      <c r="B13" s="221" t="s">
        <v>2170</v>
      </c>
      <c r="C13" s="217"/>
      <c r="D13" s="955"/>
      <c r="E13" s="224"/>
      <c r="F13" s="224"/>
      <c r="G13" s="225"/>
    </row>
    <row r="14" spans="1:9" s="220" customFormat="1" ht="13.5" hidden="1" customHeight="1">
      <c r="A14" s="233" t="s">
        <v>10</v>
      </c>
      <c r="B14" s="221" t="s">
        <v>2171</v>
      </c>
      <c r="C14" s="217"/>
      <c r="D14" s="955"/>
      <c r="E14" s="224"/>
      <c r="F14" s="224"/>
      <c r="G14" s="225" t="s">
        <v>2172</v>
      </c>
    </row>
    <row r="15" spans="1:9" s="220" customFormat="1" ht="13.5" hidden="1" customHeight="1">
      <c r="A15" s="233" t="s">
        <v>11</v>
      </c>
      <c r="B15" s="221" t="s">
        <v>2173</v>
      </c>
      <c r="C15" s="226"/>
      <c r="D15" s="955"/>
      <c r="E15" s="224"/>
      <c r="F15" s="224"/>
      <c r="G15" s="225" t="s">
        <v>2174</v>
      </c>
    </row>
    <row r="16" spans="1:9" s="220" customFormat="1" ht="13.5" hidden="1" customHeight="1">
      <c r="A16" s="233" t="s">
        <v>12</v>
      </c>
      <c r="B16" s="221" t="s">
        <v>2171</v>
      </c>
      <c r="C16" s="226"/>
      <c r="D16" s="955"/>
      <c r="E16" s="224"/>
      <c r="F16" s="224"/>
      <c r="G16" s="225"/>
    </row>
    <row r="17" spans="1:7" s="220" customFormat="1" ht="13.5" hidden="1" customHeight="1">
      <c r="A17" s="233" t="s">
        <v>13</v>
      </c>
      <c r="B17" s="221" t="s">
        <v>2175</v>
      </c>
      <c r="C17" s="235"/>
      <c r="D17" s="956"/>
      <c r="E17" s="235"/>
      <c r="F17" s="235"/>
      <c r="G17" s="225" t="s">
        <v>2174</v>
      </c>
    </row>
    <row r="18" spans="1:7" s="220" customFormat="1" ht="13.5" hidden="1" customHeight="1">
      <c r="A18" s="233" t="s">
        <v>14</v>
      </c>
      <c r="B18" s="221" t="s">
        <v>2176</v>
      </c>
      <c r="C18" s="226">
        <v>0</v>
      </c>
      <c r="D18" s="955"/>
      <c r="E18" s="224"/>
      <c r="F18" s="227">
        <v>3.0499999999999999E-2</v>
      </c>
      <c r="G18" s="225" t="s">
        <v>2177</v>
      </c>
    </row>
    <row r="19" spans="1:7" s="229" customFormat="1" ht="13.5" customHeight="1">
      <c r="A19" s="261" t="s">
        <v>2178</v>
      </c>
      <c r="B19" s="216" t="s">
        <v>2179</v>
      </c>
      <c r="C19" s="217" t="str">
        <f>IF(G19="已包含在土地取得成本中","0",ROUND(D19*E19/10000,0))</f>
        <v>0</v>
      </c>
      <c r="D19" s="957">
        <f ca="1">D9+D10</f>
        <v>27960.83</v>
      </c>
      <c r="E19" s="217">
        <f>'数据-取费表'!B31</f>
        <v>200</v>
      </c>
      <c r="F19" s="237"/>
      <c r="G19" s="2042" t="s">
        <v>3074</v>
      </c>
    </row>
    <row r="20" spans="1:7" s="220" customFormat="1" ht="13.5" customHeight="1">
      <c r="A20" s="261" t="s">
        <v>2180</v>
      </c>
      <c r="B20" s="216" t="s">
        <v>2181</v>
      </c>
      <c r="C20" s="238">
        <f>ROUND((C5+C19)*F20,0)</f>
        <v>320</v>
      </c>
      <c r="D20" s="238"/>
      <c r="E20" s="238"/>
      <c r="F20" s="239">
        <f>'数据-取费表'!B37</f>
        <v>0.03</v>
      </c>
      <c r="G20" s="240" t="s">
        <v>2182</v>
      </c>
    </row>
    <row r="21" spans="1:7" s="220" customFormat="1" ht="13.5" customHeight="1">
      <c r="A21" s="261" t="s">
        <v>2183</v>
      </c>
      <c r="B21" s="216" t="s">
        <v>2184</v>
      </c>
      <c r="C21" s="241">
        <f>F21</f>
        <v>0.03</v>
      </c>
      <c r="D21" s="242" t="s">
        <v>2185</v>
      </c>
      <c r="E21" s="238"/>
      <c r="F21" s="239">
        <f>'数据-取费表'!B38</f>
        <v>0.03</v>
      </c>
      <c r="G21" s="240" t="s">
        <v>2186</v>
      </c>
    </row>
    <row r="22" spans="1:7" s="220" customFormat="1" ht="13.5" customHeight="1">
      <c r="A22" s="261" t="s">
        <v>2187</v>
      </c>
      <c r="B22" s="216" t="s">
        <v>2188</v>
      </c>
      <c r="C22" s="1262">
        <f ca="1">ROUND(SUM(C23:C25),0)</f>
        <v>780</v>
      </c>
      <c r="D22" s="241">
        <f ca="1">C26</f>
        <v>1.1000000000000001E-3</v>
      </c>
      <c r="E22" s="242" t="s">
        <v>2185</v>
      </c>
      <c r="F22" s="243">
        <f ca="1">'数据-取费表'!B40</f>
        <v>4.7500000000000001E-2</v>
      </c>
      <c r="G22" s="240" t="str">
        <f>IF('数据-取费表'!B22&lt;=1,"单利计息","复利计息")</f>
        <v>复利计息</v>
      </c>
    </row>
    <row r="23" spans="1:7" s="220" customFormat="1" ht="13.5" customHeight="1">
      <c r="A23" s="887" t="s">
        <v>2189</v>
      </c>
      <c r="B23" s="221" t="s">
        <v>2190</v>
      </c>
      <c r="C23" s="1263">
        <f ca="1">ROUND(IF('数据-取费表'!B22&lt;=1,C5*F22*'数据-取费表'!B23,C5*(POWER((1+F22),'数据-取费表'!B23)-1)),0)</f>
        <v>769</v>
      </c>
      <c r="D23" s="244"/>
      <c r="E23" s="244"/>
      <c r="F23" s="245"/>
      <c r="G23" s="246" t="s">
        <v>2191</v>
      </c>
    </row>
    <row r="24" spans="1:7" s="220" customFormat="1" ht="13.5" customHeight="1">
      <c r="A24" s="887" t="s">
        <v>2192</v>
      </c>
      <c r="B24" s="221" t="s">
        <v>2193</v>
      </c>
      <c r="C24" s="1263">
        <f ca="1">ROUND(IF('数据-取费表'!B22&lt;=1,C19*F22*('数据-取费表'!B19/2+'数据-取费表'!B21),C19*(POWER((1+F22),('数据-取费表'!B19/2+'数据-取费表'!B21))-1)),0)</f>
        <v>0</v>
      </c>
      <c r="D24" s="244"/>
      <c r="E24" s="244"/>
      <c r="F24" s="245"/>
      <c r="G24" s="246" t="s">
        <v>2194</v>
      </c>
    </row>
    <row r="25" spans="1:7" s="220" customFormat="1" ht="24">
      <c r="A25" s="887" t="s">
        <v>2195</v>
      </c>
      <c r="B25" s="221" t="s">
        <v>2196</v>
      </c>
      <c r="C25" s="1263">
        <f ca="1">ROUND(IF('数据-取费表'!B22&lt;=1,C20*F22*'数据-取费表'!B23/2,C20*(POWER((1+F22),'数据-取费表'!B23/2)-1)),0)</f>
        <v>11</v>
      </c>
      <c r="D25" s="244"/>
      <c r="E25" s="247"/>
      <c r="F25" s="245"/>
      <c r="G25" s="248" t="s">
        <v>2197</v>
      </c>
    </row>
    <row r="26" spans="1:7" s="220" customFormat="1">
      <c r="A26" s="887" t="s">
        <v>795</v>
      </c>
      <c r="B26" s="221" t="s">
        <v>2198</v>
      </c>
      <c r="C26" s="244">
        <f ca="1">ROUND(IF('数据-取费表'!B22&lt;=1,F21*F22*'数据-取费表'!B23/2,F21*(POWER((1+F22),'数据-取费表'!B23/2)-1)),4)</f>
        <v>1.1000000000000001E-3</v>
      </c>
      <c r="D26" s="244"/>
      <c r="E26" s="247"/>
      <c r="F26" s="245"/>
      <c r="G26" s="249"/>
    </row>
    <row r="27" spans="1:7" s="220" customFormat="1" ht="24.75">
      <c r="A27" s="261" t="s">
        <v>2199</v>
      </c>
      <c r="B27" s="250" t="s">
        <v>2200</v>
      </c>
      <c r="C27" s="251">
        <f ca="1">C28</f>
        <v>1757</v>
      </c>
      <c r="D27" s="241">
        <f ca="1">C29</f>
        <v>4.7999999999999996E-3</v>
      </c>
      <c r="E27" s="242" t="s">
        <v>2201</v>
      </c>
      <c r="F27" s="252">
        <f ca="1">IF(B1="",'数据-取费表'!Q16,INDIRECT("'数据-取费表'!q"&amp;$G$1))</f>
        <v>0.16</v>
      </c>
      <c r="G27" s="253" t="s">
        <v>2202</v>
      </c>
    </row>
    <row r="28" spans="1:7" s="220" customFormat="1" ht="13.5" customHeight="1">
      <c r="A28" s="887" t="s">
        <v>791</v>
      </c>
      <c r="B28" s="254" t="s">
        <v>2203</v>
      </c>
      <c r="C28" s="255">
        <f ca="1">ROUND((C5+C19+C20)*F27*'数据-取费表'!B21/'数据-取费表'!B20,0)</f>
        <v>1757</v>
      </c>
      <c r="D28" s="241"/>
      <c r="E28" s="242"/>
      <c r="F28" s="252"/>
      <c r="G28" s="253"/>
    </row>
    <row r="29" spans="1:7" s="220" customFormat="1" ht="13.5" customHeight="1">
      <c r="A29" s="887" t="s">
        <v>792</v>
      </c>
      <c r="B29" s="254" t="s">
        <v>2204</v>
      </c>
      <c r="C29" s="244">
        <f ca="1">ROUND(C21*F27*'数据-取费表'!B21/'数据-取费表'!B20,4)</f>
        <v>4.7999999999999996E-3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14845</v>
      </c>
      <c r="D31" s="236"/>
      <c r="E31" s="217"/>
      <c r="F31" s="256"/>
      <c r="G31" s="240" t="s">
        <v>2209</v>
      </c>
    </row>
    <row r="32" spans="1:7" s="214" customFormat="1" ht="15.75">
      <c r="A32" s="258" t="s">
        <v>2210</v>
      </c>
      <c r="B32" s="259"/>
      <c r="C32" s="259"/>
      <c r="D32" s="259"/>
      <c r="E32" s="259"/>
      <c r="F32" s="259"/>
      <c r="G32" s="260"/>
    </row>
    <row r="33" spans="1:7" s="220" customFormat="1" ht="13.5" customHeight="1">
      <c r="A33" s="261" t="s">
        <v>782</v>
      </c>
      <c r="B33" s="216" t="s">
        <v>2211</v>
      </c>
      <c r="C33" s="262">
        <f ca="1">SUM(C34:C38)</f>
        <v>11437</v>
      </c>
      <c r="D33" s="238"/>
      <c r="E33" s="218"/>
      <c r="F33" s="247"/>
      <c r="G33" s="240"/>
    </row>
    <row r="34" spans="1:7" s="264" customFormat="1" ht="13.5" customHeight="1">
      <c r="A34" s="887" t="s">
        <v>791</v>
      </c>
      <c r="B34" s="221" t="s">
        <v>2212</v>
      </c>
      <c r="C34" s="226">
        <f ca="1">IF(B1="",IF(F34=100%,'数据-取费表'!M16,'数据-取费表'!O16),IF(F34=100%,INDIRECT("'数据-取费表'!m"&amp;$G$1)+INDIRECT("'数据-取费表'!t"&amp;$G$1),INDIRECT("'数据-取费表'!o"&amp;$G$1)+INDIRECT("'数据-取费表'!aq"&amp;$G$1)))</f>
        <v>10214</v>
      </c>
      <c r="D34" s="223"/>
      <c r="E34" s="226"/>
      <c r="F34" s="263">
        <f ca="1">IF('数据-取费表'!B24=0,1,IF(B1="",'数据-取费表'!N16,INDIRECT("'数据-取费表'!n"&amp;$G$1)))</f>
        <v>1</v>
      </c>
      <c r="G34" s="225" t="s">
        <v>2213</v>
      </c>
    </row>
    <row r="35" spans="1:7" ht="13.5" customHeight="1">
      <c r="A35" s="887" t="s">
        <v>796</v>
      </c>
      <c r="B35" s="221" t="s">
        <v>2214</v>
      </c>
      <c r="C35" s="226">
        <f ca="1">ROUND(C34*F35,0)</f>
        <v>511</v>
      </c>
      <c r="D35" s="226"/>
      <c r="E35" s="226"/>
      <c r="F35" s="265">
        <f>'数据-取费表'!B33</f>
        <v>0.05</v>
      </c>
      <c r="G35" s="225" t="s">
        <v>2215</v>
      </c>
    </row>
    <row r="36" spans="1:7" ht="24">
      <c r="A36" s="887" t="s">
        <v>797</v>
      </c>
      <c r="B36" s="221" t="s">
        <v>2216</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2217</v>
      </c>
    </row>
    <row r="37" spans="1:7" s="264" customFormat="1" ht="13.5" customHeight="1">
      <c r="A37" s="887" t="s">
        <v>798</v>
      </c>
      <c r="B37" s="221" t="s">
        <v>2218</v>
      </c>
      <c r="C37" s="255">
        <f ca="1">ROUND(E37*D37*F34/10000,0)</f>
        <v>559</v>
      </c>
      <c r="D37" s="223">
        <f ca="1">D19</f>
        <v>27960.83</v>
      </c>
      <c r="E37" s="255">
        <f>'数据-取费表'!B35</f>
        <v>200</v>
      </c>
      <c r="F37" s="265"/>
      <c r="G37" s="267" t="s">
        <v>2219</v>
      </c>
    </row>
    <row r="38" spans="1:7" ht="13.5" customHeight="1">
      <c r="A38" s="887" t="s">
        <v>799</v>
      </c>
      <c r="B38" s="221" t="s">
        <v>2220</v>
      </c>
      <c r="C38" s="226">
        <f ca="1">ROUND(C34*F38,0)</f>
        <v>153</v>
      </c>
      <c r="D38" s="226"/>
      <c r="E38" s="226"/>
      <c r="F38" s="265">
        <f>'数据-取费表'!B36</f>
        <v>1.4999999999999999E-2</v>
      </c>
      <c r="G38" s="225" t="s">
        <v>2215</v>
      </c>
    </row>
    <row r="39" spans="1:7" s="220" customFormat="1" ht="13.5" customHeight="1">
      <c r="A39" s="261" t="s">
        <v>2221</v>
      </c>
      <c r="B39" s="216" t="s">
        <v>2222</v>
      </c>
      <c r="C39" s="238">
        <f ca="1">ROUND(C33*F20,0)</f>
        <v>343</v>
      </c>
      <c r="D39" s="238"/>
      <c r="E39" s="238"/>
      <c r="F39" s="2535">
        <f>F20</f>
        <v>0.03</v>
      </c>
      <c r="G39" s="240" t="s">
        <v>2223</v>
      </c>
    </row>
    <row r="40" spans="1:7" s="220" customFormat="1" ht="13.5" customHeight="1">
      <c r="A40" s="261" t="s">
        <v>2224</v>
      </c>
      <c r="B40" s="216" t="s">
        <v>2225</v>
      </c>
      <c r="C40" s="1495">
        <f>F21</f>
        <v>0.03</v>
      </c>
      <c r="D40" s="242" t="s">
        <v>2226</v>
      </c>
      <c r="E40" s="238"/>
      <c r="F40" s="2535">
        <f>F21</f>
        <v>0.03</v>
      </c>
      <c r="G40" s="240" t="s">
        <v>2227</v>
      </c>
    </row>
    <row r="41" spans="1:7" s="220" customFormat="1" ht="13.5" customHeight="1">
      <c r="A41" s="261" t="s">
        <v>2228</v>
      </c>
      <c r="B41" s="216" t="s">
        <v>2229</v>
      </c>
      <c r="C41" s="238">
        <f ca="1">ROUND(SUM(C42:C43),0)</f>
        <v>417</v>
      </c>
      <c r="D41" s="241">
        <f ca="1">C44</f>
        <v>1.1000000000000001E-3</v>
      </c>
      <c r="E41" s="242" t="s">
        <v>2226</v>
      </c>
      <c r="F41" s="2536">
        <f ca="1">F22</f>
        <v>4.7500000000000001E-2</v>
      </c>
      <c r="G41" s="240" t="str">
        <f>IF('数据-取费表'!B22&lt;=1,"单利计息","复利计息")</f>
        <v>复利计息</v>
      </c>
    </row>
    <row r="42" spans="1:7" ht="13.5" customHeight="1">
      <c r="A42" s="887" t="s">
        <v>791</v>
      </c>
      <c r="B42" s="221" t="s">
        <v>2230</v>
      </c>
      <c r="C42" s="244">
        <f ca="1">ROUND(IF('数据-取费表'!B22&lt;=1,C33*F22*'数据-取费表'!B21/2,C33*(POWER((1+F22),'数据-取费表'!B21/2)-1)),0)</f>
        <v>405</v>
      </c>
      <c r="D42" s="244"/>
      <c r="E42" s="244"/>
      <c r="F42" s="245"/>
      <c r="G42" s="3256" t="s">
        <v>2231</v>
      </c>
    </row>
    <row r="43" spans="1:7" ht="13.5" customHeight="1">
      <c r="A43" s="887" t="s">
        <v>792</v>
      </c>
      <c r="B43" s="221" t="s">
        <v>2232</v>
      </c>
      <c r="C43" s="244">
        <f ca="1">ROUND(IF('数据-取费表'!B22&lt;=1,C39*F22*'数据-取费表'!B21/2,C39*(POWER((1+F22),'数据-取费表'!B21/2)-1)),0)</f>
        <v>12</v>
      </c>
      <c r="D43" s="244"/>
      <c r="E43" s="244"/>
      <c r="F43" s="245"/>
      <c r="G43" s="3257"/>
    </row>
    <row r="44" spans="1:7" ht="13.5" customHeight="1">
      <c r="A44" s="887" t="s">
        <v>793</v>
      </c>
      <c r="B44" s="221" t="s">
        <v>2233</v>
      </c>
      <c r="C44" s="244">
        <f ca="1">ROUND(IF('数据-取费表'!B22&lt;=1,C40*F22*'数据-取费表'!B21/2,C40*(POWER((1+F22),'数据-取费表'!B21/2)-1)),4)</f>
        <v>1.1000000000000001E-3</v>
      </c>
      <c r="D44" s="244"/>
      <c r="E44" s="244"/>
      <c r="F44" s="245"/>
      <c r="G44" s="3258"/>
    </row>
    <row r="45" spans="1:7" s="220" customFormat="1" ht="13.5" customHeight="1">
      <c r="A45" s="261" t="s">
        <v>2234</v>
      </c>
      <c r="B45" s="250" t="s">
        <v>2200</v>
      </c>
      <c r="C45" s="251">
        <f ca="1">C46</f>
        <v>1885</v>
      </c>
      <c r="D45" s="241">
        <f ca="1">C47</f>
        <v>4.7999999999999996E-3</v>
      </c>
      <c r="E45" s="242" t="s">
        <v>2226</v>
      </c>
      <c r="F45" s="2537">
        <f ca="1">F27</f>
        <v>0.16</v>
      </c>
      <c r="G45" s="253" t="s">
        <v>2235</v>
      </c>
    </row>
    <row r="46" spans="1:7" s="220" customFormat="1" ht="13.5" customHeight="1">
      <c r="A46" s="887" t="s">
        <v>791</v>
      </c>
      <c r="B46" s="254" t="s">
        <v>2236</v>
      </c>
      <c r="C46" s="255">
        <f ca="1">ROUND((C33+C39)*F27,0)</f>
        <v>1885</v>
      </c>
      <c r="D46" s="269"/>
      <c r="E46" s="242"/>
      <c r="F46" s="252"/>
      <c r="G46" s="253"/>
    </row>
    <row r="47" spans="1:7" s="220" customFormat="1" ht="13.5" customHeight="1">
      <c r="A47" s="887" t="s">
        <v>792</v>
      </c>
      <c r="B47" s="254" t="s">
        <v>2237</v>
      </c>
      <c r="C47" s="244">
        <f ca="1">ROUND(C40*F27,4)</f>
        <v>4.7999999999999996E-3</v>
      </c>
      <c r="D47" s="269"/>
      <c r="E47" s="242"/>
      <c r="F47" s="252"/>
      <c r="G47" s="253"/>
    </row>
    <row r="48" spans="1:7" s="220" customFormat="1" ht="13.5" customHeight="1">
      <c r="A48" s="261" t="s">
        <v>2199</v>
      </c>
      <c r="B48" s="216" t="s">
        <v>2238</v>
      </c>
      <c r="C48" s="1495">
        <f>ROUND(F30/(1+'数据-取费表'!C42),4)</f>
        <v>5.33E-2</v>
      </c>
      <c r="D48" s="242" t="s">
        <v>2226</v>
      </c>
      <c r="E48" s="238"/>
      <c r="F48" s="2536">
        <f>F30</f>
        <v>5.6000000000000001E-2</v>
      </c>
      <c r="G48" s="240" t="s">
        <v>2239</v>
      </c>
    </row>
    <row r="49" spans="1:7" ht="16.5" customHeight="1">
      <c r="A49" s="261" t="s">
        <v>2205</v>
      </c>
      <c r="B49" s="216" t="s">
        <v>2240</v>
      </c>
      <c r="C49" s="238">
        <f ca="1">ROUND((C33+C39+C41+C45)/(1-C40-D41-D45-C48),0)</f>
        <v>15461</v>
      </c>
      <c r="D49" s="238"/>
      <c r="E49" s="238"/>
      <c r="F49" s="270"/>
      <c r="G49" s="240" t="s">
        <v>2241</v>
      </c>
    </row>
    <row r="50" spans="1:7" s="264" customFormat="1" ht="24">
      <c r="A50" s="261" t="s">
        <v>2242</v>
      </c>
      <c r="B50" s="216" t="s">
        <v>2243</v>
      </c>
      <c r="C50" s="238"/>
      <c r="D50" s="238"/>
      <c r="E50" s="238"/>
      <c r="F50" s="270">
        <f>IF('数据-取费表'!B24=0,'数据-取费表'!N16,1)</f>
        <v>0.82</v>
      </c>
      <c r="G50" s="253" t="s">
        <v>2244</v>
      </c>
    </row>
    <row r="51" spans="1:7" ht="16.5" customHeight="1">
      <c r="A51" s="261" t="s">
        <v>2245</v>
      </c>
      <c r="B51" s="216" t="s">
        <v>2246</v>
      </c>
      <c r="C51" s="238">
        <f ca="1">ROUND(C49*F50,0)</f>
        <v>12678</v>
      </c>
      <c r="D51" s="238"/>
      <c r="E51" s="238"/>
      <c r="F51" s="270"/>
      <c r="G51" s="240" t="s">
        <v>2247</v>
      </c>
    </row>
    <row r="52" spans="1:7" s="214" customFormat="1" ht="16.5" thickBot="1">
      <c r="A52" s="271" t="s">
        <v>2248</v>
      </c>
      <c r="B52" s="272"/>
      <c r="C52" s="273">
        <f ca="1">C31+C51</f>
        <v>27523</v>
      </c>
      <c r="D52" s="272"/>
      <c r="E52" s="272"/>
      <c r="F52" s="272"/>
      <c r="G52" s="274"/>
    </row>
    <row r="55" spans="1:7" ht="15">
      <c r="B55" s="276" t="s">
        <v>2249</v>
      </c>
      <c r="C55" s="277"/>
    </row>
    <row r="56" spans="1:7">
      <c r="B56" s="279" t="s">
        <v>1478</v>
      </c>
      <c r="C56" s="281">
        <f ca="1">1-C57</f>
        <v>0.53899999999999992</v>
      </c>
    </row>
    <row r="57" spans="1:7">
      <c r="B57" s="279" t="s">
        <v>1479</v>
      </c>
      <c r="C57" s="280">
        <f ca="1">ROUND(C51/C52,3)</f>
        <v>0.46100000000000002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2148</v>
      </c>
      <c r="B1" s="1654"/>
      <c r="C1" s="2045" t="s">
        <v>2250</v>
      </c>
      <c r="D1" s="204"/>
      <c r="E1" s="204"/>
      <c r="F1" s="204"/>
      <c r="G1" s="1286">
        <f>MATCH(B1,'数据-取费表'!A6:A16,0)+5</f>
        <v>8</v>
      </c>
      <c r="H1" s="1190" t="str">
        <f>IF(ISERROR(FIND("住宅",B1)),"非住宅","住宅")</f>
        <v>非住宅</v>
      </c>
    </row>
    <row r="2" spans="1:8" s="206" customFormat="1" ht="18" customHeight="1">
      <c r="A2" s="207" t="s">
        <v>2149</v>
      </c>
      <c r="B2" s="208">
        <f ca="1">ROUND(IF(D2="——",C52/10000,C52/10000-E2),0)</f>
        <v>14157</v>
      </c>
      <c r="C2" s="205" t="s">
        <v>2150</v>
      </c>
      <c r="D2" s="2039" t="s">
        <v>70</v>
      </c>
      <c r="E2" s="1329" t="e">
        <f ca="1">SUMIF(INDIRECT("'"&amp;G2&amp;"'"&amp;"!A:A"),"承租人权益价值",INDIRECT("'"&amp;G2&amp;"'"&amp;"!c:c"))</f>
        <v>#REF!</v>
      </c>
      <c r="F2" s="2040" t="s">
        <v>2150</v>
      </c>
      <c r="G2" s="2041"/>
    </row>
    <row r="3" spans="1:8" s="206" customFormat="1" ht="18" customHeight="1" thickBot="1">
      <c r="A3" s="209" t="s">
        <v>2151</v>
      </c>
      <c r="B3" s="210">
        <f ca="1">ROUND(B2*10000/(IF(B1="",'数据-汇总表'!E3,INDIRECT("'数据-取费表'!k"&amp;$G$1))),0)</f>
        <v>5063</v>
      </c>
      <c r="C3" s="205" t="s">
        <v>2152</v>
      </c>
      <c r="D3" s="205"/>
      <c r="E3" s="205"/>
      <c r="F3" s="205"/>
      <c r="G3" s="205"/>
    </row>
    <row r="4" spans="1:8" s="214" customFormat="1" ht="15.75">
      <c r="A4" s="211" t="s">
        <v>2153</v>
      </c>
      <c r="B4" s="212"/>
      <c r="C4" s="212"/>
      <c r="D4" s="212"/>
      <c r="E4" s="212"/>
      <c r="F4" s="212"/>
      <c r="G4" s="213"/>
    </row>
    <row r="5" spans="1:8" s="220" customFormat="1" ht="13.5" customHeight="1">
      <c r="A5" s="261" t="s">
        <v>2154</v>
      </c>
      <c r="B5" s="216" t="s">
        <v>2155</v>
      </c>
      <c r="C5" s="217">
        <f ca="1">C6+C7+C8</f>
        <v>5032949</v>
      </c>
      <c r="D5" s="217" t="s">
        <v>2156</v>
      </c>
      <c r="E5" s="218" t="s">
        <v>2157</v>
      </c>
      <c r="F5" s="218" t="s">
        <v>2158</v>
      </c>
      <c r="G5" s="219"/>
    </row>
    <row r="6" spans="1:8" s="220" customFormat="1" ht="13.5" customHeight="1">
      <c r="A6" s="885" t="s">
        <v>2159</v>
      </c>
      <c r="B6" s="221" t="s">
        <v>2160</v>
      </c>
      <c r="C6" s="222"/>
      <c r="D6" s="223"/>
      <c r="E6" s="224"/>
      <c r="F6" s="224"/>
      <c r="G6" s="225"/>
    </row>
    <row r="7" spans="1:8" s="220" customFormat="1" ht="13.5" customHeight="1">
      <c r="A7" s="885" t="s">
        <v>2161</v>
      </c>
      <c r="B7" s="221" t="s">
        <v>2162</v>
      </c>
      <c r="C7" s="226">
        <f>ROUND(C6*F7,0)</f>
        <v>0</v>
      </c>
      <c r="D7" s="226"/>
      <c r="E7" s="224"/>
      <c r="F7" s="227">
        <f>IF(项目基本情况!B8="出让",0,'数据-取费表'!B48+'数据-取费表'!B49)</f>
        <v>3.0499999999999999E-2</v>
      </c>
      <c r="G7" s="225"/>
    </row>
    <row r="8" spans="1:8" s="229" customFormat="1">
      <c r="A8" s="885" t="s">
        <v>2163</v>
      </c>
      <c r="B8" s="221" t="s">
        <v>2164</v>
      </c>
      <c r="C8" s="226">
        <f ca="1">IF(G8="已包含在土地购买价格中",0,C9+C10)</f>
        <v>5032949</v>
      </c>
      <c r="D8" s="228"/>
      <c r="E8" s="226"/>
      <c r="F8" s="227"/>
      <c r="G8" s="2042"/>
    </row>
    <row r="9" spans="1:8" s="220" customFormat="1" ht="13.5" customHeight="1">
      <c r="A9" s="886" t="s">
        <v>800</v>
      </c>
      <c r="B9" s="230" t="s">
        <v>2165</v>
      </c>
      <c r="C9" s="231">
        <f ca="1">ROUND(D9*E9,0)</f>
        <v>0</v>
      </c>
      <c r="D9" s="953">
        <f ca="1">IF(B1="",'数据-汇总表'!E5,IF(INDIRECT("'数据-取费表'!c"&amp;$G$1)="住宅",INDIRECT("'数据-取费表'!k"&amp;$G$1),0))</f>
        <v>0</v>
      </c>
      <c r="E9" s="231">
        <f>'数据-取费表'!B27</f>
        <v>180</v>
      </c>
      <c r="F9" s="227"/>
      <c r="G9" s="232"/>
    </row>
    <row r="10" spans="1:8" s="220" customFormat="1" ht="13.5" customHeight="1">
      <c r="A10" s="886" t="s">
        <v>801</v>
      </c>
      <c r="B10" s="230" t="s">
        <v>2167</v>
      </c>
      <c r="C10" s="231">
        <f ca="1">ROUND(D10*E10,0)</f>
        <v>5032949</v>
      </c>
      <c r="D10" s="953">
        <f ca="1">IF(B1="",'数据-汇总表'!E6,IF(INDIRECT("'数据-取费表'!c"&amp;$G$1)="住宅",INDIRECT("'数据-取费表'!s"&amp;$G$1),INDIRECT("'数据-取费表'!k"&amp;$G$1)+INDIRECT("'数据-取费表'!s"&amp;$G$1)))</f>
        <v>27960.83</v>
      </c>
      <c r="E10" s="231">
        <f>'数据-取费表'!B28</f>
        <v>180</v>
      </c>
      <c r="F10" s="227"/>
      <c r="G10" s="232"/>
    </row>
    <row r="11" spans="1:8" s="220" customFormat="1" ht="13.5" hidden="1" customHeight="1">
      <c r="A11" s="233" t="s">
        <v>7</v>
      </c>
      <c r="B11" s="221" t="s">
        <v>2168</v>
      </c>
      <c r="C11" s="217"/>
      <c r="D11" s="955"/>
      <c r="E11" s="224"/>
      <c r="F11" s="224"/>
      <c r="G11" s="225"/>
    </row>
    <row r="12" spans="1:8" s="220" customFormat="1" ht="13.5" hidden="1" customHeight="1">
      <c r="A12" s="233" t="s">
        <v>8</v>
      </c>
      <c r="B12" s="221" t="s">
        <v>2251</v>
      </c>
      <c r="C12" s="217">
        <v>0</v>
      </c>
      <c r="D12" s="955"/>
      <c r="E12" s="234"/>
      <c r="F12" s="227">
        <v>3.0499999999999999E-2</v>
      </c>
      <c r="G12" s="225"/>
    </row>
    <row r="13" spans="1:8" s="220" customFormat="1" ht="13.5" hidden="1" customHeight="1">
      <c r="A13" s="233" t="s">
        <v>9</v>
      </c>
      <c r="B13" s="221" t="s">
        <v>2252</v>
      </c>
      <c r="C13" s="217"/>
      <c r="D13" s="955"/>
      <c r="E13" s="224"/>
      <c r="F13" s="224"/>
      <c r="G13" s="225"/>
    </row>
    <row r="14" spans="1:8" s="220" customFormat="1" ht="13.5" hidden="1" customHeight="1">
      <c r="A14" s="233" t="s">
        <v>10</v>
      </c>
      <c r="B14" s="221" t="s">
        <v>2164</v>
      </c>
      <c r="C14" s="217"/>
      <c r="D14" s="955"/>
      <c r="E14" s="224"/>
      <c r="F14" s="224"/>
      <c r="G14" s="225" t="s">
        <v>2253</v>
      </c>
    </row>
    <row r="15" spans="1:8" s="220" customFormat="1" ht="13.5" hidden="1" customHeight="1">
      <c r="A15" s="233" t="s">
        <v>11</v>
      </c>
      <c r="B15" s="221" t="s">
        <v>2254</v>
      </c>
      <c r="C15" s="226"/>
      <c r="D15" s="955"/>
      <c r="E15" s="224"/>
      <c r="F15" s="224"/>
      <c r="G15" s="225" t="s">
        <v>2255</v>
      </c>
    </row>
    <row r="16" spans="1:8" s="220" customFormat="1" ht="13.5" hidden="1" customHeight="1">
      <c r="A16" s="233" t="s">
        <v>12</v>
      </c>
      <c r="B16" s="221" t="s">
        <v>2164</v>
      </c>
      <c r="C16" s="226"/>
      <c r="D16" s="955"/>
      <c r="E16" s="224"/>
      <c r="F16" s="224"/>
      <c r="G16" s="225"/>
    </row>
    <row r="17" spans="1:7" s="220" customFormat="1" ht="13.5" hidden="1" customHeight="1">
      <c r="A17" s="233" t="s">
        <v>13</v>
      </c>
      <c r="B17" s="221" t="s">
        <v>2256</v>
      </c>
      <c r="C17" s="235"/>
      <c r="D17" s="956"/>
      <c r="E17" s="235"/>
      <c r="F17" s="235"/>
      <c r="G17" s="225" t="s">
        <v>2255</v>
      </c>
    </row>
    <row r="18" spans="1:7" s="220" customFormat="1" ht="13.5" hidden="1" customHeight="1">
      <c r="A18" s="233" t="s">
        <v>14</v>
      </c>
      <c r="B18" s="221" t="s">
        <v>2257</v>
      </c>
      <c r="C18" s="226">
        <v>0</v>
      </c>
      <c r="D18" s="955"/>
      <c r="E18" s="224"/>
      <c r="F18" s="227">
        <v>3.0499999999999999E-2</v>
      </c>
      <c r="G18" s="225" t="s">
        <v>2258</v>
      </c>
    </row>
    <row r="19" spans="1:7" s="229" customFormat="1" ht="13.5" customHeight="1">
      <c r="A19" s="261" t="s">
        <v>2259</v>
      </c>
      <c r="B19" s="216" t="s">
        <v>2260</v>
      </c>
      <c r="C19" s="217">
        <f ca="1">IF(G19="已包含在土地取得成本中","0",ROUND(D19*E19,0))</f>
        <v>5592166</v>
      </c>
      <c r="D19" s="957">
        <f ca="1">D9+D10</f>
        <v>27960.83</v>
      </c>
      <c r="E19" s="217">
        <f>'数据-取费表'!B31</f>
        <v>200</v>
      </c>
      <c r="F19" s="237"/>
      <c r="G19" s="2042"/>
    </row>
    <row r="20" spans="1:7" s="220" customFormat="1" ht="13.5" customHeight="1">
      <c r="A20" s="261" t="s">
        <v>2261</v>
      </c>
      <c r="B20" s="216" t="s">
        <v>2262</v>
      </c>
      <c r="C20" s="238">
        <f ca="1">ROUND((C5+C19)*F20,0)</f>
        <v>318753</v>
      </c>
      <c r="D20" s="238"/>
      <c r="E20" s="238"/>
      <c r="F20" s="239">
        <f>'数据-取费表'!B37</f>
        <v>0.03</v>
      </c>
      <c r="G20" s="240" t="s">
        <v>2263</v>
      </c>
    </row>
    <row r="21" spans="1:7" s="220" customFormat="1" ht="13.5" customHeight="1">
      <c r="A21" s="261" t="s">
        <v>2264</v>
      </c>
      <c r="B21" s="216" t="s">
        <v>2265</v>
      </c>
      <c r="C21" s="241">
        <f>F21</f>
        <v>0.03</v>
      </c>
      <c r="D21" s="242" t="s">
        <v>2266</v>
      </c>
      <c r="E21" s="238"/>
      <c r="F21" s="239">
        <f>'数据-取费表'!B38</f>
        <v>0.03</v>
      </c>
      <c r="G21" s="240" t="s">
        <v>2267</v>
      </c>
    </row>
    <row r="22" spans="1:7" s="220" customFormat="1" ht="13.5" customHeight="1">
      <c r="A22" s="261" t="s">
        <v>2268</v>
      </c>
      <c r="B22" s="216" t="s">
        <v>2269</v>
      </c>
      <c r="C22" s="1287">
        <f ca="1">ROUND(SUM(C23:C25),0)</f>
        <v>777249</v>
      </c>
      <c r="D22" s="241">
        <f ca="1">C26</f>
        <v>1.1000000000000001E-3</v>
      </c>
      <c r="E22" s="242" t="s">
        <v>2266</v>
      </c>
      <c r="F22" s="243">
        <f ca="1">'数据-取费表'!B40</f>
        <v>4.7500000000000001E-2</v>
      </c>
      <c r="G22" s="240" t="str">
        <f>IF('数据-取费表'!B22&lt;=1,"单利计息","复利计息")</f>
        <v>复利计息</v>
      </c>
    </row>
    <row r="23" spans="1:7" s="220" customFormat="1" ht="13.5" customHeight="1">
      <c r="A23" s="887" t="s">
        <v>2159</v>
      </c>
      <c r="B23" s="221" t="s">
        <v>2270</v>
      </c>
      <c r="C23" s="1288">
        <f ca="1">ROUND(IF('数据-取费表'!B22&lt;=1,C5*F22*'数据-取费表'!B22,C5*(POWER((1+F22),'数据-取费表'!B22)-1)),0)</f>
        <v>362823</v>
      </c>
      <c r="D23" s="244"/>
      <c r="E23" s="244"/>
      <c r="F23" s="245"/>
      <c r="G23" s="246" t="s">
        <v>2271</v>
      </c>
    </row>
    <row r="24" spans="1:7" s="220" customFormat="1" ht="13.5" customHeight="1">
      <c r="A24" s="887" t="s">
        <v>2161</v>
      </c>
      <c r="B24" s="221" t="s">
        <v>2272</v>
      </c>
      <c r="C24" s="1288">
        <f ca="1">ROUND(IF('数据-取费表'!B22&lt;=1,C19*F22*('数据-取费表'!B19/2+'数据-取费表'!B20),C19*(POWER((1+F22),('数据-取费表'!B19/2+'数据-取费表'!B20))-1)),0)</f>
        <v>403137</v>
      </c>
      <c r="D24" s="244"/>
      <c r="E24" s="244"/>
      <c r="F24" s="245"/>
      <c r="G24" s="246" t="s">
        <v>2273</v>
      </c>
    </row>
    <row r="25" spans="1:7" s="220" customFormat="1" ht="24">
      <c r="A25" s="887" t="s">
        <v>2163</v>
      </c>
      <c r="B25" s="221" t="s">
        <v>2274</v>
      </c>
      <c r="C25" s="1288">
        <f ca="1">ROUND(IF('数据-取费表'!B22&lt;=1,C20*F22*'数据-取费表'!B22/2,C20*(POWER((1+F22),'数据-取费表'!B22/2)-1)),0)</f>
        <v>11289</v>
      </c>
      <c r="D25" s="244"/>
      <c r="E25" s="247"/>
      <c r="F25" s="245"/>
      <c r="G25" s="248" t="s">
        <v>2275</v>
      </c>
    </row>
    <row r="26" spans="1:7" s="220" customFormat="1">
      <c r="A26" s="887" t="s">
        <v>795</v>
      </c>
      <c r="B26" s="221" t="s">
        <v>2198</v>
      </c>
      <c r="C26" s="244">
        <f ca="1">ROUND(IF('数据-取费表'!B22&lt;=1,F21*F22*'数据-取费表'!B22/2,F21*(POWER((1+F22),'数据-取费表'!B22/2)-1)),4)</f>
        <v>1.1000000000000001E-3</v>
      </c>
      <c r="D26" s="244"/>
      <c r="E26" s="247"/>
      <c r="F26" s="245"/>
      <c r="G26" s="249"/>
    </row>
    <row r="27" spans="1:7" s="220" customFormat="1" ht="24.75">
      <c r="A27" s="261" t="s">
        <v>2199</v>
      </c>
      <c r="B27" s="250" t="s">
        <v>2200</v>
      </c>
      <c r="C27" s="251">
        <f ca="1">C28</f>
        <v>1751019</v>
      </c>
      <c r="D27" s="241">
        <f ca="1">C29</f>
        <v>4.7999999999999996E-3</v>
      </c>
      <c r="E27" s="242" t="s">
        <v>2201</v>
      </c>
      <c r="F27" s="252">
        <f ca="1">IF(B1="",'数据-取费表'!Q16,INDIRECT("'数据-取费表'!q"&amp;$G$1))</f>
        <v>0.16</v>
      </c>
      <c r="G27" s="253" t="s">
        <v>2202</v>
      </c>
    </row>
    <row r="28" spans="1:7" s="220" customFormat="1" ht="13.5" customHeight="1">
      <c r="A28" s="887" t="s">
        <v>791</v>
      </c>
      <c r="B28" s="254" t="s">
        <v>2203</v>
      </c>
      <c r="C28" s="255">
        <f ca="1">ROUND((C5+C19+C20)*F27,0)</f>
        <v>1751019</v>
      </c>
      <c r="D28" s="241"/>
      <c r="E28" s="242"/>
      <c r="F28" s="252"/>
      <c r="G28" s="253"/>
    </row>
    <row r="29" spans="1:7" s="220" customFormat="1" ht="13.5" customHeight="1">
      <c r="A29" s="887" t="s">
        <v>792</v>
      </c>
      <c r="B29" s="254" t="s">
        <v>2204</v>
      </c>
      <c r="C29" s="244">
        <f ca="1">ROUND(C21*F27,4)</f>
        <v>4.7999999999999996E-3</v>
      </c>
      <c r="D29" s="241"/>
      <c r="E29" s="242"/>
      <c r="F29" s="252"/>
      <c r="G29" s="253"/>
    </row>
    <row r="30" spans="1:7" s="220" customFormat="1" ht="13.5" customHeight="1">
      <c r="A30" s="261" t="s">
        <v>2205</v>
      </c>
      <c r="B30" s="216" t="s">
        <v>2206</v>
      </c>
      <c r="C30" s="241">
        <f>ROUND(F30/(1+'数据-取费表'!C42),4)</f>
        <v>5.33E-2</v>
      </c>
      <c r="D30" s="242" t="s">
        <v>2201</v>
      </c>
      <c r="E30" s="247"/>
      <c r="F30" s="243">
        <f>'数据-取费表'!B41</f>
        <v>5.6000000000000001E-2</v>
      </c>
      <c r="G30" s="240" t="s">
        <v>2207</v>
      </c>
    </row>
    <row r="31" spans="1:7" ht="16.5" customHeight="1">
      <c r="A31" s="215">
        <v>1</v>
      </c>
      <c r="B31" s="216" t="s">
        <v>2208</v>
      </c>
      <c r="C31" s="217">
        <f ca="1">ROUND((C5+C19+C20+C22+C27)/(1-C21-D22-D27-C30),0)</f>
        <v>14791542</v>
      </c>
      <c r="D31" s="236"/>
      <c r="E31" s="217"/>
      <c r="F31" s="256"/>
      <c r="G31" s="240" t="s">
        <v>2209</v>
      </c>
    </row>
    <row r="32" spans="1:7" s="214" customFormat="1" ht="15.75">
      <c r="A32" s="258" t="s">
        <v>2276</v>
      </c>
      <c r="B32" s="259"/>
      <c r="C32" s="259"/>
      <c r="D32" s="259"/>
      <c r="E32" s="259"/>
      <c r="F32" s="259"/>
      <c r="G32" s="260"/>
    </row>
    <row r="33" spans="1:7" s="220" customFormat="1" ht="13.5" customHeight="1">
      <c r="A33" s="261" t="s">
        <v>782</v>
      </c>
      <c r="B33" s="216" t="s">
        <v>2277</v>
      </c>
      <c r="C33" s="262">
        <f ca="1">SUM(C34:C38)</f>
        <v>114367032</v>
      </c>
      <c r="D33" s="238"/>
      <c r="E33" s="218"/>
      <c r="F33" s="247"/>
      <c r="G33" s="240"/>
    </row>
    <row r="34" spans="1:7" s="264" customFormat="1" ht="13.5" customHeight="1">
      <c r="A34" s="887" t="s">
        <v>791</v>
      </c>
      <c r="B34" s="221" t="s">
        <v>2212</v>
      </c>
      <c r="C34" s="226">
        <f ca="1">ROUND(IF(B1="",SUMPRODUCT('数据-取费表'!K6:K14,'数据-取费表'!L6:L14),INDIRECT("'数据-取费表'!l"&amp;$G$1)*INDIRECT("'数据-取费表'!k"&amp;$G$1)+'数据-取费表'!L14*INDIRECT("'数据-取费表'!S"&amp;$G$1)),0)</f>
        <v>102136025</v>
      </c>
      <c r="D34" s="223"/>
      <c r="E34" s="226"/>
      <c r="F34" s="263"/>
      <c r="G34" s="225"/>
    </row>
    <row r="35" spans="1:7" ht="13.5" customHeight="1">
      <c r="A35" s="887" t="s">
        <v>796</v>
      </c>
      <c r="B35" s="221" t="s">
        <v>2214</v>
      </c>
      <c r="C35" s="226">
        <f ca="1">ROUND(C34*F35,0)</f>
        <v>5106801</v>
      </c>
      <c r="D35" s="226"/>
      <c r="E35" s="226"/>
      <c r="F35" s="265">
        <f>'数据-取费表'!B33</f>
        <v>0.05</v>
      </c>
      <c r="G35" s="225" t="s">
        <v>2215</v>
      </c>
    </row>
    <row r="36" spans="1:7" ht="24">
      <c r="A36" s="887" t="s">
        <v>797</v>
      </c>
      <c r="B36" s="221" t="s">
        <v>2216</v>
      </c>
      <c r="C36" s="226">
        <f ca="1">ROUND(IF(B1="",SUM('数据-取费表'!AP6:AP13)*F36,IF(INDIRECT("'数据-取费表'!c"&amp;$G$1)="住宅",INDIRECT("'数据-取费表'!k"&amp;$G$1)*INDIRECT("'数据-取费表'!l"&amp;$G$1)*F36,0)),0)</f>
        <v>0</v>
      </c>
      <c r="D36" s="226"/>
      <c r="E36" s="226"/>
      <c r="F36" s="265">
        <f>'数据-取费表'!B34</f>
        <v>0</v>
      </c>
      <c r="G36" s="266" t="s">
        <v>2217</v>
      </c>
    </row>
    <row r="37" spans="1:7" s="264" customFormat="1" ht="13.5" customHeight="1">
      <c r="A37" s="887" t="s">
        <v>798</v>
      </c>
      <c r="B37" s="221" t="s">
        <v>2218</v>
      </c>
      <c r="C37" s="255">
        <f ca="1">ROUND(E37*D37,0)</f>
        <v>5592166</v>
      </c>
      <c r="D37" s="223">
        <f ca="1">D19</f>
        <v>27960.83</v>
      </c>
      <c r="E37" s="255">
        <f>'数据-取费表'!B35</f>
        <v>200</v>
      </c>
      <c r="F37" s="265"/>
      <c r="G37" s="267"/>
    </row>
    <row r="38" spans="1:7" ht="13.5" customHeight="1">
      <c r="A38" s="887" t="s">
        <v>799</v>
      </c>
      <c r="B38" s="221" t="s">
        <v>2220</v>
      </c>
      <c r="C38" s="226">
        <f ca="1">ROUND(C34*F38,0)</f>
        <v>1532040</v>
      </c>
      <c r="D38" s="226"/>
      <c r="E38" s="226"/>
      <c r="F38" s="265">
        <f>'数据-取费表'!B36</f>
        <v>1.4999999999999999E-2</v>
      </c>
      <c r="G38" s="225" t="s">
        <v>2215</v>
      </c>
    </row>
    <row r="39" spans="1:7" s="220" customFormat="1" ht="13.5" customHeight="1">
      <c r="A39" s="261" t="s">
        <v>2221</v>
      </c>
      <c r="B39" s="216" t="s">
        <v>2222</v>
      </c>
      <c r="C39" s="238">
        <f ca="1">ROUND(C33*F20,0)</f>
        <v>3431011</v>
      </c>
      <c r="D39" s="238"/>
      <c r="E39" s="238"/>
      <c r="F39" s="2535">
        <f>F20</f>
        <v>0.03</v>
      </c>
      <c r="G39" s="240" t="s">
        <v>2223</v>
      </c>
    </row>
    <row r="40" spans="1:7" s="220" customFormat="1" ht="13.5" customHeight="1">
      <c r="A40" s="261" t="s">
        <v>2224</v>
      </c>
      <c r="B40" s="216" t="s">
        <v>2225</v>
      </c>
      <c r="C40" s="1495">
        <f>F21</f>
        <v>0.03</v>
      </c>
      <c r="D40" s="242" t="s">
        <v>2226</v>
      </c>
      <c r="E40" s="238"/>
      <c r="F40" s="2535">
        <f>F21</f>
        <v>0.03</v>
      </c>
      <c r="G40" s="240" t="s">
        <v>2227</v>
      </c>
    </row>
    <row r="41" spans="1:7" s="220" customFormat="1" ht="13.5" customHeight="1">
      <c r="A41" s="261" t="s">
        <v>2228</v>
      </c>
      <c r="B41" s="216" t="s">
        <v>2229</v>
      </c>
      <c r="C41" s="238">
        <f ca="1">ROUND(SUM(C42:C43),0)</f>
        <v>4172119</v>
      </c>
      <c r="D41" s="241">
        <f ca="1">C44</f>
        <v>1.1000000000000001E-3</v>
      </c>
      <c r="E41" s="242" t="s">
        <v>2226</v>
      </c>
      <c r="F41" s="2536">
        <f ca="1">F22</f>
        <v>4.7500000000000001E-2</v>
      </c>
      <c r="G41" s="240" t="str">
        <f>IF('数据-取费表'!B22&lt;=1,"单利计息","复利计息")</f>
        <v>复利计息</v>
      </c>
    </row>
    <row r="42" spans="1:7" ht="13.5" customHeight="1">
      <c r="A42" s="887" t="s">
        <v>791</v>
      </c>
      <c r="B42" s="221" t="s">
        <v>2230</v>
      </c>
      <c r="C42" s="244">
        <f ca="1">ROUND(IF('数据-取费表'!B22&lt;=1,C33*F22*'数据-取费表'!B20/2,C33*(POWER((1+F22),'数据-取费表'!B20/2)-1)),0)</f>
        <v>4050601</v>
      </c>
      <c r="D42" s="244"/>
      <c r="E42" s="244"/>
      <c r="F42" s="245"/>
      <c r="G42" s="3256" t="s">
        <v>2278</v>
      </c>
    </row>
    <row r="43" spans="1:7" ht="13.5" customHeight="1">
      <c r="A43" s="887" t="s">
        <v>792</v>
      </c>
      <c r="B43" s="221" t="s">
        <v>2232</v>
      </c>
      <c r="C43" s="244">
        <f ca="1">ROUND(IF('数据-取费表'!B22&lt;=1,C39*F22*'数据-取费表'!B20/2,C39*(POWER((1+F22),'数据-取费表'!B20/2)-1)),0)</f>
        <v>121518</v>
      </c>
      <c r="D43" s="244"/>
      <c r="E43" s="244"/>
      <c r="F43" s="245"/>
      <c r="G43" s="3257"/>
    </row>
    <row r="44" spans="1:7" ht="13.5" customHeight="1">
      <c r="A44" s="887" t="s">
        <v>793</v>
      </c>
      <c r="B44" s="221" t="s">
        <v>2233</v>
      </c>
      <c r="C44" s="244">
        <f ca="1">ROUND(IF('数据-取费表'!B22&lt;=1,C40*F22*'数据-取费表'!B20/2,C40*(POWER((1+F22),'数据-取费表'!B20/2)-1)),4)</f>
        <v>1.1000000000000001E-3</v>
      </c>
      <c r="D44" s="244"/>
      <c r="E44" s="244"/>
      <c r="F44" s="245"/>
      <c r="G44" s="3258"/>
    </row>
    <row r="45" spans="1:7" s="220" customFormat="1" ht="13.5" customHeight="1">
      <c r="A45" s="261" t="s">
        <v>2234</v>
      </c>
      <c r="B45" s="250" t="s">
        <v>2200</v>
      </c>
      <c r="C45" s="251">
        <f ca="1">C46</f>
        <v>18847687</v>
      </c>
      <c r="D45" s="241">
        <f ca="1">C47</f>
        <v>4.7999999999999996E-3</v>
      </c>
      <c r="E45" s="242" t="s">
        <v>2226</v>
      </c>
      <c r="F45" s="2537">
        <f ca="1">F27</f>
        <v>0.16</v>
      </c>
      <c r="G45" s="253" t="s">
        <v>2235</v>
      </c>
    </row>
    <row r="46" spans="1:7" s="220" customFormat="1" ht="13.5" customHeight="1">
      <c r="A46" s="887" t="s">
        <v>791</v>
      </c>
      <c r="B46" s="254" t="s">
        <v>2236</v>
      </c>
      <c r="C46" s="255">
        <f ca="1">ROUND((C33+C39)*F27,0)</f>
        <v>18847687</v>
      </c>
      <c r="D46" s="269"/>
      <c r="E46" s="242"/>
      <c r="F46" s="252"/>
      <c r="G46" s="253"/>
    </row>
    <row r="47" spans="1:7" s="220" customFormat="1" ht="13.5" customHeight="1">
      <c r="A47" s="887" t="s">
        <v>792</v>
      </c>
      <c r="B47" s="254" t="s">
        <v>2237</v>
      </c>
      <c r="C47" s="244">
        <f ca="1">ROUND(C40*F27,4)</f>
        <v>4.7999999999999996E-3</v>
      </c>
      <c r="D47" s="269"/>
      <c r="E47" s="242"/>
      <c r="F47" s="252"/>
      <c r="G47" s="253"/>
    </row>
    <row r="48" spans="1:7" s="220" customFormat="1" ht="13.5" customHeight="1">
      <c r="A48" s="261" t="s">
        <v>2199</v>
      </c>
      <c r="B48" s="216" t="s">
        <v>2238</v>
      </c>
      <c r="C48" s="268">
        <f>ROUND(F30/(1+'数据-取费表'!C42),4)</f>
        <v>5.33E-2</v>
      </c>
      <c r="D48" s="242" t="s">
        <v>2226</v>
      </c>
      <c r="E48" s="238"/>
      <c r="F48" s="2536">
        <f>F30</f>
        <v>5.6000000000000001E-2</v>
      </c>
      <c r="G48" s="240" t="s">
        <v>2239</v>
      </c>
    </row>
    <row r="49" spans="1:7" ht="16.5" customHeight="1">
      <c r="A49" s="261" t="s">
        <v>2205</v>
      </c>
      <c r="B49" s="216" t="s">
        <v>2279</v>
      </c>
      <c r="C49" s="238">
        <f ca="1">ROUND((C33+C39+C41+C45)/(1-C40-D41-D45-C48),0)</f>
        <v>154608969</v>
      </c>
      <c r="D49" s="238"/>
      <c r="E49" s="238"/>
      <c r="F49" s="270"/>
      <c r="G49" s="240" t="s">
        <v>2241</v>
      </c>
    </row>
    <row r="50" spans="1:7" s="264" customFormat="1">
      <c r="A50" s="261" t="s">
        <v>2242</v>
      </c>
      <c r="B50" s="216" t="s">
        <v>2243</v>
      </c>
      <c r="C50" s="238"/>
      <c r="D50" s="238"/>
      <c r="E50" s="238"/>
      <c r="F50" s="270">
        <f>IF('数据-取费表'!B24=0,'数据-取费表'!N16,1)</f>
        <v>0.82</v>
      </c>
      <c r="G50" s="253"/>
    </row>
    <row r="51" spans="1:7" ht="16.5" customHeight="1">
      <c r="A51" s="261" t="s">
        <v>2245</v>
      </c>
      <c r="B51" s="216" t="s">
        <v>2280</v>
      </c>
      <c r="C51" s="238">
        <f ca="1">ROUND(C49*F50,0)</f>
        <v>126779355</v>
      </c>
      <c r="D51" s="238"/>
      <c r="E51" s="238"/>
      <c r="F51" s="270"/>
      <c r="G51" s="240" t="s">
        <v>2247</v>
      </c>
    </row>
    <row r="52" spans="1:7" s="214" customFormat="1" ht="16.5" thickBot="1">
      <c r="A52" s="271" t="s">
        <v>2248</v>
      </c>
      <c r="B52" s="272"/>
      <c r="C52" s="273">
        <f ca="1">C31+C51</f>
        <v>141570897</v>
      </c>
      <c r="D52" s="272"/>
      <c r="E52" s="272"/>
      <c r="F52" s="272"/>
      <c r="G52" s="274"/>
    </row>
    <row r="55" spans="1:7" ht="15">
      <c r="B55" s="276" t="s">
        <v>2249</v>
      </c>
      <c r="C55" s="277"/>
    </row>
    <row r="56" spans="1:7">
      <c r="B56" s="279" t="s">
        <v>1478</v>
      </c>
      <c r="C56" s="281">
        <f ca="1">1-C57</f>
        <v>0.10399999999999998</v>
      </c>
    </row>
    <row r="57" spans="1:7">
      <c r="B57" s="279" t="s">
        <v>1479</v>
      </c>
      <c r="C57" s="280">
        <f ca="1">ROUND(C51/C52,3)</f>
        <v>0.89600000000000002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2" t="s">
        <v>2281</v>
      </c>
      <c r="B1" s="1351"/>
      <c r="C1" s="1352"/>
      <c r="D1" s="1350"/>
      <c r="E1" s="3037"/>
      <c r="F1" s="3037"/>
      <c r="G1" s="2900"/>
      <c r="H1" s="3037"/>
      <c r="I1" s="3037"/>
      <c r="J1" s="3037"/>
      <c r="K1" s="3038">
        <f>MATCH(C1,'数据-取费表'!A6:A16,0)+5</f>
        <v>8</v>
      </c>
    </row>
    <row r="2" spans="1:33" ht="18" customHeight="1">
      <c r="A2" s="207" t="s">
        <v>2149</v>
      </c>
      <c r="B2" s="210">
        <f ca="1">C32</f>
        <v>0</v>
      </c>
      <c r="C2" s="282" t="s">
        <v>2282</v>
      </c>
      <c r="D2" s="282"/>
      <c r="E2" s="3037"/>
      <c r="F2" s="3037"/>
      <c r="G2" s="3037"/>
      <c r="H2" s="3037"/>
      <c r="I2" s="3037"/>
      <c r="J2" s="3037"/>
      <c r="K2" s="3037"/>
    </row>
    <row r="3" spans="1:33" ht="18" customHeight="1" thickBot="1">
      <c r="A3" s="209" t="s">
        <v>2151</v>
      </c>
      <c r="B3" s="210">
        <f ca="1">ROUND(B2*10000/IF(C1="",'数据-汇总表'!E3,INDIRECT("'数据-取费表'!K"&amp;$K$1)),0)</f>
        <v>0</v>
      </c>
      <c r="C3" s="282" t="s">
        <v>2283</v>
      </c>
      <c r="D3" s="282"/>
      <c r="E3" s="3037"/>
      <c r="F3" s="3037"/>
      <c r="G3" s="3037"/>
      <c r="H3" s="3037"/>
      <c r="I3" s="3037"/>
      <c r="J3" s="3037"/>
      <c r="K3" s="3037"/>
    </row>
    <row r="4" spans="1:33" s="892" customFormat="1" ht="16.5" customHeight="1">
      <c r="A4" s="889" t="s">
        <v>2284</v>
      </c>
      <c r="B4" s="890"/>
      <c r="C4" s="932">
        <f>SUM(C8:K8)</f>
        <v>0</v>
      </c>
      <c r="D4" s="890"/>
      <c r="E4" s="890"/>
      <c r="F4" s="890"/>
      <c r="G4" s="890"/>
      <c r="H4" s="890"/>
      <c r="I4" s="890"/>
      <c r="J4" s="890"/>
      <c r="K4" s="891"/>
    </row>
    <row r="5" spans="1:33" s="896" customFormat="1" ht="24.75">
      <c r="A5" s="893" t="s">
        <v>2285</v>
      </c>
      <c r="B5" s="894" t="s">
        <v>2286</v>
      </c>
      <c r="C5" s="2046" t="s">
        <v>2287</v>
      </c>
      <c r="D5" s="2046" t="s">
        <v>2288</v>
      </c>
      <c r="E5" s="2046" t="s">
        <v>2289</v>
      </c>
      <c r="F5" s="2046"/>
      <c r="G5" s="2046"/>
      <c r="H5" s="2046"/>
      <c r="I5" s="2046"/>
      <c r="J5" s="2046"/>
      <c r="K5" s="2046"/>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6" t="s">
        <v>2290</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2291</v>
      </c>
      <c r="B7" s="136" t="s">
        <v>2292</v>
      </c>
      <c r="C7" s="283">
        <f>SUMIF('数据-汇总表'!$C19:$C33,假设开发法!C5,'数据-汇总表'!$E19:$E33)</f>
        <v>0</v>
      </c>
      <c r="D7" s="283">
        <f>SUMIF('数据-汇总表'!$C19:$C33,假设开发法!D5,'数据-汇总表'!$E19:$E33)</f>
        <v>0</v>
      </c>
      <c r="E7" s="283">
        <f>SUMIF('数据-汇总表'!$C19:$C33,假设开发法!E5,'数据-汇总表'!$E19:$E33)</f>
        <v>6471.53</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7" t="s">
        <v>2293</v>
      </c>
      <c r="B8" s="169" t="s">
        <v>2294</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2295</v>
      </c>
      <c r="B9" s="890"/>
      <c r="C9" s="890"/>
      <c r="D9" s="890"/>
      <c r="E9" s="890"/>
      <c r="F9" s="890"/>
      <c r="G9" s="890"/>
      <c r="H9" s="890"/>
      <c r="I9" s="890"/>
      <c r="J9" s="890"/>
      <c r="K9" s="891"/>
    </row>
    <row r="10" spans="1:33" s="906" customFormat="1" ht="13.5" customHeight="1">
      <c r="A10" s="893" t="s">
        <v>2296</v>
      </c>
      <c r="B10" s="8" t="s">
        <v>2297</v>
      </c>
      <c r="C10" s="902" t="s">
        <v>2298</v>
      </c>
      <c r="D10" s="903" t="s">
        <v>2299</v>
      </c>
      <c r="E10" s="903" t="s">
        <v>2300</v>
      </c>
      <c r="F10" s="903" t="s">
        <v>2301</v>
      </c>
      <c r="G10" s="8"/>
      <c r="H10" s="904"/>
      <c r="I10" s="904"/>
      <c r="J10" s="904"/>
      <c r="K10" s="905"/>
    </row>
    <row r="11" spans="1:33" s="911" customFormat="1" ht="13.5" customHeight="1">
      <c r="A11" s="907" t="s">
        <v>1300</v>
      </c>
      <c r="B11" s="908" t="s">
        <v>2302</v>
      </c>
      <c r="C11" s="285">
        <f ca="1">IF(C1="",'数据-取费表'!P16,INDIRECT("'数据-取费表'!p"&amp;$K$1)+INDIRECT("'数据-取费表'!ar"&amp;$K$1))</f>
        <v>0</v>
      </c>
      <c r="D11" s="909"/>
      <c r="E11" s="335"/>
      <c r="F11" s="910">
        <f ca="1">1-IF('数据-取费表'!B24=0,1,IF(C1="",'数据-取费表'!N16,INDIRECT("'数据-取费表'!n"&amp;$K$1)))</f>
        <v>0</v>
      </c>
      <c r="G11" s="8"/>
      <c r="H11" s="904"/>
      <c r="I11" s="904"/>
      <c r="J11" s="904"/>
      <c r="K11" s="905"/>
    </row>
    <row r="12" spans="1:33" s="911" customFormat="1" ht="13.5" customHeight="1">
      <c r="A12" s="907" t="s">
        <v>1301</v>
      </c>
      <c r="B12" s="908" t="s">
        <v>2303</v>
      </c>
      <c r="C12" s="24">
        <f ca="1">ROUND(C11*F12,0)</f>
        <v>0</v>
      </c>
      <c r="D12" s="909"/>
      <c r="E12" s="335"/>
      <c r="F12" s="912">
        <f>'数据-取费表'!B33</f>
        <v>0.05</v>
      </c>
      <c r="G12" s="8" t="s">
        <v>2304</v>
      </c>
      <c r="H12" s="904"/>
      <c r="I12" s="904"/>
      <c r="J12" s="904"/>
      <c r="K12" s="905"/>
    </row>
    <row r="13" spans="1:33" s="911" customFormat="1" ht="13.5" customHeight="1">
      <c r="A13" s="907" t="s">
        <v>1302</v>
      </c>
      <c r="B13" s="908" t="s">
        <v>2305</v>
      </c>
      <c r="C13" s="24">
        <f ca="1">ROUND(IF(C1="",SUMIF('数据-取费表'!C:C,"住宅",'数据-取费表'!P:P)*F13,IF(INDIRECT("'数据-取费表'!c"&amp;$K$1)="住宅",INDIRECT("'数据-取费表'!P"&amp;$K$1)*F13,0)),0)</f>
        <v>0</v>
      </c>
      <c r="D13" s="954"/>
      <c r="E13" s="335"/>
      <c r="F13" s="912">
        <f>'数据-取费表'!B34</f>
        <v>0</v>
      </c>
      <c r="G13" s="8" t="s">
        <v>2306</v>
      </c>
      <c r="H13" s="904"/>
      <c r="I13" s="904"/>
      <c r="J13" s="904"/>
      <c r="K13" s="905"/>
    </row>
    <row r="14" spans="1:33" s="913" customFormat="1" ht="13.5" customHeight="1">
      <c r="A14" s="907" t="s">
        <v>1303</v>
      </c>
      <c r="B14" s="908" t="s">
        <v>2307</v>
      </c>
      <c r="C14" s="24">
        <f ca="1">ROUND(D14*E14*F11/10000,0)</f>
        <v>0</v>
      </c>
      <c r="D14" s="954">
        <f ca="1">IF(C1="",'数据-汇总表'!E3,INDIRECT("'数据-取费表'!K"&amp;$K$1)+INDIRECT("'数据-取费表'!S"&amp;$K$1))</f>
        <v>27960.83</v>
      </c>
      <c r="E14" s="24">
        <f>'数据-取费表'!B35</f>
        <v>200</v>
      </c>
      <c r="F14" s="912"/>
      <c r="G14" s="8" t="s">
        <v>2308</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2309</v>
      </c>
      <c r="C15" s="919">
        <f ca="1">ROUND(C11*F15,0)</f>
        <v>0</v>
      </c>
      <c r="D15" s="914"/>
      <c r="E15" s="919"/>
      <c r="F15" s="920">
        <f>'数据-取费表'!B36</f>
        <v>1.4999999999999999E-2</v>
      </c>
      <c r="G15" s="136" t="s">
        <v>2310</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2311</v>
      </c>
      <c r="C16" s="919">
        <f ca="1">SUM(C11:C15)</f>
        <v>0</v>
      </c>
      <c r="D16" s="914"/>
      <c r="E16" s="919"/>
      <c r="F16" s="920"/>
      <c r="G16" s="136"/>
      <c r="H16" s="1348"/>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2312</v>
      </c>
      <c r="C17" s="24">
        <f ca="1">ROUND(D17*E17/10000,0)</f>
        <v>0</v>
      </c>
      <c r="D17" s="954">
        <f ca="1">D14</f>
        <v>27960.83</v>
      </c>
      <c r="E17" s="24">
        <f>'数据-取费表'!B32</f>
        <v>0</v>
      </c>
      <c r="F17" s="914"/>
      <c r="G17" s="136" t="s">
        <v>2313</v>
      </c>
      <c r="H17" s="1348"/>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2314</v>
      </c>
      <c r="C18" s="24">
        <f ca="1">C19+C20-IF(C1="",'数据-取费表'!B29,IF(G18="已全部缴纳",C19+C20,H18))</f>
        <v>0</v>
      </c>
      <c r="D18" s="954"/>
      <c r="E18" s="24"/>
      <c r="F18" s="912"/>
      <c r="G18" s="2048"/>
      <c r="H18" s="1347"/>
      <c r="I18" s="2049" t="s">
        <v>2315</v>
      </c>
      <c r="J18" s="915"/>
      <c r="K18" s="916"/>
    </row>
    <row r="19" spans="1:33" s="911" customFormat="1" ht="13.5" customHeight="1">
      <c r="A19" s="907" t="s">
        <v>805</v>
      </c>
      <c r="B19" s="908" t="s">
        <v>2316</v>
      </c>
      <c r="C19" s="24">
        <f ca="1">ROUND(D19*E19/10000,0)</f>
        <v>0</v>
      </c>
      <c r="D19" s="954">
        <f ca="1">IF(C1="",'数据-汇总表'!E5,IF(INDIRECT("'数据-取费表'!c"&amp;$K$1)="住宅",INDIRECT("'数据-取费表'!k"&amp;$K$1),0))</f>
        <v>0</v>
      </c>
      <c r="E19" s="24">
        <f>'数据-取费表'!B27</f>
        <v>180</v>
      </c>
      <c r="F19" s="912"/>
      <c r="G19" s="15"/>
      <c r="H19" s="1349"/>
      <c r="I19" s="917"/>
      <c r="J19" s="917"/>
      <c r="K19" s="918"/>
    </row>
    <row r="20" spans="1:33" s="911" customFormat="1" ht="13.5" customHeight="1">
      <c r="A20" s="907" t="s">
        <v>806</v>
      </c>
      <c r="B20" s="908" t="s">
        <v>2317</v>
      </c>
      <c r="C20" s="24">
        <f ca="1">ROUND(D20*E20/10000,0)</f>
        <v>503</v>
      </c>
      <c r="D20" s="954">
        <f ca="1">IF(C1="",'数据-汇总表'!E6,IF(INDIRECT("'数据-取费表'!c"&amp;$K$1)="住宅",INDIRECT("'数据-取费表'!s"&amp;$K$1),INDIRECT("'数据-取费表'!k"&amp;$K$1)+INDIRECT("'数据-取费表'!s"&amp;$K$1)))</f>
        <v>27960.83</v>
      </c>
      <c r="E20" s="24">
        <f>'数据-取费表'!B28</f>
        <v>180</v>
      </c>
      <c r="F20" s="912"/>
      <c r="G20" s="15"/>
      <c r="H20" s="917"/>
      <c r="I20" s="917"/>
      <c r="J20" s="917"/>
      <c r="K20" s="918"/>
    </row>
    <row r="21" spans="1:33" s="911" customFormat="1" ht="13.5" customHeight="1">
      <c r="A21" s="897" t="s">
        <v>802</v>
      </c>
      <c r="B21" s="921" t="s">
        <v>2318</v>
      </c>
      <c r="C21" s="922">
        <f ca="1">C16+C17+C18</f>
        <v>0</v>
      </c>
      <c r="D21" s="923"/>
      <c r="E21" s="287"/>
      <c r="F21" s="287"/>
      <c r="G21" s="136" t="s">
        <v>2319</v>
      </c>
      <c r="H21" s="915"/>
      <c r="I21" s="915"/>
      <c r="J21" s="915"/>
      <c r="K21" s="916"/>
    </row>
    <row r="22" spans="1:33" s="911" customFormat="1" ht="13.5" customHeight="1">
      <c r="A22" s="897" t="s">
        <v>2291</v>
      </c>
      <c r="B22" s="921" t="s">
        <v>2320</v>
      </c>
      <c r="C22" s="922">
        <f ca="1">ROUND(C21*F22,0)</f>
        <v>0</v>
      </c>
      <c r="D22" s="287"/>
      <c r="E22" s="287"/>
      <c r="F22" s="924">
        <f>'数据-取费表'!B37</f>
        <v>0.03</v>
      </c>
      <c r="G22" s="8" t="s">
        <v>2321</v>
      </c>
      <c r="H22" s="904"/>
      <c r="I22" s="904"/>
      <c r="J22" s="904"/>
      <c r="K22" s="905"/>
    </row>
    <row r="23" spans="1:33" s="911" customFormat="1" ht="13.5" customHeight="1">
      <c r="A23" s="897" t="s">
        <v>2293</v>
      </c>
      <c r="B23" s="921" t="s">
        <v>2322</v>
      </c>
      <c r="C23" s="922">
        <f ca="1">ROUND(C4*F23*F11,0)</f>
        <v>0</v>
      </c>
      <c r="D23" s="287"/>
      <c r="E23" s="287"/>
      <c r="F23" s="924">
        <f>'数据-取费表'!B38</f>
        <v>0.03</v>
      </c>
      <c r="G23" s="8" t="s">
        <v>2323</v>
      </c>
      <c r="H23" s="904"/>
      <c r="I23" s="904"/>
      <c r="J23" s="904"/>
      <c r="K23" s="905"/>
    </row>
    <row r="24" spans="1:33" s="911" customFormat="1" ht="13.5" customHeight="1">
      <c r="A24" s="897" t="s">
        <v>2324</v>
      </c>
      <c r="B24" s="921" t="s">
        <v>2325</v>
      </c>
      <c r="C24" s="286">
        <f>ROUND(F24/(1+'数据-取费表'!C42),4)</f>
        <v>2.9000000000000001E-2</v>
      </c>
      <c r="D24" s="287" t="s">
        <v>15</v>
      </c>
      <c r="E24" s="287"/>
      <c r="F24" s="924">
        <f>IF(项目基本情况!B8="出让",0,'数据-取费表'!B48+'数据-取费表'!B49)</f>
        <v>3.0499999999999999E-2</v>
      </c>
      <c r="G24" s="8" t="s">
        <v>2326</v>
      </c>
      <c r="H24" s="926"/>
      <c r="I24" s="926"/>
      <c r="J24" s="926"/>
      <c r="K24" s="927"/>
    </row>
    <row r="25" spans="1:33" s="911" customFormat="1" ht="13.5" customHeight="1">
      <c r="A25" s="897" t="s">
        <v>2327</v>
      </c>
      <c r="B25" s="923" t="s">
        <v>2328</v>
      </c>
      <c r="C25" s="1264">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2329</v>
      </c>
      <c r="C26" s="1265">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2330</v>
      </c>
      <c r="C27" s="1266">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5"/>
      <c r="I27" s="915"/>
      <c r="J27" s="915"/>
      <c r="K27" s="916"/>
    </row>
    <row r="28" spans="1:33" s="295" customFormat="1" ht="13.5" customHeight="1">
      <c r="A28" s="897" t="s">
        <v>2331</v>
      </c>
      <c r="B28" s="2051" t="s">
        <v>2332</v>
      </c>
      <c r="C28" s="293">
        <f ca="1">C30</f>
        <v>0</v>
      </c>
      <c r="D28" s="286">
        <f ca="1">C29</f>
        <v>0</v>
      </c>
      <c r="E28" s="288" t="s">
        <v>15</v>
      </c>
      <c r="F28" s="294">
        <f ca="1">IF(C1="",'数据-取费表'!Q16,INDIRECT("'数据-取费表'!q"&amp;$K$1))</f>
        <v>0.16</v>
      </c>
      <c r="G28" s="925"/>
      <c r="H28" s="926"/>
      <c r="I28" s="926"/>
      <c r="J28" s="926"/>
      <c r="K28" s="927"/>
    </row>
    <row r="29" spans="1:33" s="297" customFormat="1" ht="13.5" customHeight="1">
      <c r="A29" s="907" t="s">
        <v>803</v>
      </c>
      <c r="B29" s="930" t="s">
        <v>2333</v>
      </c>
      <c r="C29" s="290">
        <f ca="1">ROUND((1+C24)*F28*'数据-取费表'!B24/'数据-取费表'!B20,4)</f>
        <v>0</v>
      </c>
      <c r="D29" s="290"/>
      <c r="E29" s="291"/>
      <c r="F29" s="296"/>
      <c r="G29" s="136" t="s">
        <v>2334</v>
      </c>
      <c r="H29" s="915"/>
      <c r="I29" s="915"/>
      <c r="J29" s="915"/>
      <c r="K29" s="916"/>
    </row>
    <row r="30" spans="1:33" s="297" customFormat="1" ht="13.5" customHeight="1">
      <c r="A30" s="907" t="s">
        <v>804</v>
      </c>
      <c r="B30" s="930" t="s">
        <v>2335</v>
      </c>
      <c r="C30" s="298">
        <f ca="1">ROUND((C21+C22+C23)*F28,0)</f>
        <v>0</v>
      </c>
      <c r="D30" s="290"/>
      <c r="E30" s="291"/>
      <c r="F30" s="296"/>
      <c r="G30" s="136"/>
      <c r="H30" s="915"/>
      <c r="I30" s="915"/>
      <c r="J30" s="915"/>
      <c r="K30" s="916"/>
    </row>
    <row r="31" spans="1:33" s="911" customFormat="1" ht="13.5" customHeight="1" thickBot="1">
      <c r="A31" s="2052" t="s">
        <v>2336</v>
      </c>
      <c r="B31" s="941" t="s">
        <v>2337</v>
      </c>
      <c r="C31" s="942">
        <f>ROUND(C4*F31/(1+'数据-取费表'!C42),0)</f>
        <v>0</v>
      </c>
      <c r="D31" s="943"/>
      <c r="E31" s="944"/>
      <c r="F31" s="945">
        <f>'数据-取费表'!B41</f>
        <v>5.6000000000000001E-2</v>
      </c>
      <c r="G31" s="946" t="s">
        <v>2338</v>
      </c>
      <c r="H31" s="947"/>
      <c r="I31" s="947"/>
      <c r="J31" s="947"/>
      <c r="K31" s="948"/>
    </row>
    <row r="32" spans="1:33" s="906" customFormat="1" ht="13.5" customHeight="1" thickBot="1">
      <c r="A32" s="936" t="s">
        <v>2339</v>
      </c>
      <c r="B32" s="937"/>
      <c r="C32" s="938">
        <f ca="1">ROUND((C4-C21-C22-C23-C25-C28-C31)/(1+C24+D25+D28),0)</f>
        <v>0</v>
      </c>
      <c r="D32" s="937"/>
      <c r="E32" s="937"/>
      <c r="F32" s="937"/>
      <c r="G32" s="939" t="s">
        <v>2340</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L24" sqref="L24"/>
    </sheetView>
  </sheetViews>
  <sheetFormatPr defaultRowHeight="13.5"/>
  <cols>
    <col min="1" max="1" width="41.125" style="3050" customWidth="1"/>
    <col min="2" max="12" width="9" style="3050"/>
    <col min="13" max="13" width="40.25" style="3050" bestFit="1" customWidth="1"/>
    <col min="14" max="16384" width="9" style="3050"/>
  </cols>
  <sheetData>
    <row r="1" spans="1:14">
      <c r="A1" s="3047" t="s">
        <v>3092</v>
      </c>
      <c r="B1" s="3047" t="s">
        <v>3093</v>
      </c>
      <c r="C1" s="3047" t="s">
        <v>3094</v>
      </c>
      <c r="D1" s="3047" t="s">
        <v>3095</v>
      </c>
      <c r="E1" s="3047" t="s">
        <v>3096</v>
      </c>
      <c r="F1" s="3047" t="s">
        <v>3097</v>
      </c>
      <c r="G1" s="3047" t="s">
        <v>3098</v>
      </c>
      <c r="H1" s="3047" t="s">
        <v>3099</v>
      </c>
      <c r="I1" s="3047" t="s">
        <v>3100</v>
      </c>
      <c r="J1" s="3047" t="s">
        <v>3101</v>
      </c>
      <c r="K1" s="3047" t="s">
        <v>3102</v>
      </c>
      <c r="L1" s="3047" t="s">
        <v>3103</v>
      </c>
      <c r="M1" s="3047" t="s">
        <v>3104</v>
      </c>
      <c r="N1" s="3048" t="s">
        <v>3105</v>
      </c>
    </row>
    <row r="2" spans="1:14">
      <c r="A2" s="3047" t="s">
        <v>3106</v>
      </c>
      <c r="B2" s="3047" t="s">
        <v>3107</v>
      </c>
      <c r="C2" s="3047">
        <v>5871</v>
      </c>
      <c r="D2" s="3047">
        <v>8806.5</v>
      </c>
      <c r="E2" s="3047" t="s">
        <v>3108</v>
      </c>
      <c r="F2" s="3047" t="s">
        <v>3109</v>
      </c>
      <c r="G2" s="3049">
        <v>44010</v>
      </c>
      <c r="H2" s="3047">
        <v>2300</v>
      </c>
      <c r="I2" s="3047">
        <v>2300</v>
      </c>
      <c r="J2" s="3047">
        <v>261.17</v>
      </c>
      <c r="K2" s="3047">
        <v>2611.71</v>
      </c>
      <c r="L2" s="3047">
        <v>0</v>
      </c>
      <c r="M2" s="3047" t="s">
        <v>3110</v>
      </c>
      <c r="N2" s="3047">
        <f t="shared" ref="N2:N11" si="0">I2/C2*10000</f>
        <v>3917.5608925225683</v>
      </c>
    </row>
    <row r="3" spans="1:14">
      <c r="A3" s="3047" t="s">
        <v>3111</v>
      </c>
      <c r="B3" s="3047" t="s">
        <v>3112</v>
      </c>
      <c r="C3" s="3047">
        <v>18272</v>
      </c>
      <c r="D3" s="3047">
        <v>6395.2</v>
      </c>
      <c r="E3" s="3047">
        <v>0.35</v>
      </c>
      <c r="F3" s="3047" t="s">
        <v>3113</v>
      </c>
      <c r="G3" s="3047" t="s">
        <v>3113</v>
      </c>
      <c r="H3" s="3047">
        <v>1137</v>
      </c>
      <c r="I3" s="3047">
        <v>1137</v>
      </c>
      <c r="J3" s="3047">
        <v>41.48</v>
      </c>
      <c r="K3" s="3047">
        <v>1777.9</v>
      </c>
      <c r="L3" s="3047">
        <v>0</v>
      </c>
      <c r="M3" s="3047" t="s">
        <v>3114</v>
      </c>
      <c r="N3" s="3047">
        <f t="shared" si="0"/>
        <v>622.26357267950959</v>
      </c>
    </row>
    <row r="4" spans="1:14">
      <c r="A4" s="3047" t="s">
        <v>3115</v>
      </c>
      <c r="B4" s="3047" t="s">
        <v>3116</v>
      </c>
      <c r="C4" s="3047">
        <v>11107</v>
      </c>
      <c r="D4" s="3047">
        <v>16660.5</v>
      </c>
      <c r="E4" s="3047" t="s">
        <v>3117</v>
      </c>
      <c r="F4" s="3047" t="s">
        <v>3118</v>
      </c>
      <c r="G4" s="3047" t="s">
        <v>3118</v>
      </c>
      <c r="H4" s="3047">
        <v>2329</v>
      </c>
      <c r="I4" s="3047">
        <v>2329</v>
      </c>
      <c r="J4" s="3047">
        <v>139.79</v>
      </c>
      <c r="K4" s="3047">
        <v>1397.92</v>
      </c>
      <c r="L4" s="3047">
        <v>0</v>
      </c>
      <c r="M4" s="3047" t="s">
        <v>3119</v>
      </c>
      <c r="N4" s="3047">
        <f t="shared" si="0"/>
        <v>2096.8758440623033</v>
      </c>
    </row>
    <row r="5" spans="1:14">
      <c r="A5" s="3047" t="s">
        <v>3120</v>
      </c>
      <c r="B5" s="3047" t="s">
        <v>3116</v>
      </c>
      <c r="C5" s="3047">
        <v>27533.16</v>
      </c>
      <c r="D5" s="3047">
        <v>55066.32</v>
      </c>
      <c r="E5" s="3047" t="s">
        <v>3121</v>
      </c>
      <c r="F5" s="3047" t="s">
        <v>3122</v>
      </c>
      <c r="G5" s="3047" t="s">
        <v>3122</v>
      </c>
      <c r="H5" s="3047">
        <v>6926</v>
      </c>
      <c r="I5" s="3047">
        <v>6926</v>
      </c>
      <c r="J5" s="3047">
        <v>167.7</v>
      </c>
      <c r="K5" s="3047">
        <v>1257.75</v>
      </c>
      <c r="L5" s="3047">
        <v>0</v>
      </c>
      <c r="M5" s="3047" t="s">
        <v>3123</v>
      </c>
      <c r="N5" s="3047">
        <f t="shared" si="0"/>
        <v>2515.5122041930526</v>
      </c>
    </row>
    <row r="6" spans="1:14">
      <c r="A6" s="3047" t="s">
        <v>3124</v>
      </c>
      <c r="B6" s="3047" t="s">
        <v>3116</v>
      </c>
      <c r="C6" s="3047">
        <v>12091</v>
      </c>
      <c r="D6" s="3047">
        <v>13300.1</v>
      </c>
      <c r="E6" s="3047" t="s">
        <v>3125</v>
      </c>
      <c r="F6" s="3047" t="s">
        <v>3126</v>
      </c>
      <c r="G6" s="3047" t="s">
        <v>3126</v>
      </c>
      <c r="H6" s="3047">
        <v>1100</v>
      </c>
      <c r="I6" s="3047">
        <v>1100</v>
      </c>
      <c r="J6" s="3047">
        <v>60.65</v>
      </c>
      <c r="K6" s="3047">
        <v>827.05</v>
      </c>
      <c r="L6" s="3047">
        <v>0</v>
      </c>
      <c r="M6" s="3047" t="s">
        <v>3127</v>
      </c>
      <c r="N6" s="3047">
        <f t="shared" si="0"/>
        <v>909.76759573236291</v>
      </c>
    </row>
    <row r="7" spans="1:14">
      <c r="A7" s="3047" t="s">
        <v>3128</v>
      </c>
      <c r="B7" s="3047" t="s">
        <v>3129</v>
      </c>
      <c r="C7" s="3047">
        <v>88036</v>
      </c>
      <c r="D7" s="3047">
        <v>88036</v>
      </c>
      <c r="E7" s="3047" t="s">
        <v>3130</v>
      </c>
      <c r="F7" s="3047" t="s">
        <v>3126</v>
      </c>
      <c r="G7" s="3047" t="s">
        <v>3126</v>
      </c>
      <c r="H7" s="3047">
        <v>7300</v>
      </c>
      <c r="I7" s="3047">
        <v>7300</v>
      </c>
      <c r="J7" s="3047">
        <v>55.28</v>
      </c>
      <c r="K7" s="3047">
        <v>829.21</v>
      </c>
      <c r="L7" s="3047">
        <v>0</v>
      </c>
      <c r="M7" s="3047" t="s">
        <v>3127</v>
      </c>
      <c r="N7" s="3047">
        <f t="shared" si="0"/>
        <v>829.20623381344001</v>
      </c>
    </row>
    <row r="8" spans="1:14" s="3052" customFormat="1">
      <c r="A8" s="3051" t="s">
        <v>3131</v>
      </c>
      <c r="B8" s="3051" t="s">
        <v>3107</v>
      </c>
      <c r="C8" s="3051">
        <v>10217</v>
      </c>
      <c r="D8" s="3051">
        <v>10217</v>
      </c>
      <c r="E8" s="3051" t="s">
        <v>3130</v>
      </c>
      <c r="F8" s="3051" t="s">
        <v>3132</v>
      </c>
      <c r="G8" s="3051" t="s">
        <v>3132</v>
      </c>
      <c r="H8" s="3051">
        <v>3833</v>
      </c>
      <c r="I8" s="3051">
        <v>3833</v>
      </c>
      <c r="J8" s="3051">
        <v>250.11</v>
      </c>
      <c r="K8" s="3051">
        <v>3751.59</v>
      </c>
      <c r="L8" s="3051">
        <v>0</v>
      </c>
      <c r="M8" s="3051" t="s">
        <v>3133</v>
      </c>
      <c r="N8" s="3051">
        <f t="shared" si="0"/>
        <v>3751.5904864441618</v>
      </c>
    </row>
    <row r="9" spans="1:14" s="3052" customFormat="1">
      <c r="A9" s="3051" t="s">
        <v>3134</v>
      </c>
      <c r="B9" s="3051" t="s">
        <v>3107</v>
      </c>
      <c r="C9" s="3051">
        <v>2884.12</v>
      </c>
      <c r="D9" s="3051">
        <v>2884.12</v>
      </c>
      <c r="E9" s="3051" t="s">
        <v>3130</v>
      </c>
      <c r="F9" s="3051" t="s">
        <v>3132</v>
      </c>
      <c r="G9" s="3051" t="s">
        <v>3132</v>
      </c>
      <c r="H9" s="3051">
        <v>1299</v>
      </c>
      <c r="I9" s="3051">
        <v>1299</v>
      </c>
      <c r="J9" s="3051">
        <v>300.26</v>
      </c>
      <c r="K9" s="3051">
        <v>4503.97</v>
      </c>
      <c r="L9" s="3051">
        <v>0</v>
      </c>
      <c r="M9" s="3051" t="s">
        <v>3135</v>
      </c>
      <c r="N9" s="3051">
        <f t="shared" si="0"/>
        <v>4503.9734823793742</v>
      </c>
    </row>
    <row r="10" spans="1:14" s="3052" customFormat="1">
      <c r="A10" s="3051" t="s">
        <v>3136</v>
      </c>
      <c r="B10" s="3051" t="s">
        <v>3107</v>
      </c>
      <c r="C10" s="3051">
        <v>4636.0600000000004</v>
      </c>
      <c r="D10" s="3051">
        <v>4636.0600000000004</v>
      </c>
      <c r="E10" s="3051" t="s">
        <v>3130</v>
      </c>
      <c r="F10" s="3051" t="s">
        <v>3132</v>
      </c>
      <c r="G10" s="3051" t="s">
        <v>3132</v>
      </c>
      <c r="H10" s="3051">
        <v>1738</v>
      </c>
      <c r="I10" s="3051">
        <v>1738</v>
      </c>
      <c r="J10" s="3051">
        <v>249.92</v>
      </c>
      <c r="K10" s="3051">
        <v>3748.86</v>
      </c>
      <c r="L10" s="3051">
        <v>0</v>
      </c>
      <c r="M10" s="3051" t="s">
        <v>3137</v>
      </c>
      <c r="N10" s="3051">
        <f t="shared" si="0"/>
        <v>3748.8729654059694</v>
      </c>
    </row>
    <row r="11" spans="1:14">
      <c r="A11" s="3047" t="s">
        <v>3138</v>
      </c>
      <c r="B11" s="3047" t="s">
        <v>3107</v>
      </c>
      <c r="C11" s="3047">
        <v>4660</v>
      </c>
      <c r="D11" s="3047">
        <v>1398</v>
      </c>
      <c r="E11" s="3047" t="s">
        <v>3139</v>
      </c>
      <c r="F11" s="3047" t="s">
        <v>3132</v>
      </c>
      <c r="G11" s="3047" t="s">
        <v>3132</v>
      </c>
      <c r="H11" s="3047">
        <v>1748</v>
      </c>
      <c r="I11" s="3047">
        <v>1748</v>
      </c>
      <c r="J11" s="3047">
        <v>250.07</v>
      </c>
      <c r="K11" s="3047">
        <v>12503.57</v>
      </c>
      <c r="L11" s="3047">
        <v>0</v>
      </c>
      <c r="M11" s="3047" t="s">
        <v>3110</v>
      </c>
      <c r="N11" s="3047">
        <f t="shared" si="0"/>
        <v>3751.0729613733906</v>
      </c>
    </row>
  </sheetData>
  <phoneticPr fontId="140"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7" zoomScale="85" zoomScaleNormal="60" zoomScaleSheetLayoutView="85" workbookViewId="0">
      <selection activeCell="M46" sqref="M4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2566</v>
      </c>
      <c r="B1" s="355"/>
      <c r="C1" s="356" t="s">
        <v>2567</v>
      </c>
      <c r="D1" s="694"/>
      <c r="E1" s="694"/>
      <c r="F1" s="693" t="s">
        <v>2465</v>
      </c>
      <c r="G1" s="694"/>
      <c r="H1" s="694"/>
      <c r="I1" s="694"/>
      <c r="J1" s="694"/>
      <c r="K1" s="695"/>
      <c r="L1" s="696"/>
      <c r="M1" s="697"/>
      <c r="N1" s="697"/>
      <c r="O1" s="697"/>
      <c r="P1" s="707"/>
      <c r="Q1" s="707"/>
      <c r="R1" s="707"/>
      <c r="S1" s="707"/>
      <c r="T1" s="707"/>
      <c r="U1" s="707"/>
      <c r="V1" s="707"/>
      <c r="W1" s="707"/>
      <c r="X1" s="707"/>
      <c r="Y1" s="707"/>
      <c r="Z1" s="707"/>
      <c r="AA1" s="707"/>
      <c r="AB1" s="707"/>
      <c r="AC1" s="708"/>
      <c r="AD1" s="357"/>
    </row>
    <row r="2" spans="1:30" s="358" customFormat="1" ht="28.5" customHeight="1">
      <c r="A2" s="207" t="s">
        <v>2149</v>
      </c>
      <c r="B2" s="626">
        <f>F66</f>
        <v>9860</v>
      </c>
      <c r="C2" s="1037"/>
      <c r="D2" s="1037"/>
      <c r="E2" s="1038"/>
      <c r="F2" s="1039"/>
      <c r="G2" s="1038"/>
      <c r="H2" s="1038"/>
      <c r="I2" s="1038"/>
      <c r="J2" s="1038"/>
      <c r="K2" s="1040"/>
      <c r="L2" s="2963"/>
      <c r="M2" s="2964"/>
      <c r="N2" s="2964"/>
      <c r="O2" s="2964"/>
      <c r="P2" s="707"/>
      <c r="Q2" s="707"/>
      <c r="R2" s="707"/>
      <c r="S2" s="707"/>
      <c r="T2" s="707"/>
      <c r="U2" s="707"/>
      <c r="V2" s="707"/>
      <c r="W2" s="707"/>
      <c r="X2" s="707"/>
      <c r="Y2" s="707"/>
      <c r="Z2" s="707"/>
      <c r="AA2" s="707"/>
      <c r="AB2" s="707"/>
      <c r="AC2" s="708"/>
      <c r="AD2" s="357"/>
    </row>
    <row r="3" spans="1:30" s="358" customFormat="1" ht="28.5" customHeight="1" thickBot="1">
      <c r="A3" s="209" t="s">
        <v>2151</v>
      </c>
      <c r="B3" s="566">
        <f>ROUND(IF(D3="",B2*10000/'数据-汇总表'!E3,B2*10000/D3),0)</f>
        <v>3526</v>
      </c>
      <c r="C3" s="209" t="s">
        <v>2568</v>
      </c>
      <c r="D3" s="1353"/>
      <c r="E3" s="1038"/>
      <c r="F3" s="1039"/>
      <c r="G3" s="1038"/>
      <c r="H3" s="1038"/>
      <c r="I3" s="1038"/>
      <c r="J3" s="1038"/>
      <c r="K3" s="1040"/>
      <c r="L3" s="2963"/>
      <c r="M3" s="2964"/>
      <c r="N3" s="2964"/>
      <c r="O3" s="2964"/>
      <c r="P3" s="707"/>
      <c r="Q3" s="707"/>
      <c r="R3" s="707"/>
      <c r="S3" s="707"/>
      <c r="T3" s="707"/>
      <c r="U3" s="707"/>
      <c r="V3" s="707"/>
      <c r="W3" s="707"/>
      <c r="X3" s="707"/>
      <c r="Y3" s="707"/>
      <c r="Z3" s="707"/>
      <c r="AA3" s="707"/>
      <c r="AB3" s="724"/>
      <c r="AC3" s="721"/>
    </row>
    <row r="4" spans="1:30" ht="15">
      <c r="A4" s="361" t="s">
        <v>2467</v>
      </c>
      <c r="B4" s="362"/>
      <c r="C4" s="3277" t="s">
        <v>2468</v>
      </c>
      <c r="D4" s="3278"/>
      <c r="E4" s="3279" t="s">
        <v>2469</v>
      </c>
      <c r="F4" s="3280"/>
      <c r="G4" s="3277" t="s">
        <v>2470</v>
      </c>
      <c r="H4" s="3278"/>
      <c r="I4" s="3277" t="s">
        <v>2471</v>
      </c>
      <c r="J4" s="3278"/>
      <c r="K4" s="567" t="s">
        <v>2472</v>
      </c>
      <c r="L4" s="2944"/>
      <c r="M4" s="2945"/>
      <c r="N4" s="2945"/>
      <c r="O4" s="2945"/>
      <c r="P4" s="3281" t="s">
        <v>2473</v>
      </c>
      <c r="Q4" s="3282"/>
      <c r="R4" s="3264" t="s">
        <v>2469</v>
      </c>
      <c r="S4" s="3265"/>
      <c r="T4" s="3264" t="s">
        <v>2470</v>
      </c>
      <c r="U4" s="3265"/>
      <c r="V4" s="3289" t="s">
        <v>2471</v>
      </c>
      <c r="W4" s="3289"/>
      <c r="X4" s="1539"/>
      <c r="Y4" s="3264" t="s">
        <v>2473</v>
      </c>
      <c r="Z4" s="3265"/>
      <c r="AA4" s="3259" t="s">
        <v>2469</v>
      </c>
      <c r="AB4" s="3260" t="s">
        <v>2470</v>
      </c>
      <c r="AC4" s="3259" t="s">
        <v>2471</v>
      </c>
    </row>
    <row r="5" spans="1:30" ht="15">
      <c r="A5" s="364"/>
      <c r="B5" s="365"/>
      <c r="C5" s="3270" t="s">
        <v>2364</v>
      </c>
      <c r="D5" s="3271"/>
      <c r="E5" s="3268" t="str">
        <f>Sheet1!A8</f>
        <v>正阳组团武陵大道与规划路交叉口东南侧</v>
      </c>
      <c r="F5" s="3269"/>
      <c r="G5" s="3270" t="str">
        <f>Sheet1!A9</f>
        <v>正阳组团嘉华城以南、检察四分院以北、正舟路东侧</v>
      </c>
      <c r="H5" s="3271"/>
      <c r="I5" s="3270" t="str">
        <f>Sheet1!A10</f>
        <v>正阳街道物流园区物流路</v>
      </c>
      <c r="J5" s="3271"/>
      <c r="K5" s="567"/>
      <c r="L5" s="2944"/>
      <c r="M5" s="2945"/>
      <c r="N5" s="2945"/>
      <c r="O5" s="2945"/>
      <c r="P5" s="3283"/>
      <c r="Q5" s="3284"/>
      <c r="R5" s="3266"/>
      <c r="S5" s="3267"/>
      <c r="T5" s="3266"/>
      <c r="U5" s="3267"/>
      <c r="V5" s="3289"/>
      <c r="W5" s="3289"/>
      <c r="X5" s="1539"/>
      <c r="Y5" s="3266"/>
      <c r="Z5" s="3267"/>
      <c r="AA5" s="3260"/>
      <c r="AB5" s="3260"/>
      <c r="AC5" s="3260"/>
    </row>
    <row r="6" spans="1:30" ht="15.75" thickBot="1">
      <c r="A6" s="366"/>
      <c r="B6" s="367"/>
      <c r="C6" s="3272" t="s">
        <v>2368</v>
      </c>
      <c r="D6" s="3273"/>
      <c r="E6" s="3274" t="s">
        <v>2368</v>
      </c>
      <c r="F6" s="3275"/>
      <c r="G6" s="3272" t="s">
        <v>2368</v>
      </c>
      <c r="H6" s="3273"/>
      <c r="I6" s="3272" t="s">
        <v>2368</v>
      </c>
      <c r="J6" s="3273"/>
      <c r="K6" s="567" t="s">
        <v>2369</v>
      </c>
      <c r="L6" s="2944"/>
      <c r="M6" s="2945"/>
      <c r="N6" s="2945"/>
      <c r="O6" s="2945"/>
      <c r="P6" s="3285"/>
      <c r="Q6" s="3286"/>
      <c r="R6" s="3266"/>
      <c r="S6" s="3267"/>
      <c r="T6" s="3287"/>
      <c r="U6" s="3288"/>
      <c r="V6" s="3289"/>
      <c r="W6" s="3289"/>
      <c r="X6" s="1539"/>
      <c r="Y6" s="3287"/>
      <c r="Z6" s="3288"/>
      <c r="AA6" s="3261"/>
      <c r="AB6" s="3261"/>
      <c r="AC6" s="3261"/>
    </row>
    <row r="7" spans="1:30" s="113" customFormat="1" ht="15.75" thickBot="1">
      <c r="A7" s="368" t="s">
        <v>2370</v>
      </c>
      <c r="B7" s="369"/>
      <c r="C7" s="370">
        <f>'数据-取费表'!B2</f>
        <v>44224</v>
      </c>
      <c r="D7" s="371">
        <v>100</v>
      </c>
      <c r="E7" s="372" t="str">
        <f>Sheet1!G8</f>
        <v>2018-08-15</v>
      </c>
      <c r="F7" s="373">
        <f>SUMIF(70:70,YEAR(E7)&amp;"-"&amp;INT((MONTH(E7)+2)/3),71:71)</f>
        <v>90</v>
      </c>
      <c r="G7" s="2160" t="str">
        <f>Sheet1!G9</f>
        <v>2018-08-15</v>
      </c>
      <c r="H7" s="371">
        <f>SUMIF(70:70,YEAR(G7)&amp;"-"&amp;INT((MONTH(G7)+2)/3),71:71)</f>
        <v>90</v>
      </c>
      <c r="I7" s="2160" t="str">
        <f>Sheet1!G10</f>
        <v>2018-08-15</v>
      </c>
      <c r="J7" s="371">
        <f>SUMIF(70:70,YEAR(I7)&amp;"-"&amp;INT((MONTH(I7)+2)/3),71:71)</f>
        <v>90</v>
      </c>
      <c r="K7" s="568"/>
      <c r="L7" s="2946"/>
      <c r="M7" s="2947"/>
      <c r="N7" s="2947"/>
      <c r="O7" s="2947"/>
      <c r="P7" s="3262" t="s">
        <v>2371</v>
      </c>
      <c r="Q7" s="3290"/>
      <c r="R7" s="709" t="s">
        <v>17</v>
      </c>
      <c r="S7" s="710">
        <f t="shared" ref="S7:S15" si="0">F7</f>
        <v>90</v>
      </c>
      <c r="T7" s="709" t="s">
        <v>17</v>
      </c>
      <c r="U7" s="710">
        <f t="shared" ref="U7:U15" si="1">H7</f>
        <v>90</v>
      </c>
      <c r="V7" s="709" t="s">
        <v>17</v>
      </c>
      <c r="W7" s="710">
        <f t="shared" ref="W7:W15" si="2">J7</f>
        <v>90</v>
      </c>
      <c r="X7" s="711"/>
      <c r="Y7" s="3262" t="s">
        <v>2371</v>
      </c>
      <c r="Z7" s="3263"/>
      <c r="AA7" s="712">
        <f>D7/F7</f>
        <v>1.1111111111111112</v>
      </c>
      <c r="AB7" s="712">
        <f>D7/H7</f>
        <v>1.1111111111111112</v>
      </c>
      <c r="AC7" s="712">
        <f>D7/J7</f>
        <v>1.1111111111111112</v>
      </c>
    </row>
    <row r="8" spans="1:30" s="113" customFormat="1" ht="15.75" thickBot="1">
      <c r="A8" s="368" t="s">
        <v>2372</v>
      </c>
      <c r="B8" s="369"/>
      <c r="C8" s="374" t="s">
        <v>2373</v>
      </c>
      <c r="D8" s="371">
        <v>100</v>
      </c>
      <c r="E8" s="374" t="s">
        <v>3140</v>
      </c>
      <c r="F8" s="373">
        <f>SUMIF(73:73,E8,74:74)-SUMIF(73:73,C8,74:74)+100</f>
        <v>100</v>
      </c>
      <c r="G8" s="374" t="s">
        <v>3140</v>
      </c>
      <c r="H8" s="371">
        <f>SUMIF(73:73,G8,74:74)-SUMIF(73:73,C8,74:74)+100</f>
        <v>100</v>
      </c>
      <c r="I8" s="374" t="s">
        <v>3140</v>
      </c>
      <c r="J8" s="371">
        <f>SUMIF(73:73,I8,74:74)-SUMIF(73:73,C8,74:74)+100</f>
        <v>100</v>
      </c>
      <c r="K8" s="568"/>
      <c r="L8" s="2946"/>
      <c r="M8" s="2947"/>
      <c r="N8" s="2947"/>
      <c r="O8" s="2947"/>
      <c r="P8" s="3262" t="s">
        <v>2374</v>
      </c>
      <c r="Q8" s="3263"/>
      <c r="R8" s="709" t="s">
        <v>17</v>
      </c>
      <c r="S8" s="710">
        <f t="shared" si="0"/>
        <v>100</v>
      </c>
      <c r="T8" s="709" t="s">
        <v>17</v>
      </c>
      <c r="U8" s="710">
        <f t="shared" si="1"/>
        <v>100</v>
      </c>
      <c r="V8" s="709" t="s">
        <v>17</v>
      </c>
      <c r="W8" s="710">
        <f t="shared" si="2"/>
        <v>100</v>
      </c>
      <c r="X8" s="711"/>
      <c r="Y8" s="3262" t="s">
        <v>2374</v>
      </c>
      <c r="Z8" s="3263"/>
      <c r="AA8" s="712">
        <f t="shared" ref="AA8:AA45" si="3">D8/F8</f>
        <v>1</v>
      </c>
      <c r="AB8" s="712">
        <f t="shared" ref="AB8:AB45" si="4">D8/H8</f>
        <v>1</v>
      </c>
      <c r="AC8" s="712">
        <f t="shared" ref="AC8:AC45" si="5">D8/J8</f>
        <v>1</v>
      </c>
    </row>
    <row r="9" spans="1:30" s="113" customFormat="1">
      <c r="A9" s="375" t="s">
        <v>2375</v>
      </c>
      <c r="B9" s="67" t="s">
        <v>2376</v>
      </c>
      <c r="C9" s="2163" t="s">
        <v>1343</v>
      </c>
      <c r="D9" s="131">
        <v>100</v>
      </c>
      <c r="E9" s="2163" t="s">
        <v>1343</v>
      </c>
      <c r="F9" s="131">
        <f>SUMIF(75:75,E9,76:76)-SUMIF(75:75,C9,76:76)+100</f>
        <v>100</v>
      </c>
      <c r="G9" s="2163" t="s">
        <v>1343</v>
      </c>
      <c r="H9" s="131">
        <f>SUMIF(75:75,G9,76:76)-SUMIF(75:75,C9,76:76)+100</f>
        <v>100</v>
      </c>
      <c r="I9" s="2163" t="s">
        <v>1343</v>
      </c>
      <c r="J9" s="131">
        <f>SUMIF(75:75,I9,76:76)-SUMIF(75:75,C9,76:76)+100</f>
        <v>100</v>
      </c>
      <c r="K9" s="568"/>
      <c r="L9" s="2946"/>
      <c r="M9" s="2947"/>
      <c r="N9" s="2947"/>
      <c r="O9" s="3001"/>
      <c r="P9" s="3276" t="s">
        <v>2377</v>
      </c>
      <c r="Q9" s="1527" t="str">
        <f t="shared" ref="Q9:Q15" si="6">B9</f>
        <v>用途</v>
      </c>
      <c r="R9" s="709" t="s">
        <v>17</v>
      </c>
      <c r="S9" s="710">
        <f t="shared" si="0"/>
        <v>100</v>
      </c>
      <c r="T9" s="709" t="s">
        <v>17</v>
      </c>
      <c r="U9" s="710">
        <f t="shared" si="1"/>
        <v>100</v>
      </c>
      <c r="V9" s="709" t="s">
        <v>17</v>
      </c>
      <c r="W9" s="710">
        <f t="shared" si="2"/>
        <v>100</v>
      </c>
      <c r="X9" s="711"/>
      <c r="Y9" s="3232" t="s">
        <v>2378</v>
      </c>
      <c r="Z9" s="55" t="str">
        <f t="shared" ref="Z9:Z15" si="7">Q9</f>
        <v>用途</v>
      </c>
      <c r="AA9" s="712">
        <f t="shared" si="3"/>
        <v>1</v>
      </c>
      <c r="AB9" s="712">
        <f t="shared" si="4"/>
        <v>1</v>
      </c>
      <c r="AC9" s="712">
        <f t="shared" si="5"/>
        <v>1</v>
      </c>
    </row>
    <row r="10" spans="1:30" s="386" customFormat="1" ht="28.5">
      <c r="A10" s="380"/>
      <c r="B10" s="381" t="s">
        <v>2379</v>
      </c>
      <c r="C10" s="391" t="str">
        <f>项目基本情况!F16</f>
        <v>商业、地下车库32.78年</v>
      </c>
      <c r="D10" s="132">
        <v>100</v>
      </c>
      <c r="E10" s="424" t="s">
        <v>3150</v>
      </c>
      <c r="F10" s="132">
        <f>ROUND(100/'数据-取费表'!G16,0)</f>
        <v>109</v>
      </c>
      <c r="G10" s="422" t="s">
        <v>3150</v>
      </c>
      <c r="H10" s="132">
        <f>ROUND(100/'数据-取费表'!G16,0)</f>
        <v>109</v>
      </c>
      <c r="I10" s="422" t="s">
        <v>3150</v>
      </c>
      <c r="J10" s="132">
        <f>ROUND(100/'数据-取费表'!G16,0)</f>
        <v>109</v>
      </c>
      <c r="K10" s="627"/>
      <c r="L10" s="2948"/>
      <c r="M10" s="2949"/>
      <c r="N10" s="2949"/>
      <c r="O10" s="3002"/>
      <c r="P10" s="3276"/>
      <c r="Q10" s="1527" t="str">
        <f t="shared" si="6"/>
        <v>土地使用年限（年）</v>
      </c>
      <c r="R10" s="709" t="s">
        <v>17</v>
      </c>
      <c r="S10" s="710">
        <f t="shared" si="0"/>
        <v>109</v>
      </c>
      <c r="T10" s="709" t="s">
        <v>17</v>
      </c>
      <c r="U10" s="710">
        <f t="shared" si="1"/>
        <v>109</v>
      </c>
      <c r="V10" s="709" t="s">
        <v>17</v>
      </c>
      <c r="W10" s="710">
        <f t="shared" si="2"/>
        <v>109</v>
      </c>
      <c r="X10" s="711"/>
      <c r="Y10" s="3232"/>
      <c r="Z10" s="55" t="str">
        <f t="shared" si="7"/>
        <v>土地使用年限（年）</v>
      </c>
      <c r="AA10" s="712">
        <f t="shared" si="3"/>
        <v>0.91743119266055051</v>
      </c>
      <c r="AB10" s="712">
        <f t="shared" si="4"/>
        <v>0.91743119266055051</v>
      </c>
      <c r="AC10" s="712">
        <f t="shared" si="5"/>
        <v>0.91743119266055051</v>
      </c>
    </row>
    <row r="11" spans="1:30" ht="15">
      <c r="A11" s="387"/>
      <c r="B11" s="381" t="s">
        <v>2380</v>
      </c>
      <c r="C11" s="388">
        <f>'数据-汇总表'!I6</f>
        <v>0.89</v>
      </c>
      <c r="D11" s="132">
        <v>100</v>
      </c>
      <c r="E11" s="388">
        <v>1</v>
      </c>
      <c r="F11" s="132">
        <f>LOOKUP(E11,80:80,81:81)-LOOKUP(C11,80:80,81:81)+100</f>
        <v>100</v>
      </c>
      <c r="G11" s="389">
        <v>1</v>
      </c>
      <c r="H11" s="132">
        <f>LOOKUP(G11,80:80,81:81)-LOOKUP(C11,80:80,81:81)+100</f>
        <v>100</v>
      </c>
      <c r="I11" s="388">
        <v>1</v>
      </c>
      <c r="J11" s="132">
        <f>LOOKUP(I11,80:80,81:81)-LOOKUP(C11,80:80,81:81)+100</f>
        <v>100</v>
      </c>
      <c r="K11" s="628">
        <v>1</v>
      </c>
      <c r="L11" s="2950"/>
      <c r="M11" s="2945"/>
      <c r="N11" s="2945"/>
      <c r="O11" s="3003"/>
      <c r="P11" s="3276"/>
      <c r="Q11" s="1527" t="str">
        <f t="shared" si="6"/>
        <v>容积率</v>
      </c>
      <c r="R11" s="709" t="s">
        <v>17</v>
      </c>
      <c r="S11" s="710">
        <f t="shared" si="0"/>
        <v>100</v>
      </c>
      <c r="T11" s="709" t="s">
        <v>17</v>
      </c>
      <c r="U11" s="710">
        <f t="shared" si="1"/>
        <v>100</v>
      </c>
      <c r="V11" s="709" t="s">
        <v>17</v>
      </c>
      <c r="W11" s="710">
        <f t="shared" si="2"/>
        <v>100</v>
      </c>
      <c r="X11" s="711"/>
      <c r="Y11" s="3232"/>
      <c r="Z11" s="55" t="str">
        <f t="shared" si="7"/>
        <v>容积率</v>
      </c>
      <c r="AA11" s="712">
        <f t="shared" si="3"/>
        <v>1</v>
      </c>
      <c r="AB11" s="712">
        <f t="shared" si="4"/>
        <v>1</v>
      </c>
      <c r="AC11" s="712">
        <f t="shared" si="5"/>
        <v>1</v>
      </c>
    </row>
    <row r="12" spans="1:30" s="113" customFormat="1" ht="15" hidden="1">
      <c r="A12" s="390"/>
      <c r="B12" s="2079" t="s">
        <v>2569</v>
      </c>
      <c r="C12" s="391"/>
      <c r="D12" s="392">
        <v>100</v>
      </c>
      <c r="E12" s="424"/>
      <c r="F12" s="132">
        <f>SUMIF(82:82,E12,83:83)-SUMIF(82:82,C12,83:83)+100</f>
        <v>100</v>
      </c>
      <c r="G12" s="422"/>
      <c r="H12" s="132">
        <f>SUMIF(82:82,G12,83:83)-SUMIF(82:82,C12,83:83)+100</f>
        <v>100</v>
      </c>
      <c r="I12" s="424"/>
      <c r="J12" s="132">
        <f>SUMIF(82:82,I12,83:83)-SUMIF(82:82,C12,83:83)+100</f>
        <v>100</v>
      </c>
      <c r="K12" s="627"/>
      <c r="L12" s="2946"/>
      <c r="M12" s="2947"/>
      <c r="N12" s="2947"/>
      <c r="O12" s="3001"/>
      <c r="P12" s="3276"/>
      <c r="Q12" s="1527" t="str">
        <f t="shared" si="6"/>
        <v>配建</v>
      </c>
      <c r="R12" s="709" t="s">
        <v>17</v>
      </c>
      <c r="S12" s="710">
        <f t="shared" si="0"/>
        <v>100</v>
      </c>
      <c r="T12" s="709" t="s">
        <v>17</v>
      </c>
      <c r="U12" s="710">
        <f t="shared" si="1"/>
        <v>100</v>
      </c>
      <c r="V12" s="709" t="s">
        <v>17</v>
      </c>
      <c r="W12" s="710">
        <f t="shared" si="2"/>
        <v>100</v>
      </c>
      <c r="X12" s="711"/>
      <c r="Y12" s="3232"/>
      <c r="Z12" s="55" t="str">
        <f t="shared" si="7"/>
        <v>配建</v>
      </c>
      <c r="AA12" s="712">
        <f>D12/F12</f>
        <v>1</v>
      </c>
      <c r="AB12" s="712">
        <f>D12/H12</f>
        <v>1</v>
      </c>
      <c r="AC12" s="712">
        <f>D12/J12</f>
        <v>1</v>
      </c>
    </row>
    <row r="13" spans="1:30" ht="15" hidden="1">
      <c r="A13" s="387"/>
      <c r="B13" s="2079">
        <v>111</v>
      </c>
      <c r="C13" s="393"/>
      <c r="D13" s="394">
        <v>100</v>
      </c>
      <c r="E13" s="506"/>
      <c r="F13" s="132">
        <f>SUMIF(84:84,E13,85:85)-SUMIF(84:84,C13,85:85)+100</f>
        <v>100</v>
      </c>
      <c r="G13" s="629"/>
      <c r="H13" s="394">
        <f>SUMIF(84:84,G13,85:85)-SUMIF(84:84,C13,85:85)+100</f>
        <v>100</v>
      </c>
      <c r="I13" s="629"/>
      <c r="J13" s="394">
        <f>SUMIF(84:84,I13,85:85)-SUMIF(84:84,C13,85:85)+100</f>
        <v>100</v>
      </c>
      <c r="K13" s="627"/>
      <c r="L13" s="2951"/>
      <c r="M13" s="2945"/>
      <c r="N13" s="2945"/>
      <c r="O13" s="3003"/>
      <c r="P13" s="3276"/>
      <c r="Q13" s="1527">
        <f t="shared" si="6"/>
        <v>111</v>
      </c>
      <c r="R13" s="709" t="s">
        <v>17</v>
      </c>
      <c r="S13" s="710">
        <f t="shared" si="0"/>
        <v>100</v>
      </c>
      <c r="T13" s="709" t="s">
        <v>17</v>
      </c>
      <c r="U13" s="710">
        <f t="shared" si="1"/>
        <v>100</v>
      </c>
      <c r="V13" s="709" t="s">
        <v>17</v>
      </c>
      <c r="W13" s="710">
        <f t="shared" si="2"/>
        <v>100</v>
      </c>
      <c r="X13" s="711"/>
      <c r="Y13" s="3232"/>
      <c r="Z13" s="55">
        <f t="shared" si="7"/>
        <v>111</v>
      </c>
      <c r="AA13" s="712">
        <f>D13/F13</f>
        <v>1</v>
      </c>
      <c r="AB13" s="712">
        <f>D13/H13</f>
        <v>1</v>
      </c>
      <c r="AC13" s="712">
        <f>D13/J13</f>
        <v>1</v>
      </c>
    </row>
    <row r="14" spans="1:30" ht="15.75" hidden="1" thickBot="1">
      <c r="A14" s="395"/>
      <c r="B14" s="2081">
        <v>111</v>
      </c>
      <c r="C14" s="396"/>
      <c r="D14" s="397">
        <v>100</v>
      </c>
      <c r="E14" s="506"/>
      <c r="F14" s="397">
        <f>SUMIF(86:86,E14,87:87)-SUMIF(86:86,C14,87:87)+100</f>
        <v>100</v>
      </c>
      <c r="G14" s="629"/>
      <c r="H14" s="397">
        <f>SUMIF(86:86,G14,87:87)-SUMIF(86:86,C14,87:87)+100</f>
        <v>100</v>
      </c>
      <c r="I14" s="629"/>
      <c r="J14" s="397">
        <f>SUMIF(86:86,I14,87:87)-SUMIF(86:86,C14,87:87)+100</f>
        <v>100</v>
      </c>
      <c r="K14" s="627"/>
      <c r="L14" s="2951"/>
      <c r="M14" s="2945"/>
      <c r="N14" s="2945"/>
      <c r="O14" s="3003"/>
      <c r="P14" s="3276"/>
      <c r="Q14" s="1527">
        <f t="shared" si="6"/>
        <v>111</v>
      </c>
      <c r="R14" s="709" t="s">
        <v>17</v>
      </c>
      <c r="S14" s="710">
        <f t="shared" si="0"/>
        <v>100</v>
      </c>
      <c r="T14" s="709" t="s">
        <v>17</v>
      </c>
      <c r="U14" s="710">
        <f t="shared" si="1"/>
        <v>100</v>
      </c>
      <c r="V14" s="709" t="s">
        <v>17</v>
      </c>
      <c r="W14" s="710">
        <f t="shared" si="2"/>
        <v>100</v>
      </c>
      <c r="X14" s="711"/>
      <c r="Y14" s="3232"/>
      <c r="Z14" s="55">
        <f t="shared" si="7"/>
        <v>111</v>
      </c>
      <c r="AA14" s="712">
        <f>D14/F14</f>
        <v>1</v>
      </c>
      <c r="AB14" s="712">
        <f>D14/H14</f>
        <v>1</v>
      </c>
      <c r="AC14" s="712">
        <f>D14/J14</f>
        <v>1</v>
      </c>
    </row>
    <row r="15" spans="1:30" ht="15" hidden="1">
      <c r="A15" s="399" t="s">
        <v>2381</v>
      </c>
      <c r="B15" s="65" t="s">
        <v>1944</v>
      </c>
      <c r="C15" s="2082">
        <f>估价对象房地状况!C15</f>
        <v>0</v>
      </c>
      <c r="D15" s="400">
        <v>100</v>
      </c>
      <c r="E15" s="401"/>
      <c r="F15" s="400">
        <f>SUMIF(88:88,E16,89:89)-SUMIF(88:88,C16,89:89)+100</f>
        <v>100</v>
      </c>
      <c r="G15" s="401"/>
      <c r="H15" s="400">
        <f>SUMIF(88:88,G16,89:89)-SUMIF(88:88,C16,89:89)+100</f>
        <v>100</v>
      </c>
      <c r="I15" s="403"/>
      <c r="J15" s="400">
        <f>SUMIF(88:88,I16,89:89)-SUMIF(88:88,C16,89:89)+100</f>
        <v>100</v>
      </c>
      <c r="K15" s="628"/>
      <c r="L15" s="2951"/>
      <c r="M15" s="2945"/>
      <c r="N15" s="2945"/>
      <c r="O15" s="3003"/>
      <c r="P15" s="3291" t="s">
        <v>2382</v>
      </c>
      <c r="Q15" s="1536" t="str">
        <f t="shared" si="6"/>
        <v>居住社区成熟度</v>
      </c>
      <c r="R15" s="713" t="s">
        <v>17</v>
      </c>
      <c r="S15" s="714">
        <f t="shared" si="0"/>
        <v>100</v>
      </c>
      <c r="T15" s="713" t="s">
        <v>17</v>
      </c>
      <c r="U15" s="714">
        <f t="shared" si="1"/>
        <v>100</v>
      </c>
      <c r="V15" s="713" t="s">
        <v>17</v>
      </c>
      <c r="W15" s="714">
        <f t="shared" si="2"/>
        <v>100</v>
      </c>
      <c r="X15" s="1539"/>
      <c r="Y15" s="3291" t="s">
        <v>2382</v>
      </c>
      <c r="Z15" s="1540" t="str">
        <f t="shared" si="7"/>
        <v>居住社区成熟度</v>
      </c>
      <c r="AA15" s="1537">
        <f t="shared" si="3"/>
        <v>1</v>
      </c>
      <c r="AB15" s="1537">
        <f t="shared" si="4"/>
        <v>1</v>
      </c>
      <c r="AC15" s="1537">
        <f t="shared" si="5"/>
        <v>1</v>
      </c>
    </row>
    <row r="16" spans="1:30" ht="15" hidden="1">
      <c r="A16" s="387"/>
      <c r="B16" s="405"/>
      <c r="C16" s="406"/>
      <c r="D16" s="407"/>
      <c r="E16" s="2084"/>
      <c r="F16" s="407"/>
      <c r="G16" s="2084"/>
      <c r="H16" s="409"/>
      <c r="I16" s="2083"/>
      <c r="J16" s="407"/>
      <c r="K16" s="627"/>
      <c r="L16" s="2951"/>
      <c r="M16" s="2945"/>
      <c r="N16" s="2945"/>
      <c r="O16" s="3003"/>
      <c r="P16" s="3292"/>
      <c r="Q16" s="1536"/>
      <c r="R16" s="713"/>
      <c r="S16" s="714"/>
      <c r="T16" s="713"/>
      <c r="U16" s="714"/>
      <c r="V16" s="713"/>
      <c r="W16" s="714"/>
      <c r="X16" s="1539"/>
      <c r="Y16" s="3292"/>
      <c r="Z16" s="1540"/>
      <c r="AA16" s="1537">
        <v>1</v>
      </c>
      <c r="AB16" s="1537">
        <v>1</v>
      </c>
      <c r="AC16" s="1537">
        <v>1</v>
      </c>
    </row>
    <row r="17" spans="1:29" ht="15">
      <c r="A17" s="387"/>
      <c r="B17" s="410" t="s">
        <v>2475</v>
      </c>
      <c r="C17" s="2141">
        <f>估价对象房地状况!C16</f>
        <v>0</v>
      </c>
      <c r="D17" s="409">
        <v>100</v>
      </c>
      <c r="E17" s="411"/>
      <c r="F17" s="409">
        <f>SUMIF(90:90,E18,91:91)-SUMIF(90:90,C18,91:91)+100</f>
        <v>100</v>
      </c>
      <c r="G17" s="411"/>
      <c r="H17" s="414">
        <f>SUMIF(90:90,G18,91:91)-SUMIF(90:90,C18,91:91)+100</f>
        <v>100</v>
      </c>
      <c r="I17" s="413"/>
      <c r="J17" s="414">
        <f>SUMIF(90:90,I18,91:91)-SUMIF(90:90,C18,91:91)+100</f>
        <v>100</v>
      </c>
      <c r="K17" s="628">
        <v>3</v>
      </c>
      <c r="L17" s="2951"/>
      <c r="M17" s="2945"/>
      <c r="N17" s="2945"/>
      <c r="O17" s="3003"/>
      <c r="P17" s="3292"/>
      <c r="Q17" s="1536" t="str">
        <f>B17</f>
        <v>商业繁华度</v>
      </c>
      <c r="R17" s="713" t="s">
        <v>17</v>
      </c>
      <c r="S17" s="714">
        <f>F17</f>
        <v>100</v>
      </c>
      <c r="T17" s="713" t="s">
        <v>17</v>
      </c>
      <c r="U17" s="714">
        <f>H17</f>
        <v>100</v>
      </c>
      <c r="V17" s="713" t="s">
        <v>17</v>
      </c>
      <c r="W17" s="714">
        <f>J17</f>
        <v>100</v>
      </c>
      <c r="X17" s="1539"/>
      <c r="Y17" s="3292"/>
      <c r="Z17" s="1540" t="str">
        <f>Q17</f>
        <v>商业繁华度</v>
      </c>
      <c r="AA17" s="1537">
        <f t="shared" si="3"/>
        <v>1</v>
      </c>
      <c r="AB17" s="1537">
        <f t="shared" si="4"/>
        <v>1</v>
      </c>
      <c r="AC17" s="1537">
        <f t="shared" si="5"/>
        <v>1</v>
      </c>
    </row>
    <row r="18" spans="1:29" ht="15">
      <c r="A18" s="387"/>
      <c r="B18" s="415"/>
      <c r="C18" s="2087" t="s">
        <v>3083</v>
      </c>
      <c r="D18" s="409"/>
      <c r="E18" s="2087" t="s">
        <v>3083</v>
      </c>
      <c r="F18" s="409"/>
      <c r="G18" s="2087" t="s">
        <v>3083</v>
      </c>
      <c r="H18" s="407"/>
      <c r="I18" s="2087" t="s">
        <v>3083</v>
      </c>
      <c r="J18" s="407"/>
      <c r="K18" s="627"/>
      <c r="L18" s="2951"/>
      <c r="M18" s="2945"/>
      <c r="N18" s="2945"/>
      <c r="O18" s="3003"/>
      <c r="P18" s="3292"/>
      <c r="Q18" s="1536"/>
      <c r="R18" s="713"/>
      <c r="S18" s="714"/>
      <c r="T18" s="713"/>
      <c r="U18" s="714"/>
      <c r="V18" s="713"/>
      <c r="W18" s="714"/>
      <c r="X18" s="1539"/>
      <c r="Y18" s="3292"/>
      <c r="Z18" s="1540"/>
      <c r="AA18" s="1537">
        <v>1</v>
      </c>
      <c r="AB18" s="1537">
        <v>1</v>
      </c>
      <c r="AC18" s="1537">
        <v>1</v>
      </c>
    </row>
    <row r="19" spans="1:29" ht="15" hidden="1">
      <c r="A19" s="387"/>
      <c r="B19" s="410" t="s">
        <v>2509</v>
      </c>
      <c r="C19" s="2141">
        <f>估价对象房地状况!C17</f>
        <v>0</v>
      </c>
      <c r="D19" s="414">
        <v>100</v>
      </c>
      <c r="E19" s="416"/>
      <c r="F19" s="414">
        <f>SUMIF(92:92,E20,93:93)-SUMIF(92:92,C20,93:93)+100</f>
        <v>100</v>
      </c>
      <c r="G19" s="416"/>
      <c r="H19" s="409">
        <f>SUMIF(92:92,G20,93:93)-SUMIF(92:92,C20,93:93)+100</f>
        <v>100</v>
      </c>
      <c r="I19" s="418"/>
      <c r="J19" s="409">
        <f>SUMIF(92:92,I20,93:93)-SUMIF(92:92,C20,93:93)+100</f>
        <v>100</v>
      </c>
      <c r="K19" s="628"/>
      <c r="L19" s="2951"/>
      <c r="M19" s="2945"/>
      <c r="N19" s="2945"/>
      <c r="O19" s="3003"/>
      <c r="P19" s="3292"/>
      <c r="Q19" s="1536" t="str">
        <f>B19</f>
        <v>办公集聚程度</v>
      </c>
      <c r="R19" s="713" t="s">
        <v>17</v>
      </c>
      <c r="S19" s="714">
        <f>F19</f>
        <v>100</v>
      </c>
      <c r="T19" s="713" t="s">
        <v>17</v>
      </c>
      <c r="U19" s="714">
        <f>H19</f>
        <v>100</v>
      </c>
      <c r="V19" s="713" t="s">
        <v>17</v>
      </c>
      <c r="W19" s="714">
        <f>J19</f>
        <v>100</v>
      </c>
      <c r="X19" s="1539"/>
      <c r="Y19" s="3292"/>
      <c r="Z19" s="1540" t="str">
        <f>Q19</f>
        <v>办公集聚程度</v>
      </c>
      <c r="AA19" s="1537">
        <f t="shared" si="3"/>
        <v>1</v>
      </c>
      <c r="AB19" s="1537">
        <f t="shared" si="4"/>
        <v>1</v>
      </c>
      <c r="AC19" s="1537">
        <f t="shared" si="5"/>
        <v>1</v>
      </c>
    </row>
    <row r="20" spans="1:29" ht="15" hidden="1">
      <c r="A20" s="387"/>
      <c r="B20" s="415"/>
      <c r="C20" s="406"/>
      <c r="D20" s="407"/>
      <c r="E20" s="2084"/>
      <c r="F20" s="407"/>
      <c r="G20" s="2084"/>
      <c r="H20" s="407"/>
      <c r="I20" s="2083"/>
      <c r="J20" s="407"/>
      <c r="K20" s="627"/>
      <c r="L20" s="2951"/>
      <c r="M20" s="2945"/>
      <c r="N20" s="2945"/>
      <c r="O20" s="3003"/>
      <c r="P20" s="3292"/>
      <c r="Q20" s="1536"/>
      <c r="R20" s="713"/>
      <c r="S20" s="714"/>
      <c r="T20" s="713"/>
      <c r="U20" s="714"/>
      <c r="V20" s="713"/>
      <c r="W20" s="714"/>
      <c r="X20" s="1539"/>
      <c r="Y20" s="3292"/>
      <c r="Z20" s="1540"/>
      <c r="AA20" s="1537">
        <v>1</v>
      </c>
      <c r="AB20" s="1537">
        <v>1</v>
      </c>
      <c r="AC20" s="1537">
        <v>1</v>
      </c>
    </row>
    <row r="21" spans="1:29" ht="15">
      <c r="A21" s="387"/>
      <c r="B21" s="410" t="s">
        <v>2531</v>
      </c>
      <c r="C21" s="2086">
        <f>估价对象房地状况!C18</f>
        <v>0</v>
      </c>
      <c r="D21" s="409">
        <v>100</v>
      </c>
      <c r="E21" s="411"/>
      <c r="F21" s="414">
        <f>SUMIF(94:94,E22,95:95)-SUMIF(94:94,C22,95:95)+100</f>
        <v>100</v>
      </c>
      <c r="G21" s="411"/>
      <c r="H21" s="409">
        <f>SUMIF(94:94,G22,95:95)-SUMIF(94:94,C22,95:95)+100</f>
        <v>100</v>
      </c>
      <c r="I21" s="413"/>
      <c r="J21" s="409">
        <f>SUMIF(94:94,I22,95:95)-SUMIF(94:94,C22,95:95)+100</f>
        <v>100</v>
      </c>
      <c r="K21" s="628">
        <v>3</v>
      </c>
      <c r="L21" s="2951"/>
      <c r="M21" s="2945"/>
      <c r="N21" s="2945"/>
      <c r="O21" s="3003"/>
      <c r="P21" s="3292"/>
      <c r="Q21" s="1536" t="str">
        <f>B21</f>
        <v>交通便捷度</v>
      </c>
      <c r="R21" s="713" t="s">
        <v>17</v>
      </c>
      <c r="S21" s="714">
        <f>F21</f>
        <v>100</v>
      </c>
      <c r="T21" s="713" t="s">
        <v>17</v>
      </c>
      <c r="U21" s="714">
        <f>H21</f>
        <v>100</v>
      </c>
      <c r="V21" s="713" t="s">
        <v>17</v>
      </c>
      <c r="W21" s="714">
        <f>J21</f>
        <v>100</v>
      </c>
      <c r="X21" s="1539"/>
      <c r="Y21" s="3292"/>
      <c r="Z21" s="1540" t="str">
        <f>Q21</f>
        <v>交通便捷度</v>
      </c>
      <c r="AA21" s="1537">
        <f t="shared" si="3"/>
        <v>1</v>
      </c>
      <c r="AB21" s="1537">
        <f t="shared" si="4"/>
        <v>1</v>
      </c>
      <c r="AC21" s="1537">
        <f t="shared" si="5"/>
        <v>1</v>
      </c>
    </row>
    <row r="22" spans="1:29" ht="15">
      <c r="A22" s="387"/>
      <c r="B22" s="1291"/>
      <c r="C22" s="406" t="s">
        <v>3081</v>
      </c>
      <c r="D22" s="409"/>
      <c r="E22" s="406" t="s">
        <v>3081</v>
      </c>
      <c r="F22" s="407"/>
      <c r="G22" s="406" t="s">
        <v>3081</v>
      </c>
      <c r="H22" s="407"/>
      <c r="I22" s="406" t="s">
        <v>3081</v>
      </c>
      <c r="J22" s="407"/>
      <c r="K22" s="627"/>
      <c r="L22" s="2951"/>
      <c r="M22" s="2945"/>
      <c r="N22" s="2945"/>
      <c r="O22" s="3003"/>
      <c r="P22" s="3292"/>
      <c r="Q22" s="1536"/>
      <c r="R22" s="713"/>
      <c r="S22" s="714"/>
      <c r="T22" s="713"/>
      <c r="U22" s="714"/>
      <c r="V22" s="713"/>
      <c r="W22" s="714"/>
      <c r="X22" s="1539"/>
      <c r="Y22" s="3292"/>
      <c r="Z22" s="1540"/>
      <c r="AA22" s="1537">
        <v>1</v>
      </c>
      <c r="AB22" s="1537">
        <v>1</v>
      </c>
      <c r="AC22" s="1537">
        <v>1</v>
      </c>
    </row>
    <row r="23" spans="1:29" ht="15">
      <c r="A23" s="364"/>
      <c r="B23" s="410" t="s">
        <v>2570</v>
      </c>
      <c r="C23" s="1296">
        <f>估价对象房地状况!C19</f>
        <v>0</v>
      </c>
      <c r="D23" s="414">
        <v>100</v>
      </c>
      <c r="E23" s="411"/>
      <c r="F23" s="414">
        <f>SUMIF(96:96,E24,97:97)-SUMIF(96:96,C24,97:97)+100</f>
        <v>100</v>
      </c>
      <c r="G23" s="413"/>
      <c r="H23" s="414">
        <f>SUMIF(96:96,G24,97:97)-SUMIF(96:96,C24,97:97)+100</f>
        <v>100</v>
      </c>
      <c r="I23" s="413"/>
      <c r="J23" s="414">
        <f>SUMIF(96:96,I24,97:97)-SUMIF(96:96,C24,97:97)+100</f>
        <v>100</v>
      </c>
      <c r="K23" s="628">
        <v>3</v>
      </c>
      <c r="L23" s="2951"/>
      <c r="M23" s="2945"/>
      <c r="N23" s="2945"/>
      <c r="O23" s="3003"/>
      <c r="P23" s="3292"/>
      <c r="Q23" s="1536" t="str">
        <f t="shared" ref="Q23:Q37" si="8">B23</f>
        <v>区域土地利用方向</v>
      </c>
      <c r="R23" s="713" t="s">
        <v>17</v>
      </c>
      <c r="S23" s="714">
        <f>F23</f>
        <v>100</v>
      </c>
      <c r="T23" s="713" t="s">
        <v>17</v>
      </c>
      <c r="U23" s="714">
        <f>H23</f>
        <v>100</v>
      </c>
      <c r="V23" s="713" t="s">
        <v>17</v>
      </c>
      <c r="W23" s="714">
        <f>J23</f>
        <v>100</v>
      </c>
      <c r="X23" s="1539"/>
      <c r="Y23" s="3292"/>
      <c r="Z23" s="1540" t="str">
        <f>Q23</f>
        <v>区域土地利用方向</v>
      </c>
      <c r="AA23" s="1537">
        <f t="shared" si="3"/>
        <v>1</v>
      </c>
      <c r="AB23" s="1537">
        <f t="shared" si="4"/>
        <v>1</v>
      </c>
      <c r="AC23" s="1537">
        <f t="shared" si="5"/>
        <v>1</v>
      </c>
    </row>
    <row r="24" spans="1:29" ht="15">
      <c r="A24" s="364"/>
      <c r="B24" s="415"/>
      <c r="C24" s="573" t="s">
        <v>3081</v>
      </c>
      <c r="D24" s="407"/>
      <c r="E24" s="406" t="s">
        <v>3081</v>
      </c>
      <c r="F24" s="407"/>
      <c r="G24" s="406" t="s">
        <v>3081</v>
      </c>
      <c r="H24" s="407"/>
      <c r="I24" s="406" t="s">
        <v>3081</v>
      </c>
      <c r="J24" s="407"/>
      <c r="K24" s="750"/>
      <c r="L24" s="2951"/>
      <c r="M24" s="2945"/>
      <c r="N24" s="2945"/>
      <c r="O24" s="3003"/>
      <c r="P24" s="3292"/>
      <c r="Q24" s="1536"/>
      <c r="R24" s="713"/>
      <c r="S24" s="714"/>
      <c r="T24" s="713"/>
      <c r="U24" s="714"/>
      <c r="V24" s="713"/>
      <c r="W24" s="714"/>
      <c r="X24" s="1539"/>
      <c r="Y24" s="3292"/>
      <c r="Z24" s="1540"/>
      <c r="AA24" s="1537"/>
      <c r="AB24" s="1537"/>
      <c r="AC24" s="1537"/>
    </row>
    <row r="25" spans="1:29" ht="27">
      <c r="A25" s="364"/>
      <c r="B25" s="1291" t="s">
        <v>2571</v>
      </c>
      <c r="C25" s="2141">
        <f>估价对象房地状况!C20</f>
        <v>0</v>
      </c>
      <c r="D25" s="409">
        <v>100</v>
      </c>
      <c r="E25" s="411"/>
      <c r="F25" s="409">
        <f>SUMIF(98:98,E26,99:99)-SUMIF(98:98,C26,99:99)+100</f>
        <v>100</v>
      </c>
      <c r="G25" s="411"/>
      <c r="H25" s="409">
        <f>SUMIF(98:98,G26,99:99)-SUMIF(98:98,C26,99:99)+100</f>
        <v>100</v>
      </c>
      <c r="I25" s="413"/>
      <c r="J25" s="409">
        <f>SUMIF(98:98,I26,99:99)-SUMIF(98:98,C26,99:99)+100</f>
        <v>100</v>
      </c>
      <c r="K25" s="628">
        <v>3</v>
      </c>
      <c r="L25" s="2951"/>
      <c r="M25" s="2945"/>
      <c r="N25" s="2945"/>
      <c r="O25" s="3003"/>
      <c r="P25" s="3292"/>
      <c r="Q25" s="1536" t="str">
        <f t="shared" si="8"/>
        <v>自然及人文环境状况</v>
      </c>
      <c r="R25" s="713" t="s">
        <v>17</v>
      </c>
      <c r="S25" s="714">
        <f>F25</f>
        <v>100</v>
      </c>
      <c r="T25" s="713" t="s">
        <v>17</v>
      </c>
      <c r="U25" s="714">
        <f>H25</f>
        <v>100</v>
      </c>
      <c r="V25" s="713" t="s">
        <v>17</v>
      </c>
      <c r="W25" s="714">
        <f>J25</f>
        <v>100</v>
      </c>
      <c r="X25" s="1539"/>
      <c r="Y25" s="3292"/>
      <c r="Z25" s="1540" t="str">
        <f>Q25</f>
        <v>自然及人文环境状况</v>
      </c>
      <c r="AA25" s="1537">
        <f t="shared" si="3"/>
        <v>1</v>
      </c>
      <c r="AB25" s="1537">
        <f t="shared" si="4"/>
        <v>1</v>
      </c>
      <c r="AC25" s="1537">
        <f t="shared" si="5"/>
        <v>1</v>
      </c>
    </row>
    <row r="26" spans="1:29" ht="15">
      <c r="A26" s="364"/>
      <c r="B26" s="415"/>
      <c r="C26" s="406" t="s">
        <v>3081</v>
      </c>
      <c r="D26" s="407"/>
      <c r="E26" s="406" t="s">
        <v>3081</v>
      </c>
      <c r="F26" s="407"/>
      <c r="G26" s="406" t="s">
        <v>3081</v>
      </c>
      <c r="H26" s="407"/>
      <c r="I26" s="406" t="s">
        <v>3081</v>
      </c>
      <c r="J26" s="407"/>
      <c r="K26" s="627"/>
      <c r="L26" s="2951"/>
      <c r="M26" s="2945"/>
      <c r="N26" s="2945"/>
      <c r="O26" s="3003"/>
      <c r="P26" s="3292"/>
      <c r="Q26" s="1536"/>
      <c r="R26" s="713"/>
      <c r="S26" s="714"/>
      <c r="T26" s="713"/>
      <c r="U26" s="714"/>
      <c r="V26" s="713"/>
      <c r="W26" s="714"/>
      <c r="X26" s="1539"/>
      <c r="Y26" s="3292"/>
      <c r="Z26" s="1540"/>
      <c r="AA26" s="1537">
        <v>1</v>
      </c>
      <c r="AB26" s="1537">
        <v>1</v>
      </c>
      <c r="AC26" s="1537">
        <v>1</v>
      </c>
    </row>
    <row r="27" spans="1:29" s="113" customFormat="1" ht="15">
      <c r="A27" s="604"/>
      <c r="B27" s="1291" t="s">
        <v>2476</v>
      </c>
      <c r="C27" s="2086">
        <f>估价对象房地状况!C21</f>
        <v>0</v>
      </c>
      <c r="D27" s="409">
        <v>100</v>
      </c>
      <c r="E27" s="411"/>
      <c r="F27" s="409">
        <f>SUMIF(100:100,E28,101:101)-SUMIF(100:100,C28,101:101)+100</f>
        <v>100</v>
      </c>
      <c r="G27" s="411"/>
      <c r="H27" s="409">
        <f>SUMIF(100:100,G28,101:101)-SUMIF(100:100,C28,101:101)+100</f>
        <v>100</v>
      </c>
      <c r="I27" s="413"/>
      <c r="J27" s="409">
        <f>SUMIF(100:100,I28,101:101)-SUMIF(100:100,C28,101:101)+100</f>
        <v>100</v>
      </c>
      <c r="K27" s="628">
        <v>3</v>
      </c>
      <c r="L27" s="2946"/>
      <c r="M27" s="2947"/>
      <c r="N27" s="2947"/>
      <c r="O27" s="3001"/>
      <c r="P27" s="3292"/>
      <c r="Q27" s="1527" t="str">
        <f t="shared" si="8"/>
        <v>公共配套设施</v>
      </c>
      <c r="R27" s="709" t="s">
        <v>17</v>
      </c>
      <c r="S27" s="710">
        <f>F27</f>
        <v>100</v>
      </c>
      <c r="T27" s="709" t="s">
        <v>17</v>
      </c>
      <c r="U27" s="710">
        <f>H27</f>
        <v>100</v>
      </c>
      <c r="V27" s="709" t="s">
        <v>17</v>
      </c>
      <c r="W27" s="710">
        <f>J27</f>
        <v>100</v>
      </c>
      <c r="X27" s="711"/>
      <c r="Y27" s="3292"/>
      <c r="Z27" s="55" t="str">
        <f>Q27</f>
        <v>公共配套设施</v>
      </c>
      <c r="AA27" s="1537">
        <f>D27/F27</f>
        <v>1</v>
      </c>
      <c r="AB27" s="1537">
        <f>D27/H27</f>
        <v>1</v>
      </c>
      <c r="AC27" s="1537">
        <f>D27/J27</f>
        <v>1</v>
      </c>
    </row>
    <row r="28" spans="1:29" s="113" customFormat="1" ht="15">
      <c r="A28" s="604"/>
      <c r="B28" s="415"/>
      <c r="C28" s="2164" t="s">
        <v>3083</v>
      </c>
      <c r="D28" s="407"/>
      <c r="E28" s="2164" t="s">
        <v>3083</v>
      </c>
      <c r="F28" s="407"/>
      <c r="G28" s="2164" t="s">
        <v>3083</v>
      </c>
      <c r="H28" s="407"/>
      <c r="I28" s="2164" t="s">
        <v>3083</v>
      </c>
      <c r="J28" s="407"/>
      <c r="K28" s="627"/>
      <c r="L28" s="2946"/>
      <c r="M28" s="2947"/>
      <c r="N28" s="2947"/>
      <c r="O28" s="3001"/>
      <c r="P28" s="3292"/>
      <c r="Q28" s="1527"/>
      <c r="R28" s="709"/>
      <c r="S28" s="710"/>
      <c r="T28" s="709"/>
      <c r="U28" s="710"/>
      <c r="V28" s="709"/>
      <c r="W28" s="710"/>
      <c r="X28" s="711"/>
      <c r="Y28" s="3292"/>
      <c r="Z28" s="55"/>
      <c r="AA28" s="1537">
        <v>1</v>
      </c>
      <c r="AB28" s="1537">
        <v>1</v>
      </c>
      <c r="AC28" s="1537">
        <v>1</v>
      </c>
    </row>
    <row r="29" spans="1:29" s="113" customFormat="1" ht="15">
      <c r="A29" s="604"/>
      <c r="B29" s="1291" t="s">
        <v>2477</v>
      </c>
      <c r="C29" s="2086">
        <f>估价对象房地状况!C22</f>
        <v>0</v>
      </c>
      <c r="D29" s="409">
        <v>100</v>
      </c>
      <c r="E29" s="411"/>
      <c r="F29" s="409">
        <f>SUMIF(102:102,E30,103:103)-SUMIF(102:102,C30,103:103)+100</f>
        <v>100</v>
      </c>
      <c r="G29" s="411"/>
      <c r="H29" s="409">
        <f>SUMIF(102:102,G30,103:103)-SUMIF(102:102,C30,103:103)+100</f>
        <v>100</v>
      </c>
      <c r="I29" s="413"/>
      <c r="J29" s="409">
        <f>SUMIF(102:102,I30,103:103)-SUMIF(102:102,C30,103:103)+100</f>
        <v>100</v>
      </c>
      <c r="K29" s="628">
        <v>2</v>
      </c>
      <c r="L29" s="2946"/>
      <c r="M29" s="2947"/>
      <c r="N29" s="2947"/>
      <c r="O29" s="3001"/>
      <c r="P29" s="3292"/>
      <c r="Q29" s="1527" t="str">
        <f t="shared" ref="Q29" si="9">B29</f>
        <v>基础设施水平</v>
      </c>
      <c r="R29" s="709" t="s">
        <v>17</v>
      </c>
      <c r="S29" s="710">
        <f>F29</f>
        <v>100</v>
      </c>
      <c r="T29" s="709" t="s">
        <v>17</v>
      </c>
      <c r="U29" s="710">
        <f>H29</f>
        <v>100</v>
      </c>
      <c r="V29" s="709" t="s">
        <v>17</v>
      </c>
      <c r="W29" s="710">
        <f>J29</f>
        <v>100</v>
      </c>
      <c r="X29" s="711"/>
      <c r="Y29" s="3292"/>
      <c r="Z29" s="55" t="str">
        <f>Q29</f>
        <v>基础设施水平</v>
      </c>
      <c r="AA29" s="1537">
        <f>D29/F29</f>
        <v>1</v>
      </c>
      <c r="AB29" s="1537">
        <f>D29/H29</f>
        <v>1</v>
      </c>
      <c r="AC29" s="1537">
        <f>D29/J29</f>
        <v>1</v>
      </c>
    </row>
    <row r="30" spans="1:29" s="113" customFormat="1" ht="15.75" thickBot="1">
      <c r="A30" s="604"/>
      <c r="B30" s="415"/>
      <c r="C30" s="2164" t="s">
        <v>3146</v>
      </c>
      <c r="D30" s="407"/>
      <c r="E30" s="2164" t="s">
        <v>3146</v>
      </c>
      <c r="F30" s="407"/>
      <c r="G30" s="2164" t="s">
        <v>3146</v>
      </c>
      <c r="H30" s="407"/>
      <c r="I30" s="2164" t="s">
        <v>3146</v>
      </c>
      <c r="J30" s="407"/>
      <c r="K30" s="627"/>
      <c r="L30" s="2946"/>
      <c r="M30" s="2947"/>
      <c r="N30" s="2947"/>
      <c r="O30" s="3001"/>
      <c r="P30" s="3292"/>
      <c r="Q30" s="1527"/>
      <c r="R30" s="709"/>
      <c r="S30" s="710"/>
      <c r="T30" s="709"/>
      <c r="U30" s="710"/>
      <c r="V30" s="709"/>
      <c r="W30" s="710"/>
      <c r="X30" s="711"/>
      <c r="Y30" s="3292"/>
      <c r="Z30" s="55"/>
      <c r="AA30" s="1537">
        <v>1</v>
      </c>
      <c r="AB30" s="1537">
        <v>1</v>
      </c>
      <c r="AC30" s="1537">
        <v>1</v>
      </c>
    </row>
    <row r="31" spans="1:29" ht="15" hidden="1">
      <c r="A31" s="387"/>
      <c r="B31" s="415" t="s">
        <v>2478</v>
      </c>
      <c r="C31" s="573"/>
      <c r="D31" s="394">
        <v>100</v>
      </c>
      <c r="E31" s="589"/>
      <c r="F31" s="394">
        <f>SUMIF(104:104,E31,105:105)-SUMIF(104:104,C31,105:105)+100</f>
        <v>100</v>
      </c>
      <c r="G31" s="589"/>
      <c r="H31" s="394">
        <f>SUMIF(104:104,G31,105:105)-SUMIF(104:104,C31,105:105)+100</f>
        <v>100</v>
      </c>
      <c r="I31" s="589"/>
      <c r="J31" s="394">
        <f>SUMIF(104:104,I31,105:105)-SUMIF(104:104,C31,105:105)+100</f>
        <v>100</v>
      </c>
      <c r="K31" s="628"/>
      <c r="L31" s="2951"/>
      <c r="M31" s="2945"/>
      <c r="N31" s="2945"/>
      <c r="O31" s="3003"/>
      <c r="P31" s="3292"/>
      <c r="Q31" s="1536" t="str">
        <f t="shared" si="8"/>
        <v>临街状况</v>
      </c>
      <c r="R31" s="713" t="s">
        <v>17</v>
      </c>
      <c r="S31" s="714">
        <f t="shared" ref="S31:S45" si="10">F31</f>
        <v>100</v>
      </c>
      <c r="T31" s="713" t="s">
        <v>17</v>
      </c>
      <c r="U31" s="714">
        <f t="shared" ref="U31:U45" si="11">H31</f>
        <v>100</v>
      </c>
      <c r="V31" s="713" t="s">
        <v>17</v>
      </c>
      <c r="W31" s="714">
        <f t="shared" ref="W31:W45" si="12">J31</f>
        <v>100</v>
      </c>
      <c r="X31" s="1539"/>
      <c r="Y31" s="3292"/>
      <c r="Z31" s="1540" t="str">
        <f t="shared" ref="Z31:Z45" si="13">Q31</f>
        <v>临街状况</v>
      </c>
      <c r="AA31" s="1537">
        <f t="shared" si="3"/>
        <v>1</v>
      </c>
      <c r="AB31" s="1537">
        <f t="shared" si="4"/>
        <v>1</v>
      </c>
      <c r="AC31" s="1537">
        <f t="shared" si="5"/>
        <v>1</v>
      </c>
    </row>
    <row r="32" spans="1:29" ht="27" hidden="1">
      <c r="A32" s="387"/>
      <c r="B32" s="1291" t="s">
        <v>2513</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8"/>
      <c r="L32" s="2951"/>
      <c r="M32" s="2945"/>
      <c r="N32" s="2945"/>
      <c r="O32" s="3003"/>
      <c r="P32" s="3292"/>
      <c r="Q32" s="1536" t="str">
        <f t="shared" si="8"/>
        <v>毗邻道路的类型与等级</v>
      </c>
      <c r="R32" s="713" t="s">
        <v>17</v>
      </c>
      <c r="S32" s="714">
        <f t="shared" si="10"/>
        <v>100</v>
      </c>
      <c r="T32" s="713" t="s">
        <v>17</v>
      </c>
      <c r="U32" s="714">
        <f t="shared" si="11"/>
        <v>100</v>
      </c>
      <c r="V32" s="713" t="s">
        <v>17</v>
      </c>
      <c r="W32" s="714">
        <f t="shared" si="12"/>
        <v>100</v>
      </c>
      <c r="X32" s="1539"/>
      <c r="Y32" s="3292"/>
      <c r="Z32" s="1540" t="str">
        <f t="shared" si="13"/>
        <v>毗邻道路的类型与等级</v>
      </c>
      <c r="AA32" s="1537">
        <f t="shared" si="3"/>
        <v>1</v>
      </c>
      <c r="AB32" s="1537">
        <f t="shared" si="4"/>
        <v>1</v>
      </c>
      <c r="AC32" s="1537">
        <f t="shared" si="5"/>
        <v>1</v>
      </c>
    </row>
    <row r="33" spans="1:29" ht="15" hidden="1">
      <c r="A33" s="387"/>
      <c r="B33" s="415"/>
      <c r="C33" s="406"/>
      <c r="D33" s="407"/>
      <c r="E33" s="2090"/>
      <c r="F33" s="407"/>
      <c r="G33" s="2090"/>
      <c r="H33" s="407"/>
      <c r="I33" s="406"/>
      <c r="J33" s="407"/>
      <c r="K33" s="570"/>
      <c r="L33" s="2951"/>
      <c r="M33" s="2945"/>
      <c r="N33" s="2945"/>
      <c r="O33" s="3003"/>
      <c r="P33" s="3292"/>
      <c r="Q33" s="1536"/>
      <c r="R33" s="713"/>
      <c r="S33" s="714"/>
      <c r="T33" s="713"/>
      <c r="U33" s="714"/>
      <c r="V33" s="713"/>
      <c r="W33" s="714"/>
      <c r="X33" s="1539"/>
      <c r="Y33" s="3292"/>
      <c r="Z33" s="1540"/>
      <c r="AA33" s="1537">
        <v>1</v>
      </c>
      <c r="AB33" s="1537">
        <v>1</v>
      </c>
      <c r="AC33" s="1537">
        <v>1</v>
      </c>
    </row>
    <row r="34" spans="1:29" ht="15" hidden="1">
      <c r="A34" s="387"/>
      <c r="B34" s="381" t="s">
        <v>2572</v>
      </c>
      <c r="C34" s="573"/>
      <c r="D34" s="394">
        <v>100</v>
      </c>
      <c r="E34" s="589"/>
      <c r="F34" s="394">
        <f>SUMIF(108:108,E34,109:109)-SUMIF(108:108,C34,109:109)+100</f>
        <v>100</v>
      </c>
      <c r="G34" s="589"/>
      <c r="H34" s="394">
        <f>SUMIF(108:108,G34,109:109)-SUMIF(108:108,C34,109:109)+100</f>
        <v>100</v>
      </c>
      <c r="I34" s="573"/>
      <c r="J34" s="394">
        <f>SUMIF(108:108,I34,109:109)-SUMIF(108:108,C34,109:109)+100</f>
        <v>100</v>
      </c>
      <c r="K34" s="569"/>
      <c r="L34" s="2951"/>
      <c r="M34" s="2945"/>
      <c r="N34" s="2945"/>
      <c r="O34" s="3003"/>
      <c r="P34" s="3292"/>
      <c r="Q34" s="1536" t="str">
        <f t="shared" si="8"/>
        <v>土地级别</v>
      </c>
      <c r="R34" s="713" t="s">
        <v>17</v>
      </c>
      <c r="S34" s="714">
        <f t="shared" si="10"/>
        <v>100</v>
      </c>
      <c r="T34" s="713" t="s">
        <v>17</v>
      </c>
      <c r="U34" s="714">
        <f t="shared" si="11"/>
        <v>100</v>
      </c>
      <c r="V34" s="713" t="s">
        <v>17</v>
      </c>
      <c r="W34" s="714">
        <f t="shared" si="12"/>
        <v>100</v>
      </c>
      <c r="X34" s="1539"/>
      <c r="Y34" s="3292"/>
      <c r="Z34" s="1540" t="str">
        <f t="shared" si="13"/>
        <v>土地级别</v>
      </c>
      <c r="AA34" s="1537">
        <f t="shared" si="3"/>
        <v>1</v>
      </c>
      <c r="AB34" s="1537">
        <f t="shared" si="4"/>
        <v>1</v>
      </c>
      <c r="AC34" s="1537">
        <f t="shared" si="5"/>
        <v>1</v>
      </c>
    </row>
    <row r="35" spans="1:29" ht="15" hidden="1">
      <c r="A35" s="364"/>
      <c r="B35" s="1293">
        <v>111</v>
      </c>
      <c r="C35" s="629"/>
      <c r="D35" s="394">
        <v>100</v>
      </c>
      <c r="E35" s="436"/>
      <c r="F35" s="394">
        <f>SUMIF(110:110,E35,111:111)-SUMIF(110:110,C35,111:111)+100</f>
        <v>100</v>
      </c>
      <c r="G35" s="436"/>
      <c r="H35" s="394">
        <f>SUMIF(110:110,G35,111:111)-SUMIF(110:110,C35,111:111)+100</f>
        <v>100</v>
      </c>
      <c r="I35" s="629"/>
      <c r="J35" s="394">
        <f>SUMIF(110:110,I35,111:111)-SUMIF(110:110,C35,111:111)+100</f>
        <v>100</v>
      </c>
      <c r="K35" s="570"/>
      <c r="L35" s="2951"/>
      <c r="M35" s="2945"/>
      <c r="N35" s="2945"/>
      <c r="O35" s="3003"/>
      <c r="P35" s="3292"/>
      <c r="Q35" s="1536">
        <f t="shared" si="8"/>
        <v>111</v>
      </c>
      <c r="R35" s="713" t="s">
        <v>17</v>
      </c>
      <c r="S35" s="714">
        <f t="shared" si="10"/>
        <v>100</v>
      </c>
      <c r="T35" s="713" t="s">
        <v>17</v>
      </c>
      <c r="U35" s="714">
        <f t="shared" si="11"/>
        <v>100</v>
      </c>
      <c r="V35" s="713" t="s">
        <v>17</v>
      </c>
      <c r="W35" s="714">
        <f t="shared" si="12"/>
        <v>100</v>
      </c>
      <c r="X35" s="1539"/>
      <c r="Y35" s="3292"/>
      <c r="Z35" s="1540">
        <f t="shared" si="13"/>
        <v>111</v>
      </c>
      <c r="AA35" s="1537">
        <f t="shared" si="3"/>
        <v>1</v>
      </c>
      <c r="AB35" s="1537">
        <f t="shared" si="4"/>
        <v>1</v>
      </c>
      <c r="AC35" s="1537">
        <f t="shared" si="5"/>
        <v>1</v>
      </c>
    </row>
    <row r="36" spans="1:29" ht="15" hidden="1">
      <c r="A36" s="630"/>
      <c r="B36" s="1294">
        <v>111</v>
      </c>
      <c r="C36" s="629"/>
      <c r="D36" s="394">
        <v>100</v>
      </c>
      <c r="E36" s="436"/>
      <c r="F36" s="394">
        <f>SUMIF(112:112,E37,113:113)-SUMIF(112:112,C37,113:113)+100</f>
        <v>100</v>
      </c>
      <c r="G36" s="436"/>
      <c r="H36" s="394">
        <f>SUMIF(112:112,G36,113:113)-SUMIF(112:112,C36,113:113)+100</f>
        <v>100</v>
      </c>
      <c r="I36" s="629"/>
      <c r="J36" s="394">
        <f>SUMIF(112:112,I36,113:113)-SUMIF(112:112,C36,113:113)+100</f>
        <v>100</v>
      </c>
      <c r="K36" s="570"/>
      <c r="L36" s="2951"/>
      <c r="M36" s="2945"/>
      <c r="N36" s="2945"/>
      <c r="O36" s="3003"/>
      <c r="P36" s="3293" t="s">
        <v>2387</v>
      </c>
      <c r="Q36" s="1536">
        <f t="shared" si="8"/>
        <v>111</v>
      </c>
      <c r="R36" s="713" t="s">
        <v>17</v>
      </c>
      <c r="S36" s="714">
        <f t="shared" si="10"/>
        <v>100</v>
      </c>
      <c r="T36" s="713" t="s">
        <v>17</v>
      </c>
      <c r="U36" s="714">
        <f t="shared" si="11"/>
        <v>100</v>
      </c>
      <c r="V36" s="713" t="s">
        <v>17</v>
      </c>
      <c r="W36" s="714">
        <f t="shared" si="12"/>
        <v>100</v>
      </c>
      <c r="X36" s="1539"/>
      <c r="Y36" s="3294" t="s">
        <v>2387</v>
      </c>
      <c r="Z36" s="1540">
        <f t="shared" si="13"/>
        <v>111</v>
      </c>
      <c r="AA36" s="1537">
        <f t="shared" si="3"/>
        <v>1</v>
      </c>
      <c r="AB36" s="1537">
        <f t="shared" si="4"/>
        <v>1</v>
      </c>
      <c r="AC36" s="1537">
        <f t="shared" si="5"/>
        <v>1</v>
      </c>
    </row>
    <row r="37" spans="1:29" s="430" customFormat="1" ht="15.75" hidden="1" thickBot="1">
      <c r="A37" s="631"/>
      <c r="B37" s="1295">
        <v>111</v>
      </c>
      <c r="C37" s="633"/>
      <c r="D37" s="133">
        <v>100</v>
      </c>
      <c r="E37" s="656"/>
      <c r="F37" s="397">
        <f>SUMIF(114:114,E37,115:115)-SUMIF(114:114,C37,115:115)+100</f>
        <v>100</v>
      </c>
      <c r="G37" s="656"/>
      <c r="H37" s="397">
        <f>SUMIF(114:114,G37,115:115)-SUMIF(114:114,C37,115:115)+100</f>
        <v>100</v>
      </c>
      <c r="I37" s="633"/>
      <c r="J37" s="397">
        <f>SUMIF(114:114,I37,115:115)-SUMIF(114:114,C37,115:115)+100</f>
        <v>100</v>
      </c>
      <c r="K37" s="570"/>
      <c r="L37" s="2950"/>
      <c r="M37" s="2952"/>
      <c r="N37" s="2952"/>
      <c r="O37" s="3004"/>
      <c r="P37" s="3294"/>
      <c r="Q37" s="1536">
        <f t="shared" si="8"/>
        <v>111</v>
      </c>
      <c r="R37" s="716" t="s">
        <v>17</v>
      </c>
      <c r="S37" s="717">
        <f t="shared" si="10"/>
        <v>100</v>
      </c>
      <c r="T37" s="716" t="s">
        <v>17</v>
      </c>
      <c r="U37" s="717">
        <f t="shared" si="11"/>
        <v>100</v>
      </c>
      <c r="V37" s="716" t="s">
        <v>17</v>
      </c>
      <c r="W37" s="717">
        <f t="shared" si="12"/>
        <v>100</v>
      </c>
      <c r="X37" s="718"/>
      <c r="Y37" s="3294"/>
      <c r="Z37" s="719">
        <f t="shared" si="13"/>
        <v>111</v>
      </c>
      <c r="AA37" s="1537">
        <f t="shared" si="3"/>
        <v>1</v>
      </c>
      <c r="AB37" s="1537">
        <f t="shared" si="4"/>
        <v>1</v>
      </c>
      <c r="AC37" s="1537">
        <f t="shared" si="5"/>
        <v>1</v>
      </c>
    </row>
    <row r="38" spans="1:29" ht="15">
      <c r="A38" s="431" t="s">
        <v>2385</v>
      </c>
      <c r="B38" s="415" t="s">
        <v>2573</v>
      </c>
      <c r="C38" s="634">
        <f>'数据-基础表'!A3</f>
        <v>24172.12</v>
      </c>
      <c r="D38" s="426">
        <v>100</v>
      </c>
      <c r="E38" s="634">
        <f>Sheet1!C8</f>
        <v>10217</v>
      </c>
      <c r="F38" s="426">
        <f>LOOKUP(E38,117:117,118:118)-LOOKUP(C38,117:117,118:118)+100</f>
        <v>100</v>
      </c>
      <c r="G38" s="634">
        <f>Sheet1!C9</f>
        <v>2884.12</v>
      </c>
      <c r="H38" s="426">
        <f>LOOKUP(G38,117:117,118:118)-LOOKUP(C38,117:117,118:118)+100</f>
        <v>100</v>
      </c>
      <c r="I38" s="487">
        <f>Sheet1!C10</f>
        <v>4636.0600000000004</v>
      </c>
      <c r="J38" s="426">
        <f>LOOKUP(I38,117:117,118:118)-LOOKUP(C38,117:117,118:118)+100</f>
        <v>100</v>
      </c>
      <c r="K38" s="570"/>
      <c r="L38" s="2951"/>
      <c r="M38" s="2945"/>
      <c r="N38" s="2945"/>
      <c r="O38" s="3003"/>
      <c r="P38" s="3294"/>
      <c r="Q38" s="1536" t="str">
        <f>B38</f>
        <v>宗地面积</v>
      </c>
      <c r="R38" s="713" t="s">
        <v>17</v>
      </c>
      <c r="S38" s="714">
        <f t="shared" si="10"/>
        <v>100</v>
      </c>
      <c r="T38" s="713" t="s">
        <v>17</v>
      </c>
      <c r="U38" s="714">
        <f t="shared" si="11"/>
        <v>100</v>
      </c>
      <c r="V38" s="713" t="s">
        <v>17</v>
      </c>
      <c r="W38" s="714">
        <f t="shared" si="12"/>
        <v>100</v>
      </c>
      <c r="X38" s="1539"/>
      <c r="Y38" s="3294"/>
      <c r="Z38" s="1540" t="str">
        <f t="shared" si="13"/>
        <v>宗地面积</v>
      </c>
      <c r="AA38" s="1537">
        <f t="shared" si="3"/>
        <v>1</v>
      </c>
      <c r="AB38" s="1537">
        <f t="shared" si="4"/>
        <v>1</v>
      </c>
      <c r="AC38" s="1537">
        <f t="shared" si="5"/>
        <v>1</v>
      </c>
    </row>
    <row r="39" spans="1:29" ht="15">
      <c r="A39" s="431"/>
      <c r="B39" s="381" t="s">
        <v>2574</v>
      </c>
      <c r="C39" s="2092" t="s">
        <v>3142</v>
      </c>
      <c r="D39" s="394">
        <v>100</v>
      </c>
      <c r="E39" s="2092" t="s">
        <v>3142</v>
      </c>
      <c r="F39" s="394">
        <f>SUMIF(119:119,E39,120:120)-SUMIF(119:119,C39,120:120)+100</f>
        <v>100</v>
      </c>
      <c r="G39" s="2092" t="s">
        <v>3142</v>
      </c>
      <c r="H39" s="394">
        <f>SUMIF(119:119,G39,120:120)-SUMIF(119:119,C39,120:120)+100</f>
        <v>100</v>
      </c>
      <c r="I39" s="2092" t="s">
        <v>3142</v>
      </c>
      <c r="J39" s="394">
        <f>SUMIF(119:119,I39,120:120)-SUMIF(119:119,C39,120:120)+100</f>
        <v>100</v>
      </c>
      <c r="K39" s="569">
        <v>1</v>
      </c>
      <c r="L39" s="2951"/>
      <c r="M39" s="2945"/>
      <c r="N39" s="2945"/>
      <c r="O39" s="3003"/>
      <c r="P39" s="3294"/>
      <c r="Q39" s="1536" t="str">
        <f t="shared" ref="Q39:Q45" si="14">B39</f>
        <v>宗地形状</v>
      </c>
      <c r="R39" s="713" t="s">
        <v>17</v>
      </c>
      <c r="S39" s="714">
        <f t="shared" si="10"/>
        <v>100</v>
      </c>
      <c r="T39" s="713" t="s">
        <v>17</v>
      </c>
      <c r="U39" s="714">
        <f t="shared" si="11"/>
        <v>100</v>
      </c>
      <c r="V39" s="713" t="s">
        <v>17</v>
      </c>
      <c r="W39" s="714">
        <f t="shared" si="12"/>
        <v>100</v>
      </c>
      <c r="X39" s="1539"/>
      <c r="Y39" s="3294"/>
      <c r="Z39" s="1540" t="str">
        <f t="shared" si="13"/>
        <v>宗地形状</v>
      </c>
      <c r="AA39" s="1537">
        <f t="shared" si="3"/>
        <v>1</v>
      </c>
      <c r="AB39" s="1537">
        <f t="shared" si="4"/>
        <v>1</v>
      </c>
      <c r="AC39" s="1537">
        <f t="shared" si="5"/>
        <v>1</v>
      </c>
    </row>
    <row r="40" spans="1:29" ht="15">
      <c r="A40" s="431"/>
      <c r="B40" s="381" t="s">
        <v>2575</v>
      </c>
      <c r="C40" s="2092" t="s">
        <v>3144</v>
      </c>
      <c r="D40" s="394">
        <v>100</v>
      </c>
      <c r="E40" s="2092" t="s">
        <v>3144</v>
      </c>
      <c r="F40" s="394">
        <f>SUMIF(121:121,E40,122:122)-SUMIF(121:121,C40,122:122)+100</f>
        <v>100</v>
      </c>
      <c r="G40" s="2092" t="s">
        <v>3144</v>
      </c>
      <c r="H40" s="394">
        <f>SUMIF(121:121,G40,122:122)-SUMIF(121:121,C40,122:122)+100</f>
        <v>100</v>
      </c>
      <c r="I40" s="2092" t="s">
        <v>3144</v>
      </c>
      <c r="J40" s="394">
        <f>SUMIF(121:121,I40,122:122)-SUMIF(121:121,C40,122:122)+100</f>
        <v>100</v>
      </c>
      <c r="K40" s="569">
        <v>1</v>
      </c>
      <c r="L40" s="2951"/>
      <c r="M40" s="2945"/>
      <c r="N40" s="2945"/>
      <c r="O40" s="3003"/>
      <c r="P40" s="3294"/>
      <c r="Q40" s="1536" t="str">
        <f t="shared" si="14"/>
        <v>临街宽度及深度</v>
      </c>
      <c r="R40" s="713" t="s">
        <v>17</v>
      </c>
      <c r="S40" s="714">
        <f t="shared" si="10"/>
        <v>100</v>
      </c>
      <c r="T40" s="713" t="s">
        <v>17</v>
      </c>
      <c r="U40" s="714">
        <f t="shared" si="11"/>
        <v>100</v>
      </c>
      <c r="V40" s="713" t="s">
        <v>17</v>
      </c>
      <c r="W40" s="714">
        <f t="shared" si="12"/>
        <v>100</v>
      </c>
      <c r="X40" s="1539"/>
      <c r="Y40" s="3294"/>
      <c r="Z40" s="1540" t="str">
        <f t="shared" si="13"/>
        <v>临街宽度及深度</v>
      </c>
      <c r="AA40" s="1537">
        <f t="shared" si="3"/>
        <v>1</v>
      </c>
      <c r="AB40" s="1537">
        <f t="shared" si="4"/>
        <v>1</v>
      </c>
      <c r="AC40" s="1537">
        <f t="shared" si="5"/>
        <v>1</v>
      </c>
    </row>
    <row r="41" spans="1:29" s="113" customFormat="1" ht="15">
      <c r="A41" s="432"/>
      <c r="B41" s="381" t="s">
        <v>2576</v>
      </c>
      <c r="C41" s="2166" t="s">
        <v>3146</v>
      </c>
      <c r="D41" s="132">
        <v>100</v>
      </c>
      <c r="E41" s="2166" t="s">
        <v>3146</v>
      </c>
      <c r="F41" s="394">
        <f>SUMIF(123:123,E41,124:124)-SUMIF(123:123,C41,124:124)+100</f>
        <v>100</v>
      </c>
      <c r="G41" s="2166" t="s">
        <v>3146</v>
      </c>
      <c r="H41" s="394">
        <f>SUMIF(123:123,G41,124:124)-SUMIF(123:123,C41,124:124)+100</f>
        <v>100</v>
      </c>
      <c r="I41" s="2166" t="s">
        <v>3146</v>
      </c>
      <c r="J41" s="394">
        <f>SUMIF(123:123,I41,124:124)-SUMIF(123:123,C41,124:124)+100</f>
        <v>100</v>
      </c>
      <c r="K41" s="569">
        <v>1</v>
      </c>
      <c r="L41" s="2946"/>
      <c r="M41" s="2947"/>
      <c r="N41" s="2947"/>
      <c r="O41" s="3001"/>
      <c r="P41" s="3294"/>
      <c r="Q41" s="1536" t="str">
        <f t="shared" si="14"/>
        <v>宗地开发程度</v>
      </c>
      <c r="R41" s="709" t="s">
        <v>17</v>
      </c>
      <c r="S41" s="710">
        <f t="shared" si="10"/>
        <v>100</v>
      </c>
      <c r="T41" s="709" t="s">
        <v>17</v>
      </c>
      <c r="U41" s="710">
        <f t="shared" si="11"/>
        <v>100</v>
      </c>
      <c r="V41" s="709" t="s">
        <v>17</v>
      </c>
      <c r="W41" s="710">
        <f t="shared" si="12"/>
        <v>100</v>
      </c>
      <c r="X41" s="711"/>
      <c r="Y41" s="3294"/>
      <c r="Z41" s="55" t="str">
        <f t="shared" si="13"/>
        <v>宗地开发程度</v>
      </c>
      <c r="AA41" s="712">
        <f t="shared" si="3"/>
        <v>1</v>
      </c>
      <c r="AB41" s="712">
        <f t="shared" si="4"/>
        <v>1</v>
      </c>
      <c r="AC41" s="712">
        <f t="shared" si="5"/>
        <v>1</v>
      </c>
    </row>
    <row r="42" spans="1:29" ht="15.75" thickBot="1">
      <c r="A42" s="431"/>
      <c r="B42" s="381" t="s">
        <v>2577</v>
      </c>
      <c r="C42" s="2092" t="s">
        <v>3080</v>
      </c>
      <c r="D42" s="394">
        <v>100</v>
      </c>
      <c r="E42" s="2092" t="s">
        <v>3080</v>
      </c>
      <c r="F42" s="394">
        <f>SUMIF(125:125,E42,126:126)-SUMIF(125:125,C42,126:126)+100</f>
        <v>100</v>
      </c>
      <c r="G42" s="2092" t="s">
        <v>3080</v>
      </c>
      <c r="H42" s="394">
        <f>SUMIF(125:125,G42,126:126)-SUMIF(125:125,C42,126:126)+100</f>
        <v>100</v>
      </c>
      <c r="I42" s="2092" t="s">
        <v>3080</v>
      </c>
      <c r="J42" s="394">
        <f>SUMIF(125:125,I42,126:126)-SUMIF(125:125,C42,126:126)+100</f>
        <v>100</v>
      </c>
      <c r="K42" s="569">
        <v>1</v>
      </c>
      <c r="L42" s="2951"/>
      <c r="M42" s="2945"/>
      <c r="N42" s="2945"/>
      <c r="O42" s="3003"/>
      <c r="P42" s="3294" t="s">
        <v>2387</v>
      </c>
      <c r="Q42" s="1536" t="str">
        <f t="shared" si="14"/>
        <v>工程地质条件</v>
      </c>
      <c r="R42" s="713" t="s">
        <v>17</v>
      </c>
      <c r="S42" s="714">
        <f t="shared" si="10"/>
        <v>100</v>
      </c>
      <c r="T42" s="713" t="s">
        <v>17</v>
      </c>
      <c r="U42" s="714">
        <f t="shared" si="11"/>
        <v>100</v>
      </c>
      <c r="V42" s="713" t="s">
        <v>17</v>
      </c>
      <c r="W42" s="714">
        <f t="shared" si="12"/>
        <v>100</v>
      </c>
      <c r="X42" s="1539"/>
      <c r="Y42" s="3294" t="s">
        <v>2387</v>
      </c>
      <c r="Z42" s="1540" t="str">
        <f t="shared" si="13"/>
        <v>工程地质条件</v>
      </c>
      <c r="AA42" s="1537">
        <f t="shared" si="3"/>
        <v>1</v>
      </c>
      <c r="AB42" s="1537">
        <f t="shared" si="4"/>
        <v>1</v>
      </c>
      <c r="AC42" s="1537">
        <f t="shared" si="5"/>
        <v>1</v>
      </c>
    </row>
    <row r="43" spans="1:29" ht="15" hidden="1">
      <c r="A43" s="431"/>
      <c r="B43" s="1294">
        <v>111</v>
      </c>
      <c r="C43" s="629"/>
      <c r="D43" s="394">
        <v>100</v>
      </c>
      <c r="E43" s="629"/>
      <c r="F43" s="394">
        <f>SUMIF(127:127,E43,128:128)-SUMIF(127:127,C43,128:128)+100</f>
        <v>100</v>
      </c>
      <c r="G43" s="629"/>
      <c r="H43" s="394">
        <f>SUMIF(127:127,G43,128:128)-SUMIF(127:127,C43,128:128)+100</f>
        <v>100</v>
      </c>
      <c r="I43" s="506"/>
      <c r="J43" s="394">
        <f>SUMIF(127:127,I43,128:128)-SUMIF(127:127,C43,128:128)+100</f>
        <v>100</v>
      </c>
      <c r="K43" s="570"/>
      <c r="L43" s="2951"/>
      <c r="M43" s="2945"/>
      <c r="N43" s="2945"/>
      <c r="O43" s="3003"/>
      <c r="P43" s="3294"/>
      <c r="Q43" s="1536">
        <f t="shared" si="14"/>
        <v>111</v>
      </c>
      <c r="R43" s="713" t="s">
        <v>17</v>
      </c>
      <c r="S43" s="714">
        <f t="shared" si="10"/>
        <v>100</v>
      </c>
      <c r="T43" s="713" t="s">
        <v>17</v>
      </c>
      <c r="U43" s="714">
        <f t="shared" si="11"/>
        <v>100</v>
      </c>
      <c r="V43" s="713" t="s">
        <v>17</v>
      </c>
      <c r="W43" s="714">
        <f t="shared" si="12"/>
        <v>100</v>
      </c>
      <c r="X43" s="1539"/>
      <c r="Y43" s="3294"/>
      <c r="Z43" s="1540">
        <f t="shared" si="13"/>
        <v>111</v>
      </c>
      <c r="AA43" s="1537">
        <f t="shared" si="3"/>
        <v>1</v>
      </c>
      <c r="AB43" s="1537">
        <f t="shared" si="4"/>
        <v>1</v>
      </c>
      <c r="AC43" s="1537">
        <f t="shared" si="5"/>
        <v>1</v>
      </c>
    </row>
    <row r="44" spans="1:29" ht="15" hidden="1">
      <c r="A44" s="431"/>
      <c r="B44" s="1294">
        <v>111</v>
      </c>
      <c r="C44" s="629"/>
      <c r="D44" s="394">
        <v>100</v>
      </c>
      <c r="E44" s="629"/>
      <c r="F44" s="394">
        <f>SUMIF(129:129,E44,130:130)-SUMIF(129:129,C44,130:130)+100</f>
        <v>100</v>
      </c>
      <c r="G44" s="629"/>
      <c r="H44" s="394">
        <f>SUMIF(129:129,G44,130:130)-SUMIF(129:129,C44,130:130)+100</f>
        <v>100</v>
      </c>
      <c r="I44" s="506"/>
      <c r="J44" s="394">
        <f>SUMIF(129:129,I44,130:130)-SUMIF(129:129,C44,130:130)+100</f>
        <v>100</v>
      </c>
      <c r="K44" s="570"/>
      <c r="L44" s="2951"/>
      <c r="M44" s="2945"/>
      <c r="N44" s="2945"/>
      <c r="O44" s="3003"/>
      <c r="P44" s="3294"/>
      <c r="Q44" s="1536">
        <f t="shared" si="14"/>
        <v>111</v>
      </c>
      <c r="R44" s="713" t="s">
        <v>17</v>
      </c>
      <c r="S44" s="714">
        <f t="shared" si="10"/>
        <v>100</v>
      </c>
      <c r="T44" s="713" t="s">
        <v>17</v>
      </c>
      <c r="U44" s="714">
        <f t="shared" si="11"/>
        <v>100</v>
      </c>
      <c r="V44" s="713" t="s">
        <v>17</v>
      </c>
      <c r="W44" s="714">
        <f t="shared" si="12"/>
        <v>100</v>
      </c>
      <c r="X44" s="1539"/>
      <c r="Y44" s="3294"/>
      <c r="Z44" s="1540">
        <f t="shared" si="13"/>
        <v>111</v>
      </c>
      <c r="AA44" s="1537">
        <f t="shared" si="3"/>
        <v>1</v>
      </c>
      <c r="AB44" s="1537">
        <f t="shared" si="4"/>
        <v>1</v>
      </c>
      <c r="AC44" s="1537">
        <f t="shared" si="5"/>
        <v>1</v>
      </c>
    </row>
    <row r="45" spans="1:29" s="430" customFormat="1" ht="15.75" hidden="1" thickBot="1">
      <c r="A45" s="427"/>
      <c r="B45" s="1294">
        <v>111</v>
      </c>
      <c r="C45" s="2167"/>
      <c r="D45" s="635">
        <v>100</v>
      </c>
      <c r="E45" s="629"/>
      <c r="F45" s="397">
        <f>SUMIF(131:131,E45,132:132)-SUMIF(131:131,C45,132:132)+100</f>
        <v>100</v>
      </c>
      <c r="G45" s="629"/>
      <c r="H45" s="397">
        <f>SUMIF(131:131,G45,132:132)-SUMIF(131:131,C45,132:132)+100</f>
        <v>100</v>
      </c>
      <c r="I45" s="629"/>
      <c r="J45" s="397">
        <f>SUMIF(131:131,I45,132:132)-SUMIF(131:131,C45,132:132)+100</f>
        <v>100</v>
      </c>
      <c r="K45" s="636"/>
      <c r="L45" s="2950"/>
      <c r="M45" s="2952"/>
      <c r="N45" s="2952"/>
      <c r="O45" s="3004"/>
      <c r="P45" s="3294"/>
      <c r="Q45" s="1536">
        <f t="shared" si="14"/>
        <v>111</v>
      </c>
      <c r="R45" s="716" t="s">
        <v>17</v>
      </c>
      <c r="S45" s="717">
        <f t="shared" si="10"/>
        <v>100</v>
      </c>
      <c r="T45" s="716" t="s">
        <v>17</v>
      </c>
      <c r="U45" s="717">
        <f t="shared" si="11"/>
        <v>100</v>
      </c>
      <c r="V45" s="716" t="s">
        <v>17</v>
      </c>
      <c r="W45" s="717">
        <f t="shared" si="12"/>
        <v>100</v>
      </c>
      <c r="X45" s="718"/>
      <c r="Y45" s="3294"/>
      <c r="Z45" s="719">
        <f t="shared" si="13"/>
        <v>111</v>
      </c>
      <c r="AA45" s="1537">
        <f t="shared" si="3"/>
        <v>1</v>
      </c>
      <c r="AB45" s="1537">
        <f t="shared" si="4"/>
        <v>1</v>
      </c>
      <c r="AC45" s="1537">
        <f t="shared" si="5"/>
        <v>1</v>
      </c>
    </row>
    <row r="46" spans="1:29" ht="15">
      <c r="A46" s="438" t="s">
        <v>2542</v>
      </c>
      <c r="B46" s="2168" t="s">
        <v>3151</v>
      </c>
      <c r="C46" s="637" t="s">
        <v>1</v>
      </c>
      <c r="D46" s="440"/>
      <c r="E46" s="441">
        <f>ROUND(Sheet1!K8,0)</f>
        <v>3752</v>
      </c>
      <c r="F46" s="442"/>
      <c r="G46" s="443">
        <f>ROUND(Sheet1!K9,0)</f>
        <v>4504</v>
      </c>
      <c r="H46" s="444"/>
      <c r="I46" s="441">
        <f>ROUND(Sheet1!K10,0)</f>
        <v>3749</v>
      </c>
      <c r="J46" s="444"/>
      <c r="K46" s="722"/>
      <c r="L46" s="2953"/>
      <c r="M46" s="2954"/>
      <c r="N46" s="2945"/>
      <c r="O46" s="2954"/>
      <c r="P46" s="3276" t="str">
        <f>A46</f>
        <v>成交单价</v>
      </c>
      <c r="Q46" s="3276"/>
      <c r="R46" s="3289">
        <f>E46</f>
        <v>3752</v>
      </c>
      <c r="S46" s="3289"/>
      <c r="T46" s="3289">
        <f>G46</f>
        <v>4504</v>
      </c>
      <c r="U46" s="3289"/>
      <c r="V46" s="3289">
        <f>I46</f>
        <v>3749</v>
      </c>
      <c r="W46" s="3289"/>
      <c r="X46" s="698"/>
      <c r="Y46" s="720"/>
      <c r="Z46" s="698"/>
      <c r="AA46" s="698"/>
      <c r="AB46" s="698"/>
      <c r="AC46" s="698"/>
    </row>
    <row r="47" spans="1:29" ht="15.75" thickBot="1">
      <c r="A47" s="445" t="s">
        <v>2491</v>
      </c>
      <c r="B47" s="638"/>
      <c r="C47" s="448">
        <f>R48</f>
        <v>4079</v>
      </c>
      <c r="D47" s="2538" t="s">
        <v>2879</v>
      </c>
      <c r="E47" s="448">
        <f>R47</f>
        <v>3825</v>
      </c>
      <c r="F47" s="2539"/>
      <c r="G47" s="447">
        <f>T47</f>
        <v>4591</v>
      </c>
      <c r="H47" s="2539"/>
      <c r="I47" s="448">
        <f>V47</f>
        <v>3822</v>
      </c>
      <c r="J47" s="2539"/>
      <c r="K47" s="2541">
        <f>F47+H47+J47</f>
        <v>0</v>
      </c>
      <c r="L47" s="2953"/>
      <c r="M47" s="2954"/>
      <c r="N47" s="2954"/>
      <c r="O47" s="2954"/>
      <c r="P47" s="3276" t="str">
        <f>A47</f>
        <v>比较价值（元/平方米）</v>
      </c>
      <c r="Q47" s="3276"/>
      <c r="R47" s="3295">
        <f>ROUND(PRODUCT(R46,AA7:AA45),0)</f>
        <v>3825</v>
      </c>
      <c r="S47" s="3295"/>
      <c r="T47" s="3295">
        <f>ROUND(PRODUCT(T46,AB7:AB45),0)</f>
        <v>4591</v>
      </c>
      <c r="U47" s="3295"/>
      <c r="V47" s="3295">
        <f>ROUND(PRODUCT(V46,AC7:AC45),0)</f>
        <v>3822</v>
      </c>
      <c r="W47" s="3295"/>
      <c r="X47" s="698"/>
      <c r="Y47" s="698"/>
      <c r="Z47" s="698"/>
      <c r="AA47" s="698"/>
      <c r="AB47" s="698"/>
      <c r="AC47" s="698"/>
    </row>
    <row r="48" spans="1:29" ht="15.75" thickBot="1">
      <c r="A48" s="449" t="s">
        <v>2578</v>
      </c>
      <c r="B48" s="450"/>
      <c r="C48" s="451">
        <f>R48</f>
        <v>4079</v>
      </c>
      <c r="D48" s="451"/>
      <c r="E48" s="451"/>
      <c r="F48" s="451"/>
      <c r="G48" s="451"/>
      <c r="H48" s="451"/>
      <c r="I48" s="451"/>
      <c r="J48" s="451"/>
      <c r="K48" s="723"/>
      <c r="L48" s="2953"/>
      <c r="M48" s="2954"/>
      <c r="N48" s="2954"/>
      <c r="O48" s="2954"/>
      <c r="P48" s="3296" t="str">
        <f>A48</f>
        <v>估价对象XX用房的比较价值（楼面单价，元/平方米）</v>
      </c>
      <c r="Q48" s="3297"/>
      <c r="R48" s="3298">
        <f>ROUND(IF(D47="简单平均",AVERAGE(R47:W47),R47*F47+T47*H47+V47*J47),0)</f>
        <v>4079</v>
      </c>
      <c r="S48" s="3298"/>
      <c r="T48" s="3298"/>
      <c r="U48" s="3298"/>
      <c r="V48" s="3298"/>
      <c r="W48" s="3298"/>
      <c r="X48" s="698"/>
      <c r="Y48" s="698"/>
      <c r="Z48" s="698"/>
      <c r="AA48" s="698"/>
      <c r="AB48" s="698"/>
      <c r="AC48" s="698"/>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2493</v>
      </c>
      <c r="D51" s="455"/>
      <c r="E51" s="456">
        <f>IF(E46&lt;E47,E47/E46-1,E46/E47-1)</f>
        <v>1.9456289978678099E-2</v>
      </c>
      <c r="F51" s="457" t="str">
        <f>IF(OR(E51&gt;=0.3,E51&lt;=-0.3),"超过30%","")</f>
        <v/>
      </c>
      <c r="G51" s="456">
        <f>IF(G46&lt;G47,G47/G46-1,G46/G47-1)</f>
        <v>1.9316163410301845E-2</v>
      </c>
      <c r="H51" s="457" t="str">
        <f>IF(OR(G51&gt;=0.3,G51&lt;=-0.3),"超过30%","")</f>
        <v/>
      </c>
      <c r="I51" s="456">
        <f>IF(I46&lt;I47,I47/I46-1,I46/I47-1)</f>
        <v>1.9471859162443428E-2</v>
      </c>
      <c r="J51" s="457" t="str">
        <f>IF(OR(I51&gt;=0.3,I51&lt;=-0.3),"超过30%","")</f>
        <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2494</v>
      </c>
      <c r="D52" s="458"/>
      <c r="E52" s="456">
        <f>IF(E47&lt;G47,G47/E47-1,E47/G47-1)</f>
        <v>0.20026143790849682</v>
      </c>
      <c r="F52" s="457" t="str">
        <f>IF(OR(E52&gt;=0.2,E52&lt;=-0.2),"超过20%","")</f>
        <v>超过20%</v>
      </c>
      <c r="G52" s="456">
        <f>IF(G47&lt;I47,I47/G47-1,G47/I47-1)</f>
        <v>0.20120355834641557</v>
      </c>
      <c r="H52" s="457" t="str">
        <f>IF(OR(G52&gt;=0.2,G52&lt;=-0.2),"超过20%","")</f>
        <v>超过20%</v>
      </c>
      <c r="I52" s="456">
        <f>IF(I47&lt;E47,E47/I47-1,I47/E47-1)</f>
        <v>7.8492935635798844E-4</v>
      </c>
      <c r="J52" s="457" t="str">
        <f>IF(OR(I52&gt;=0.2,I52&lt;=-0.2),"超过20%","")</f>
        <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2495</v>
      </c>
      <c r="D53" s="458"/>
      <c r="E53" s="456">
        <f>IF(E46&lt;G46,G46/E46-1,E46/G46-1)</f>
        <v>0.20042643923240933</v>
      </c>
      <c r="F53" s="457" t="str">
        <f>IF(OR(E53&gt;=0.3,E53&lt;=-0.3),"超过30%","")</f>
        <v/>
      </c>
      <c r="G53" s="456">
        <f>IF(G46&lt;I46,I46/G46-1,G46/I46-1)</f>
        <v>0.2013870365430781</v>
      </c>
      <c r="H53" s="457" t="str">
        <f>IF(OR(G53&gt;=0.3,G53&lt;=-0.3),"超过30%","")</f>
        <v/>
      </c>
      <c r="I53" s="456">
        <f>IF(I46&lt;E46,E46/I46-1,I46/E46-1)</f>
        <v>8.0021339023739202E-4</v>
      </c>
      <c r="J53" s="457" t="str">
        <f>IF(OR(I53&gt;=0.3,I53&lt;=-0.3),"超过30%","")</f>
        <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1"/>
      <c r="D54" s="699"/>
      <c r="E54" s="699"/>
      <c r="F54" s="699"/>
      <c r="G54" s="699"/>
      <c r="H54" s="699"/>
      <c r="I54" s="699"/>
      <c r="J54" s="699"/>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39" t="s">
        <v>2579</v>
      </c>
      <c r="B55" s="640" t="s">
        <v>2580</v>
      </c>
      <c r="C55" s="2169" t="s">
        <v>2581</v>
      </c>
      <c r="D55" s="2170" t="s">
        <v>2582</v>
      </c>
      <c r="E55" s="641" t="s">
        <v>2583</v>
      </c>
      <c r="F55" s="1020" t="s">
        <v>2584</v>
      </c>
      <c r="G55" s="3277" t="s">
        <v>2585</v>
      </c>
      <c r="H55" s="3299"/>
      <c r="I55" s="140" t="s">
        <v>2586</v>
      </c>
      <c r="J55" s="2171">
        <f>项目基本情况!F35</f>
        <v>0</v>
      </c>
      <c r="K55" s="2172" t="s">
        <v>2587</v>
      </c>
      <c r="L55" s="2955"/>
      <c r="M55" s="2954"/>
      <c r="N55" s="2954"/>
      <c r="O55" s="2954"/>
      <c r="P55" s="2954"/>
      <c r="Q55" s="2954"/>
      <c r="R55" s="2954"/>
      <c r="S55" s="2954"/>
      <c r="T55" s="2954"/>
      <c r="U55" s="2954"/>
      <c r="V55" s="2954"/>
      <c r="W55" s="2954"/>
      <c r="X55" s="2954"/>
      <c r="Y55" s="2954"/>
      <c r="Z55" s="2954"/>
      <c r="AA55" s="2954"/>
      <c r="AB55" s="2954"/>
      <c r="AC55" s="2954"/>
    </row>
    <row r="56" spans="1:29" s="647" customFormat="1">
      <c r="A56" s="643" t="s">
        <v>2588</v>
      </c>
      <c r="B56" s="644">
        <f>C48</f>
        <v>4079</v>
      </c>
      <c r="C56" s="645">
        <v>1</v>
      </c>
      <c r="D56" s="1074">
        <v>1</v>
      </c>
      <c r="E56" s="645">
        <f>'数据-汇总表'!E8+'数据-汇总表'!E9</f>
        <v>21489.300000000003</v>
      </c>
      <c r="F56" s="1016">
        <f t="shared" ref="F56:F65" si="15">ROUND(B56*E56/10000,0)</f>
        <v>8765</v>
      </c>
      <c r="G56" s="3300"/>
      <c r="H56" s="3276"/>
      <c r="I56" s="1021">
        <v>1</v>
      </c>
      <c r="J56" s="1024">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7" customFormat="1">
      <c r="A57" s="648" t="s">
        <v>2589</v>
      </c>
      <c r="B57" s="224">
        <f>ROUND($C$48*C57*D57,0)</f>
        <v>0</v>
      </c>
      <c r="C57" s="176">
        <f t="shared" ref="C57:C65" si="16">IF($C$55="北京市系数",I57,J57)</f>
        <v>0</v>
      </c>
      <c r="D57" s="1075">
        <v>0.25</v>
      </c>
      <c r="E57" s="649"/>
      <c r="F57" s="1016">
        <f t="shared" si="15"/>
        <v>0</v>
      </c>
      <c r="G57" s="3301" t="s">
        <v>2590</v>
      </c>
      <c r="H57" s="1017">
        <f>项目基本情况!B37</f>
        <v>0</v>
      </c>
      <c r="I57" s="1021">
        <f>SUMIF(修正!A45:A56,H57,修正!B45:B56)</f>
        <v>0</v>
      </c>
      <c r="J57" s="1025"/>
      <c r="K57" s="2954"/>
      <c r="L57" s="3011"/>
      <c r="M57" s="3011"/>
      <c r="N57" s="3011"/>
      <c r="O57" s="3011"/>
      <c r="P57" s="3011"/>
      <c r="Q57" s="3011"/>
      <c r="R57" s="3011"/>
      <c r="S57" s="3011"/>
      <c r="T57" s="3011"/>
      <c r="U57" s="3011"/>
      <c r="V57" s="3011"/>
      <c r="W57" s="3011"/>
      <c r="X57" s="3011"/>
      <c r="Y57" s="3011"/>
      <c r="Z57" s="3011"/>
      <c r="AA57" s="3011"/>
      <c r="AB57" s="3011"/>
      <c r="AC57" s="3011"/>
    </row>
    <row r="58" spans="1:29" s="647" customFormat="1">
      <c r="A58" s="648" t="s">
        <v>2591</v>
      </c>
      <c r="B58" s="224">
        <f t="shared" ref="B58:B65" si="17">ROUND($C$48*C58*D58,0)</f>
        <v>0</v>
      </c>
      <c r="C58" s="176">
        <f t="shared" si="16"/>
        <v>0</v>
      </c>
      <c r="D58" s="1075">
        <v>0.25</v>
      </c>
      <c r="E58" s="649"/>
      <c r="F58" s="1016">
        <f t="shared" si="15"/>
        <v>0</v>
      </c>
      <c r="G58" s="3301"/>
      <c r="H58" s="1017">
        <f>项目基本情况!B37</f>
        <v>0</v>
      </c>
      <c r="I58" s="1021">
        <f>SUMIF(修正!A45:A56,H58,修正!C45:C56)</f>
        <v>0</v>
      </c>
      <c r="J58" s="1025"/>
      <c r="K58" s="2957"/>
      <c r="L58" s="3011"/>
      <c r="M58" s="3011"/>
      <c r="N58" s="3011"/>
      <c r="O58" s="3011"/>
      <c r="P58" s="3011"/>
      <c r="Q58" s="3011"/>
      <c r="R58" s="3011"/>
      <c r="S58" s="3011"/>
      <c r="T58" s="3011"/>
      <c r="U58" s="3011"/>
      <c r="V58" s="3011"/>
      <c r="W58" s="3011"/>
      <c r="X58" s="3011"/>
      <c r="Y58" s="3011"/>
      <c r="Z58" s="3011"/>
      <c r="AA58" s="3011"/>
      <c r="AB58" s="3011"/>
      <c r="AC58" s="3011"/>
    </row>
    <row r="59" spans="1:29" s="647" customFormat="1">
      <c r="A59" s="648" t="s">
        <v>2592</v>
      </c>
      <c r="B59" s="224">
        <f t="shared" si="17"/>
        <v>0</v>
      </c>
      <c r="C59" s="176">
        <f t="shared" si="16"/>
        <v>0</v>
      </c>
      <c r="D59" s="1075">
        <v>0.25</v>
      </c>
      <c r="E59" s="649"/>
      <c r="F59" s="1016">
        <f t="shared" si="15"/>
        <v>0</v>
      </c>
      <c r="G59" s="3301"/>
      <c r="H59" s="1017">
        <f>项目基本情况!B37</f>
        <v>0</v>
      </c>
      <c r="I59" s="1021">
        <f>SUMIF(修正!A45:A56,H59,修正!D45:D56)</f>
        <v>0</v>
      </c>
      <c r="J59" s="1025"/>
      <c r="K59" s="2954"/>
      <c r="L59" s="3011"/>
      <c r="M59" s="3011"/>
      <c r="N59" s="3011"/>
      <c r="O59" s="3011"/>
      <c r="P59" s="3011"/>
      <c r="Q59" s="3011"/>
      <c r="R59" s="3011"/>
      <c r="S59" s="3011"/>
      <c r="T59" s="3011"/>
      <c r="U59" s="3011"/>
      <c r="V59" s="3011"/>
      <c r="W59" s="3011"/>
      <c r="X59" s="3011"/>
      <c r="Y59" s="3011"/>
      <c r="Z59" s="3011"/>
      <c r="AA59" s="3011"/>
      <c r="AB59" s="3011"/>
      <c r="AC59" s="3011"/>
    </row>
    <row r="60" spans="1:29" s="647" customFormat="1">
      <c r="A60" s="648" t="s">
        <v>2593</v>
      </c>
      <c r="B60" s="224">
        <f t="shared" si="17"/>
        <v>0</v>
      </c>
      <c r="C60" s="176">
        <f t="shared" si="16"/>
        <v>0</v>
      </c>
      <c r="D60" s="1075">
        <v>0.25</v>
      </c>
      <c r="E60" s="649"/>
      <c r="F60" s="1016">
        <f t="shared" si="15"/>
        <v>0</v>
      </c>
      <c r="G60" s="3301"/>
      <c r="H60" s="1017">
        <f>项目基本情况!B37</f>
        <v>0</v>
      </c>
      <c r="I60" s="1021">
        <f>SUMIF(修正!A45:A56,H60,修正!E45:E56)</f>
        <v>0</v>
      </c>
      <c r="J60" s="1025"/>
      <c r="K60" s="2957"/>
      <c r="L60" s="3011"/>
      <c r="M60" s="3011"/>
      <c r="N60" s="3011"/>
      <c r="O60" s="3011"/>
      <c r="P60" s="3011"/>
      <c r="Q60" s="3011"/>
      <c r="R60" s="3011"/>
      <c r="S60" s="3011"/>
      <c r="T60" s="3011"/>
      <c r="U60" s="3011"/>
      <c r="V60" s="3011"/>
      <c r="W60" s="3011"/>
      <c r="X60" s="3011"/>
      <c r="Y60" s="3011"/>
      <c r="Z60" s="3011"/>
      <c r="AA60" s="3011"/>
      <c r="AB60" s="3011"/>
      <c r="AC60" s="3011"/>
    </row>
    <row r="61" spans="1:29" s="647" customFormat="1">
      <c r="A61" s="648" t="s">
        <v>2594</v>
      </c>
      <c r="B61" s="224">
        <f t="shared" si="17"/>
        <v>0</v>
      </c>
      <c r="C61" s="176">
        <f t="shared" si="16"/>
        <v>0</v>
      </c>
      <c r="D61" s="1075">
        <v>0.25</v>
      </c>
      <c r="E61" s="223">
        <f>'数据-汇总表'!E11</f>
        <v>0</v>
      </c>
      <c r="F61" s="1016">
        <f t="shared" si="15"/>
        <v>0</v>
      </c>
      <c r="G61" s="2173" t="s">
        <v>2595</v>
      </c>
      <c r="H61" s="1017">
        <f>项目基本情况!C37</f>
        <v>0</v>
      </c>
      <c r="I61" s="1021">
        <f>SUMIF(修正!A45:A56,H61,修正!F45:F56)</f>
        <v>0</v>
      </c>
      <c r="J61" s="1025"/>
      <c r="K61" s="2954"/>
      <c r="L61" s="3011"/>
      <c r="M61" s="3011"/>
      <c r="N61" s="3011"/>
      <c r="O61" s="3011"/>
      <c r="P61" s="3011"/>
      <c r="Q61" s="3011"/>
      <c r="R61" s="3011"/>
      <c r="S61" s="3011"/>
      <c r="T61" s="3011"/>
      <c r="U61" s="3011"/>
      <c r="V61" s="3011"/>
      <c r="W61" s="3011"/>
      <c r="X61" s="3011"/>
      <c r="Y61" s="3011"/>
      <c r="Z61" s="3011"/>
      <c r="AA61" s="3011"/>
      <c r="AB61" s="3011"/>
      <c r="AC61" s="3011"/>
    </row>
    <row r="62" spans="1:29" s="647" customFormat="1">
      <c r="A62" s="648" t="s">
        <v>2596</v>
      </c>
      <c r="B62" s="224">
        <f t="shared" si="17"/>
        <v>0</v>
      </c>
      <c r="C62" s="176">
        <f t="shared" si="16"/>
        <v>0</v>
      </c>
      <c r="D62" s="1075">
        <v>0.25</v>
      </c>
      <c r="E62" s="223">
        <f>'数据-汇总表'!E12</f>
        <v>0</v>
      </c>
      <c r="F62" s="1016">
        <f t="shared" si="15"/>
        <v>0</v>
      </c>
      <c r="G62" s="1022" t="s">
        <v>2597</v>
      </c>
      <c r="H62" s="1017">
        <f>IF(G62="商业",项目基本情况!B37,IF(G62="办公",项目基本情况!C37,IF(G62="住宅",项目基本情况!D37,项目基本情况!E37)))</f>
        <v>0</v>
      </c>
      <c r="I62" s="1021">
        <f>SUMIF(修正!A45:A56,H62,修正!G45:G56)</f>
        <v>0</v>
      </c>
      <c r="J62" s="1025"/>
      <c r="K62" s="2957"/>
      <c r="L62" s="3011"/>
      <c r="M62" s="3011"/>
      <c r="N62" s="3011"/>
      <c r="O62" s="3011"/>
      <c r="P62" s="3011"/>
      <c r="Q62" s="3011"/>
      <c r="R62" s="3011"/>
      <c r="S62" s="3011"/>
      <c r="T62" s="3011"/>
      <c r="U62" s="3011"/>
      <c r="V62" s="3011"/>
      <c r="W62" s="3011"/>
      <c r="X62" s="3011"/>
      <c r="Y62" s="3011"/>
      <c r="Z62" s="3011"/>
      <c r="AA62" s="3011"/>
      <c r="AB62" s="3011"/>
      <c r="AC62" s="3011"/>
    </row>
    <row r="63" spans="1:29" s="647" customFormat="1">
      <c r="A63" s="648" t="s">
        <v>2598</v>
      </c>
      <c r="B63" s="224">
        <f t="shared" si="17"/>
        <v>0</v>
      </c>
      <c r="C63" s="176">
        <f t="shared" si="16"/>
        <v>0</v>
      </c>
      <c r="D63" s="1075">
        <v>0.25</v>
      </c>
      <c r="E63" s="223">
        <f>'数据-汇总表'!E13</f>
        <v>6471.53</v>
      </c>
      <c r="F63" s="1016">
        <f t="shared" si="15"/>
        <v>0</v>
      </c>
      <c r="G63" s="1022" t="s">
        <v>2599</v>
      </c>
      <c r="H63" s="1017">
        <f>IF(G63="商业",项目基本情况!B37,IF(G63="办公",项目基本情况!C37,IF(G63="住宅",项目基本情况!D37,项目基本情况!E37)))</f>
        <v>0</v>
      </c>
      <c r="I63" s="1021">
        <f>SUMIF(修正!A45:A56,H63,修正!H45:H56)</f>
        <v>0</v>
      </c>
      <c r="J63" s="1025"/>
      <c r="K63" s="2954"/>
      <c r="L63" s="3011"/>
      <c r="M63" s="3011"/>
      <c r="N63" s="3011"/>
      <c r="O63" s="3011"/>
      <c r="P63" s="3011"/>
      <c r="Q63" s="3011"/>
      <c r="R63" s="3011"/>
      <c r="S63" s="3011"/>
      <c r="T63" s="3011"/>
      <c r="U63" s="3011"/>
      <c r="V63" s="3011"/>
      <c r="W63" s="3011"/>
      <c r="X63" s="3011"/>
      <c r="Y63" s="3011"/>
      <c r="Z63" s="3011"/>
      <c r="AA63" s="3011"/>
      <c r="AB63" s="3011"/>
      <c r="AC63" s="3011"/>
    </row>
    <row r="64" spans="1:29" s="647" customFormat="1">
      <c r="A64" s="648" t="s">
        <v>2600</v>
      </c>
      <c r="B64" s="224">
        <f t="shared" si="17"/>
        <v>0</v>
      </c>
      <c r="C64" s="176">
        <f t="shared" si="16"/>
        <v>0</v>
      </c>
      <c r="D64" s="1075">
        <v>0.25</v>
      </c>
      <c r="E64" s="223">
        <f>'数据-汇总表'!E14</f>
        <v>0</v>
      </c>
      <c r="F64" s="1016">
        <f t="shared" si="15"/>
        <v>0</v>
      </c>
      <c r="G64" s="2173" t="s">
        <v>2590</v>
      </c>
      <c r="H64" s="1017">
        <f>项目基本情况!B37</f>
        <v>0</v>
      </c>
      <c r="I64" s="1021">
        <f>SUMIF(修正!A45:A56,H64,修正!H45:H56)</f>
        <v>0</v>
      </c>
      <c r="J64" s="1025"/>
      <c r="K64" s="2957"/>
      <c r="L64" s="3011"/>
      <c r="M64" s="3011"/>
      <c r="N64" s="3011"/>
      <c r="O64" s="3011"/>
      <c r="P64" s="3011"/>
      <c r="Q64" s="3011"/>
      <c r="R64" s="3011"/>
      <c r="S64" s="3011"/>
      <c r="T64" s="3011"/>
      <c r="U64" s="3011"/>
      <c r="V64" s="3011"/>
      <c r="W64" s="3011"/>
      <c r="X64" s="3011"/>
      <c r="Y64" s="3011"/>
      <c r="Z64" s="3011"/>
      <c r="AA64" s="3011"/>
      <c r="AB64" s="3011"/>
      <c r="AC64" s="3011"/>
    </row>
    <row r="65" spans="1:29" s="647" customFormat="1" ht="15" thickBot="1">
      <c r="A65" s="648" t="s">
        <v>2601</v>
      </c>
      <c r="B65" s="224">
        <f t="shared" si="17"/>
        <v>0</v>
      </c>
      <c r="C65" s="176">
        <f t="shared" si="16"/>
        <v>0</v>
      </c>
      <c r="D65" s="1075">
        <v>0.25</v>
      </c>
      <c r="E65" s="223">
        <f>'数据-汇总表'!E15</f>
        <v>0</v>
      </c>
      <c r="F65" s="1016">
        <f t="shared" si="15"/>
        <v>0</v>
      </c>
      <c r="G65" s="2174" t="s">
        <v>2595</v>
      </c>
      <c r="H65" s="1027">
        <f>项目基本情况!C37</f>
        <v>0</v>
      </c>
      <c r="I65" s="1023">
        <f>SUMIF(修正!A45:A56,H65,修正!H45:H56)</f>
        <v>0</v>
      </c>
      <c r="J65" s="1026"/>
      <c r="K65" s="2954"/>
      <c r="L65" s="3011"/>
      <c r="M65" s="3011"/>
      <c r="N65" s="3011"/>
      <c r="O65" s="3011"/>
      <c r="P65" s="3011"/>
      <c r="Q65" s="3011"/>
      <c r="R65" s="3011"/>
      <c r="S65" s="3011"/>
      <c r="T65" s="3011"/>
      <c r="U65" s="3011"/>
      <c r="V65" s="3011"/>
      <c r="W65" s="3011"/>
      <c r="X65" s="3011"/>
      <c r="Y65" s="3011"/>
      <c r="Z65" s="3011"/>
      <c r="AA65" s="3011"/>
      <c r="AB65" s="3011"/>
      <c r="AC65" s="3011"/>
    </row>
    <row r="66" spans="1:29" s="647" customFormat="1" ht="13.5" thickBot="1">
      <c r="A66" s="650" t="s">
        <v>2602</v>
      </c>
      <c r="B66" s="651" t="s">
        <v>28</v>
      </c>
      <c r="C66" s="651" t="s">
        <v>29</v>
      </c>
      <c r="D66" s="651" t="s">
        <v>997</v>
      </c>
      <c r="E66" s="651">
        <f>IF(B46="楼面地价",SUM(E56:E65),'数据-汇总表'!D3)</f>
        <v>24172.12</v>
      </c>
      <c r="F66" s="652">
        <f>IF(B46="楼面地价",SUM(F56:F65),ROUND(C48*E66/10000,0))</f>
        <v>9860</v>
      </c>
      <c r="G66" s="725"/>
      <c r="H66" s="725"/>
      <c r="I66" s="725"/>
      <c r="J66" s="725"/>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8"/>
      <c r="B67" s="700"/>
      <c r="C67" s="701"/>
      <c r="D67" s="698"/>
      <c r="E67" s="698"/>
      <c r="F67" s="698"/>
      <c r="G67" s="698"/>
      <c r="H67" s="698"/>
      <c r="I67" s="698"/>
      <c r="J67" s="1057"/>
      <c r="K67" s="1018"/>
      <c r="L67" s="1019"/>
      <c r="M67" s="1057"/>
      <c r="N67" s="1057"/>
      <c r="O67" s="1057"/>
      <c r="P67" s="2954"/>
      <c r="Q67" s="2954"/>
      <c r="R67" s="2954"/>
      <c r="S67" s="2954"/>
      <c r="T67" s="2954"/>
      <c r="U67" s="2954"/>
      <c r="V67" s="2954"/>
      <c r="W67" s="2954"/>
      <c r="X67" s="2954"/>
      <c r="Y67" s="2954"/>
      <c r="Z67" s="2954"/>
      <c r="AA67" s="2954"/>
      <c r="AB67" s="2954"/>
      <c r="AC67" s="2954"/>
    </row>
    <row r="68" spans="1:29">
      <c r="A68" s="698"/>
      <c r="B68" s="700"/>
      <c r="C68" s="700" t="str">
        <f>YEAR(C7)&amp;"-"&amp;MONTH(C7)&amp;"-1"</f>
        <v>2021-1-1</v>
      </c>
      <c r="D68" s="700">
        <f>EDATE(C68,-3)</f>
        <v>44105</v>
      </c>
      <c r="E68" s="700">
        <f>EDATE(D68,-3)</f>
        <v>44013</v>
      </c>
      <c r="F68" s="700">
        <f t="shared" ref="F68:O68" si="18">EDATE(E68,-3)</f>
        <v>43922</v>
      </c>
      <c r="G68" s="700">
        <f t="shared" si="18"/>
        <v>43831</v>
      </c>
      <c r="H68" s="700">
        <f t="shared" si="18"/>
        <v>43739</v>
      </c>
      <c r="I68" s="700">
        <f t="shared" si="18"/>
        <v>43647</v>
      </c>
      <c r="J68" s="700">
        <f t="shared" si="18"/>
        <v>43556</v>
      </c>
      <c r="K68" s="700">
        <f t="shared" si="18"/>
        <v>43466</v>
      </c>
      <c r="L68" s="700">
        <f t="shared" si="18"/>
        <v>43374</v>
      </c>
      <c r="M68" s="700">
        <f t="shared" si="18"/>
        <v>43282</v>
      </c>
      <c r="N68" s="700">
        <f t="shared" si="18"/>
        <v>43191</v>
      </c>
      <c r="O68" s="700">
        <f t="shared" si="18"/>
        <v>43101</v>
      </c>
      <c r="P68" s="2954"/>
      <c r="Q68" s="2954"/>
      <c r="R68" s="2954"/>
      <c r="S68" s="2954"/>
      <c r="T68" s="2954"/>
      <c r="U68" s="2954"/>
      <c r="V68" s="2954"/>
      <c r="W68" s="2954"/>
      <c r="X68" s="2954"/>
      <c r="Y68" s="2954"/>
      <c r="Z68" s="2954"/>
      <c r="AA68" s="2954"/>
      <c r="AB68" s="2954"/>
      <c r="AC68" s="2954"/>
    </row>
    <row r="69" spans="1:29" ht="21.75" thickBot="1">
      <c r="A69" s="702" t="s">
        <v>2496</v>
      </c>
      <c r="B69" s="698"/>
      <c r="C69" s="703"/>
      <c r="D69" s="703"/>
      <c r="E69" s="703"/>
      <c r="F69" s="704"/>
      <c r="G69" s="704"/>
      <c r="H69" s="703"/>
      <c r="I69" s="703"/>
      <c r="J69" s="1070"/>
      <c r="K69" s="1071"/>
      <c r="L69" s="1072"/>
      <c r="M69" s="1070"/>
      <c r="N69" s="2998"/>
      <c r="O69" s="2998"/>
      <c r="P69" s="2998"/>
      <c r="Q69" s="2968"/>
      <c r="R69" s="2954"/>
      <c r="S69" s="2954"/>
      <c r="T69" s="2954"/>
      <c r="U69" s="2954"/>
      <c r="V69" s="2954"/>
      <c r="W69" s="2954"/>
      <c r="X69" s="2954"/>
      <c r="Y69" s="2954"/>
      <c r="Z69" s="2954"/>
      <c r="AA69" s="2954"/>
      <c r="AB69" s="2954"/>
      <c r="AC69" s="2954"/>
    </row>
    <row r="70" spans="1:29" s="465" customFormat="1" ht="15">
      <c r="A70" s="2175" t="s">
        <v>2603</v>
      </c>
      <c r="B70" s="1267"/>
      <c r="C70" s="1342" t="str">
        <f>YEAR(C68)&amp;"-"&amp;ROUNDUP(MONTH(C68)/3,0)</f>
        <v>2021-1</v>
      </c>
      <c r="D70" s="1342" t="str">
        <f>YEAR(D68)&amp;"-"&amp;ROUNDUP(MONTH(D68)/3,0)</f>
        <v>2020-4</v>
      </c>
      <c r="E70" s="1342" t="str">
        <f t="shared" ref="E70:O70" si="19">YEAR(E68)&amp;"-"&amp;ROUNDUP(MONTH(E68)/3,0)</f>
        <v>2020-3</v>
      </c>
      <c r="F70" s="1342" t="str">
        <f t="shared" si="19"/>
        <v>2020-2</v>
      </c>
      <c r="G70" s="1342" t="str">
        <f t="shared" si="19"/>
        <v>2020-1</v>
      </c>
      <c r="H70" s="1342" t="str">
        <f t="shared" si="19"/>
        <v>2019-4</v>
      </c>
      <c r="I70" s="1342" t="str">
        <f t="shared" si="19"/>
        <v>2019-3</v>
      </c>
      <c r="J70" s="1342" t="str">
        <f t="shared" si="19"/>
        <v>2019-2</v>
      </c>
      <c r="K70" s="1342" t="str">
        <f t="shared" si="19"/>
        <v>2019-1</v>
      </c>
      <c r="L70" s="1342" t="str">
        <f t="shared" si="19"/>
        <v>2018-4</v>
      </c>
      <c r="M70" s="1342" t="str">
        <f t="shared" si="19"/>
        <v>2018-3</v>
      </c>
      <c r="N70" s="1342" t="str">
        <f t="shared" si="19"/>
        <v>2018-2</v>
      </c>
      <c r="O70" s="1342" t="str">
        <f t="shared" si="19"/>
        <v>2018-1</v>
      </c>
      <c r="P70" s="3005"/>
      <c r="Q70" s="2970"/>
      <c r="R70" s="2970"/>
      <c r="S70" s="2970"/>
      <c r="T70" s="2970"/>
      <c r="U70" s="2970"/>
      <c r="V70" s="2970"/>
      <c r="W70" s="2970"/>
      <c r="X70" s="2970"/>
      <c r="Y70" s="2970"/>
      <c r="Z70" s="2970"/>
      <c r="AA70" s="2970"/>
      <c r="AB70" s="2970"/>
      <c r="AC70" s="2970"/>
    </row>
    <row r="71" spans="1:29" s="113" customFormat="1" ht="30" customHeight="1">
      <c r="A71" s="2176" t="s">
        <v>2604</v>
      </c>
      <c r="B71" s="294" t="str">
        <f>"北京市平均增长率"&amp;TEXT(SUMIF(基准地价修正!N21:N25,A71,基准地价修正!P21:P25),"0.00%")</f>
        <v>北京市平均增长率1.85%</v>
      </c>
      <c r="C71" s="560">
        <v>100</v>
      </c>
      <c r="D71" s="552">
        <f>C71-$C$72</f>
        <v>99</v>
      </c>
      <c r="E71" s="552">
        <f t="shared" ref="E71:M71" si="20">D71-$C$72</f>
        <v>98</v>
      </c>
      <c r="F71" s="552">
        <f t="shared" si="20"/>
        <v>97</v>
      </c>
      <c r="G71" s="552">
        <f t="shared" si="20"/>
        <v>96</v>
      </c>
      <c r="H71" s="552">
        <f t="shared" si="20"/>
        <v>95</v>
      </c>
      <c r="I71" s="552">
        <f t="shared" si="20"/>
        <v>94</v>
      </c>
      <c r="J71" s="552">
        <f t="shared" si="20"/>
        <v>93</v>
      </c>
      <c r="K71" s="552">
        <f t="shared" si="20"/>
        <v>92</v>
      </c>
      <c r="L71" s="552">
        <f t="shared" si="20"/>
        <v>91</v>
      </c>
      <c r="M71" s="552">
        <f t="shared" si="20"/>
        <v>90</v>
      </c>
      <c r="N71" s="552"/>
      <c r="O71" s="1339"/>
      <c r="P71" s="2968"/>
      <c r="Q71" s="2888"/>
      <c r="R71" s="2888"/>
      <c r="S71" s="2888"/>
      <c r="T71" s="2888"/>
      <c r="U71" s="2888"/>
      <c r="V71" s="2888"/>
      <c r="W71" s="2888"/>
      <c r="X71" s="2888"/>
      <c r="Y71" s="2888"/>
      <c r="Z71" s="2888"/>
      <c r="AA71" s="2888"/>
      <c r="AB71" s="2888"/>
      <c r="AC71" s="2888"/>
    </row>
    <row r="72" spans="1:29" s="113" customFormat="1" ht="15.75" thickBot="1">
      <c r="A72" s="472" t="s">
        <v>2407</v>
      </c>
      <c r="B72" s="473"/>
      <c r="C72" s="474">
        <v>1</v>
      </c>
      <c r="D72" s="475"/>
      <c r="E72" s="475"/>
      <c r="F72" s="475"/>
      <c r="G72" s="475"/>
      <c r="H72" s="475"/>
      <c r="I72" s="475"/>
      <c r="J72" s="475"/>
      <c r="K72" s="475"/>
      <c r="L72" s="475"/>
      <c r="M72" s="476"/>
      <c r="N72" s="475"/>
      <c r="O72" s="1073"/>
      <c r="P72" s="2968"/>
      <c r="Q72" s="2968"/>
      <c r="R72" s="2888"/>
      <c r="S72" s="2888"/>
      <c r="T72" s="2888"/>
      <c r="U72" s="2888"/>
      <c r="V72" s="2888"/>
      <c r="W72" s="2888"/>
      <c r="X72" s="2888"/>
      <c r="Y72" s="2888"/>
      <c r="Z72" s="2888"/>
      <c r="AA72" s="2888"/>
      <c r="AB72" s="2888"/>
      <c r="AC72" s="2888"/>
    </row>
    <row r="73" spans="1:29" s="113" customFormat="1" ht="15.75" thickBot="1">
      <c r="A73" s="478" t="s">
        <v>2372</v>
      </c>
      <c r="B73" s="467"/>
      <c r="C73" s="479" t="s">
        <v>2474</v>
      </c>
      <c r="D73" s="480"/>
      <c r="E73" s="475"/>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4">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2410</v>
      </c>
      <c r="B75" s="485" t="s">
        <v>2376</v>
      </c>
      <c r="C75" s="3053" t="s">
        <v>3141</v>
      </c>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2379</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29.25" thickTop="1">
      <c r="A79" s="491"/>
      <c r="B79" s="503" t="s">
        <v>2380</v>
      </c>
      <c r="C79" s="504" t="str">
        <f>C80&amp;"（含）"&amp;"-"&amp;D80</f>
        <v>0（含）-1.5</v>
      </c>
      <c r="D79" s="504" t="str">
        <f t="shared" ref="D79:L79" si="21">D80&amp;"（含）"&amp;"-"&amp;E80</f>
        <v>1.5（含）-3</v>
      </c>
      <c r="E79" s="504" t="str">
        <f t="shared" si="21"/>
        <v>3（含）-4.5</v>
      </c>
      <c r="F79" s="504" t="str">
        <f t="shared" si="21"/>
        <v>4.5（含）-6</v>
      </c>
      <c r="G79" s="504" t="str">
        <f t="shared" si="21"/>
        <v>6（含）-7.5</v>
      </c>
      <c r="H79" s="504" t="str">
        <f t="shared" si="21"/>
        <v>7.5（含）-9</v>
      </c>
      <c r="I79" s="504" t="str">
        <f t="shared" si="21"/>
        <v>9（含）-10.5</v>
      </c>
      <c r="J79" s="504" t="str">
        <f t="shared" si="21"/>
        <v>10.5（含）-12</v>
      </c>
      <c r="K79" s="504" t="str">
        <f t="shared" si="21"/>
        <v>12（含）-13.5</v>
      </c>
      <c r="L79" s="504" t="str">
        <f t="shared" si="21"/>
        <v>13.5（含）-15</v>
      </c>
      <c r="M79" s="407" t="str">
        <f>M80&amp;"（含）"&amp;"-"&amp;P80</f>
        <v>15（含）-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v>0</v>
      </c>
      <c r="D80" s="506">
        <v>1.5</v>
      </c>
      <c r="E80" s="506">
        <v>3</v>
      </c>
      <c r="F80" s="506">
        <v>4.5</v>
      </c>
      <c r="G80" s="506">
        <v>6</v>
      </c>
      <c r="H80" s="506">
        <v>7.5</v>
      </c>
      <c r="I80" s="506">
        <v>9</v>
      </c>
      <c r="J80" s="506">
        <v>10.5</v>
      </c>
      <c r="K80" s="506">
        <v>12</v>
      </c>
      <c r="L80" s="506">
        <v>13.5</v>
      </c>
      <c r="M80" s="506">
        <v>15</v>
      </c>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2">IF($B$46="单位面积地价",C81+$K11,C81-$K11)</f>
        <v>101</v>
      </c>
      <c r="E81" s="501">
        <f t="shared" si="22"/>
        <v>102</v>
      </c>
      <c r="F81" s="501">
        <f t="shared" si="22"/>
        <v>103</v>
      </c>
      <c r="G81" s="501">
        <f t="shared" si="22"/>
        <v>104</v>
      </c>
      <c r="H81" s="501">
        <f t="shared" si="22"/>
        <v>105</v>
      </c>
      <c r="I81" s="501">
        <f t="shared" si="22"/>
        <v>106</v>
      </c>
      <c r="J81" s="501">
        <f t="shared" si="22"/>
        <v>107</v>
      </c>
      <c r="K81" s="501">
        <f t="shared" si="22"/>
        <v>108</v>
      </c>
      <c r="L81" s="501">
        <f t="shared" si="22"/>
        <v>109</v>
      </c>
      <c r="M81" s="501">
        <f t="shared" si="22"/>
        <v>110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2381</v>
      </c>
      <c r="B88" s="485" t="s">
        <v>2418</v>
      </c>
      <c r="C88" s="530" t="s">
        <v>2419</v>
      </c>
      <c r="D88" s="530" t="s">
        <v>2420</v>
      </c>
      <c r="E88" s="530" t="s">
        <v>2421</v>
      </c>
      <c r="F88" s="530" t="s">
        <v>2422</v>
      </c>
      <c r="G88" s="530" t="s">
        <v>2423</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2419</v>
      </c>
      <c r="D90" s="535" t="s">
        <v>2420</v>
      </c>
      <c r="E90" s="535" t="s">
        <v>2421</v>
      </c>
      <c r="F90" s="535" t="s">
        <v>2422</v>
      </c>
      <c r="G90" s="535" t="s">
        <v>2423</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97</v>
      </c>
      <c r="E91" s="501">
        <f>D91-$K17</f>
        <v>94</v>
      </c>
      <c r="F91" s="501">
        <f>E91-$K17</f>
        <v>91</v>
      </c>
      <c r="G91" s="501">
        <f>F91-$K17</f>
        <v>88</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2519</v>
      </c>
      <c r="C92" s="535" t="s">
        <v>2419</v>
      </c>
      <c r="D92" s="535" t="s">
        <v>2420</v>
      </c>
      <c r="E92" s="535" t="s">
        <v>2421</v>
      </c>
      <c r="F92" s="535" t="s">
        <v>2422</v>
      </c>
      <c r="G92" s="535" t="s">
        <v>2423</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2424</v>
      </c>
      <c r="C94" s="535" t="s">
        <v>2419</v>
      </c>
      <c r="D94" s="535" t="s">
        <v>2420</v>
      </c>
      <c r="E94" s="535" t="s">
        <v>2421</v>
      </c>
      <c r="F94" s="535" t="s">
        <v>2422</v>
      </c>
      <c r="G94" s="535" t="s">
        <v>2423</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97</v>
      </c>
      <c r="E95" s="501">
        <f>D95-$K21</f>
        <v>94</v>
      </c>
      <c r="F95" s="501">
        <f>E95-$K21</f>
        <v>91</v>
      </c>
      <c r="G95" s="501">
        <f>F95-$K21</f>
        <v>88</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2419</v>
      </c>
      <c r="D96" s="535" t="s">
        <v>2420</v>
      </c>
      <c r="E96" s="535" t="s">
        <v>2421</v>
      </c>
      <c r="F96" s="535" t="s">
        <v>2422</v>
      </c>
      <c r="G96" s="535" t="s">
        <v>2423</v>
      </c>
      <c r="H96" s="535"/>
      <c r="I96" s="535"/>
      <c r="J96" s="535"/>
      <c r="K96" s="535"/>
      <c r="L96" s="653"/>
      <c r="M96" s="577"/>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97</v>
      </c>
      <c r="E97" s="501">
        <f>D97-$K23</f>
        <v>94</v>
      </c>
      <c r="F97" s="501">
        <f>E97-$K23</f>
        <v>91</v>
      </c>
      <c r="G97" s="501">
        <f>F97-$K23</f>
        <v>88</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2419</v>
      </c>
      <c r="D98" s="530" t="s">
        <v>2420</v>
      </c>
      <c r="E98" s="530" t="s">
        <v>2421</v>
      </c>
      <c r="F98" s="530" t="s">
        <v>2422</v>
      </c>
      <c r="G98" s="530" t="s">
        <v>2423</v>
      </c>
      <c r="H98" s="535"/>
      <c r="I98" s="535"/>
      <c r="J98" s="535"/>
      <c r="K98" s="535"/>
      <c r="L98" s="535"/>
      <c r="M98" s="577"/>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97</v>
      </c>
      <c r="E99" s="501">
        <f>D99-$K25</f>
        <v>94</v>
      </c>
      <c r="F99" s="501">
        <f>E99-$K25</f>
        <v>91</v>
      </c>
      <c r="G99" s="501">
        <f>F99-$K25</f>
        <v>88</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2476</v>
      </c>
      <c r="C100" s="530" t="s">
        <v>2419</v>
      </c>
      <c r="D100" s="530" t="s">
        <v>2420</v>
      </c>
      <c r="E100" s="530" t="s">
        <v>2421</v>
      </c>
      <c r="F100" s="530" t="s">
        <v>2422</v>
      </c>
      <c r="G100" s="530" t="s">
        <v>2423</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97</v>
      </c>
      <c r="E101" s="501">
        <f>D101-$K27</f>
        <v>94</v>
      </c>
      <c r="F101" s="501">
        <f>E101-$K27</f>
        <v>91</v>
      </c>
      <c r="G101" s="501">
        <f>F101-$K27</f>
        <v>88</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2477</v>
      </c>
      <c r="C102" s="615" t="s">
        <v>2497</v>
      </c>
      <c r="D102" s="615" t="s">
        <v>2498</v>
      </c>
      <c r="E102" s="615" t="s">
        <v>2499</v>
      </c>
      <c r="F102" s="615" t="s">
        <v>2500</v>
      </c>
      <c r="G102" s="615" t="s">
        <v>2501</v>
      </c>
      <c r="H102" s="557"/>
      <c r="I102" s="557"/>
      <c r="J102" s="557"/>
      <c r="K102" s="557"/>
      <c r="L102" s="557"/>
      <c r="M102" s="1292"/>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98</v>
      </c>
      <c r="E103" s="501">
        <f>D103-$K29</f>
        <v>96</v>
      </c>
      <c r="F103" s="501">
        <f>E103-$K29</f>
        <v>94</v>
      </c>
      <c r="G103" s="501">
        <f>F103-$K29</f>
        <v>92</v>
      </c>
      <c r="H103" s="505"/>
      <c r="I103" s="505"/>
      <c r="J103" s="505"/>
      <c r="K103" s="505"/>
      <c r="L103" s="505"/>
      <c r="M103" s="1292"/>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3">D105-$K31</f>
        <v>100</v>
      </c>
      <c r="F105" s="501">
        <f t="shared" si="23"/>
        <v>100</v>
      </c>
      <c r="G105" s="501">
        <f t="shared" si="23"/>
        <v>100</v>
      </c>
      <c r="H105" s="501">
        <f t="shared" si="23"/>
        <v>100</v>
      </c>
      <c r="I105" s="501">
        <f t="shared" si="23"/>
        <v>100</v>
      </c>
      <c r="J105" s="501">
        <f t="shared" si="23"/>
        <v>100</v>
      </c>
      <c r="K105" s="501">
        <f t="shared" si="23"/>
        <v>100</v>
      </c>
      <c r="L105" s="501">
        <f t="shared" si="23"/>
        <v>100</v>
      </c>
      <c r="M105" s="501">
        <f t="shared" si="23"/>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2513</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4">D107-$K32</f>
        <v>100</v>
      </c>
      <c r="F107" s="501">
        <f t="shared" si="24"/>
        <v>100</v>
      </c>
      <c r="G107" s="501">
        <f t="shared" si="24"/>
        <v>100</v>
      </c>
      <c r="H107" s="501">
        <f t="shared" si="24"/>
        <v>100</v>
      </c>
      <c r="I107" s="501">
        <f t="shared" si="24"/>
        <v>100</v>
      </c>
      <c r="J107" s="501">
        <f t="shared" si="24"/>
        <v>100</v>
      </c>
      <c r="K107" s="501">
        <f t="shared" si="24"/>
        <v>100</v>
      </c>
      <c r="L107" s="501">
        <f t="shared" si="24"/>
        <v>100</v>
      </c>
      <c r="M107" s="501">
        <f t="shared" si="24"/>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2572</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5">D109-$K34</f>
        <v>100</v>
      </c>
      <c r="F109" s="501">
        <f t="shared" si="25"/>
        <v>100</v>
      </c>
      <c r="G109" s="501">
        <f t="shared" si="25"/>
        <v>100</v>
      </c>
      <c r="H109" s="501">
        <f t="shared" si="25"/>
        <v>100</v>
      </c>
      <c r="I109" s="501">
        <f t="shared" si="25"/>
        <v>100</v>
      </c>
      <c r="J109" s="501">
        <f t="shared" si="25"/>
        <v>100</v>
      </c>
      <c r="K109" s="501">
        <f t="shared" si="25"/>
        <v>100</v>
      </c>
      <c r="L109" s="501">
        <f t="shared" si="25"/>
        <v>100</v>
      </c>
      <c r="M109" s="501">
        <f t="shared" si="25"/>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0"/>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2"/>
      <c r="E115" s="632"/>
      <c r="F115" s="632"/>
      <c r="G115" s="632"/>
      <c r="H115" s="632"/>
      <c r="I115" s="632"/>
      <c r="J115" s="632"/>
      <c r="K115" s="632"/>
      <c r="L115" s="632"/>
      <c r="M115" s="654"/>
      <c r="N115" s="2983"/>
      <c r="O115" s="2983"/>
      <c r="P115" s="3008"/>
      <c r="Q115" s="2975"/>
      <c r="R115" s="2976"/>
      <c r="S115" s="2976"/>
      <c r="T115" s="2976"/>
      <c r="U115" s="2976"/>
      <c r="V115" s="2976"/>
      <c r="W115" s="2976"/>
      <c r="X115" s="2976"/>
      <c r="Y115" s="2976"/>
      <c r="Z115" s="2976"/>
      <c r="AA115" s="2976"/>
      <c r="AB115" s="2976"/>
      <c r="AC115" s="2976"/>
    </row>
    <row r="116" spans="1:29" ht="28.5">
      <c r="A116" s="484" t="s">
        <v>2385</v>
      </c>
      <c r="B116" s="485" t="s">
        <v>2612</v>
      </c>
      <c r="C116" s="486" t="str">
        <f>C117&amp;"(含)"&amp;"-"&amp;D117</f>
        <v>0(含)-50000</v>
      </c>
      <c r="D116" s="486" t="str">
        <f t="shared" ref="D116:M116" si="26">D117&amp;"(含)"&amp;"-"&amp;E117</f>
        <v>50000(含)-100000</v>
      </c>
      <c r="E116" s="486" t="str">
        <f t="shared" si="26"/>
        <v>100000(含)-150000</v>
      </c>
      <c r="F116" s="486" t="str">
        <f t="shared" si="26"/>
        <v>150000(含)-200000</v>
      </c>
      <c r="G116" s="486" t="str">
        <f t="shared" si="26"/>
        <v>200000(含)-250000</v>
      </c>
      <c r="H116" s="486" t="str">
        <f t="shared" si="26"/>
        <v>250000(含)-300000</v>
      </c>
      <c r="I116" s="486" t="str">
        <f t="shared" si="26"/>
        <v>300000(含)-350000</v>
      </c>
      <c r="J116" s="486" t="str">
        <f t="shared" si="26"/>
        <v>350000(含)-400000</v>
      </c>
      <c r="K116" s="486" t="str">
        <f t="shared" si="26"/>
        <v>400000(含)-450000</v>
      </c>
      <c r="L116" s="486" t="str">
        <f t="shared" si="26"/>
        <v>450000(含)-500000</v>
      </c>
      <c r="M116" s="486" t="str">
        <f t="shared" si="26"/>
        <v>500000(含)-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v>0</v>
      </c>
      <c r="D117" s="552">
        <v>50000</v>
      </c>
      <c r="E117" s="552">
        <v>100000</v>
      </c>
      <c r="F117" s="552">
        <v>150000</v>
      </c>
      <c r="G117" s="552">
        <v>200000</v>
      </c>
      <c r="H117" s="552">
        <v>250000</v>
      </c>
      <c r="I117" s="552">
        <v>300000</v>
      </c>
      <c r="J117" s="552">
        <v>350000</v>
      </c>
      <c r="K117" s="552">
        <v>400000</v>
      </c>
      <c r="L117" s="552">
        <v>450000</v>
      </c>
      <c r="M117" s="552">
        <v>500000</v>
      </c>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v>100</v>
      </c>
      <c r="D118" s="548">
        <v>101</v>
      </c>
      <c r="E118" s="548">
        <v>102</v>
      </c>
      <c r="F118" s="527">
        <v>103</v>
      </c>
      <c r="G118" s="548">
        <v>104</v>
      </c>
      <c r="H118" s="548">
        <v>105</v>
      </c>
      <c r="I118" s="527">
        <v>106</v>
      </c>
      <c r="J118" s="548">
        <v>107</v>
      </c>
      <c r="K118" s="548">
        <v>108</v>
      </c>
      <c r="L118" s="527">
        <v>109</v>
      </c>
      <c r="M118" s="548">
        <v>110</v>
      </c>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3054" t="s">
        <v>3143</v>
      </c>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7">C120-$K39</f>
        <v>99</v>
      </c>
      <c r="E120" s="501">
        <f t="shared" si="27"/>
        <v>98</v>
      </c>
      <c r="F120" s="501">
        <f t="shared" si="27"/>
        <v>97</v>
      </c>
      <c r="G120" s="501">
        <f t="shared" si="27"/>
        <v>96</v>
      </c>
      <c r="H120" s="501">
        <f t="shared" si="27"/>
        <v>95</v>
      </c>
      <c r="I120" s="501">
        <f t="shared" si="27"/>
        <v>94</v>
      </c>
      <c r="J120" s="501">
        <f t="shared" si="27"/>
        <v>93</v>
      </c>
      <c r="K120" s="501">
        <f t="shared" si="27"/>
        <v>92</v>
      </c>
      <c r="L120" s="501">
        <f t="shared" si="27"/>
        <v>91</v>
      </c>
      <c r="M120" s="502">
        <f t="shared" si="27"/>
        <v>90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3055" t="s">
        <v>3145</v>
      </c>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8">C122-$K40</f>
        <v>99</v>
      </c>
      <c r="E122" s="501">
        <f t="shared" si="28"/>
        <v>98</v>
      </c>
      <c r="F122" s="501">
        <f t="shared" si="28"/>
        <v>97</v>
      </c>
      <c r="G122" s="501">
        <f t="shared" si="28"/>
        <v>96</v>
      </c>
      <c r="H122" s="501">
        <f t="shared" si="28"/>
        <v>95</v>
      </c>
      <c r="I122" s="501">
        <f t="shared" si="28"/>
        <v>94</v>
      </c>
      <c r="J122" s="501">
        <f t="shared" si="28"/>
        <v>93</v>
      </c>
      <c r="K122" s="501">
        <f t="shared" si="28"/>
        <v>92</v>
      </c>
      <c r="L122" s="501">
        <f t="shared" si="28"/>
        <v>91</v>
      </c>
      <c r="M122" s="502">
        <f t="shared" si="28"/>
        <v>90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3055" t="s">
        <v>3147</v>
      </c>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99</v>
      </c>
      <c r="E124" s="501">
        <f t="shared" ref="E124:M124" si="29">D124-$K41</f>
        <v>98</v>
      </c>
      <c r="F124" s="501">
        <f t="shared" si="29"/>
        <v>97</v>
      </c>
      <c r="G124" s="501">
        <f t="shared" si="29"/>
        <v>96</v>
      </c>
      <c r="H124" s="501">
        <f t="shared" si="29"/>
        <v>95</v>
      </c>
      <c r="I124" s="501">
        <f t="shared" si="29"/>
        <v>94</v>
      </c>
      <c r="J124" s="501">
        <f t="shared" si="29"/>
        <v>93</v>
      </c>
      <c r="K124" s="501">
        <f t="shared" si="29"/>
        <v>92</v>
      </c>
      <c r="L124" s="501">
        <f t="shared" si="29"/>
        <v>91</v>
      </c>
      <c r="M124" s="502">
        <f t="shared" si="29"/>
        <v>90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3055" t="s">
        <v>3148</v>
      </c>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30">C126-$K42</f>
        <v>99</v>
      </c>
      <c r="E126" s="501">
        <f t="shared" si="30"/>
        <v>98</v>
      </c>
      <c r="F126" s="501">
        <f t="shared" si="30"/>
        <v>97</v>
      </c>
      <c r="G126" s="501">
        <f t="shared" si="30"/>
        <v>96</v>
      </c>
      <c r="H126" s="501">
        <f t="shared" si="30"/>
        <v>95</v>
      </c>
      <c r="I126" s="501">
        <f t="shared" si="30"/>
        <v>94</v>
      </c>
      <c r="J126" s="501">
        <f t="shared" si="30"/>
        <v>93</v>
      </c>
      <c r="K126" s="501">
        <f t="shared" si="30"/>
        <v>92</v>
      </c>
      <c r="L126" s="501">
        <f t="shared" si="30"/>
        <v>91</v>
      </c>
      <c r="M126" s="502">
        <f t="shared" si="30"/>
        <v>90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5"/>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F23" sqref="F23"/>
    </sheetView>
  </sheetViews>
  <sheetFormatPr defaultColWidth="12" defaultRowHeight="12.75"/>
  <cols>
    <col min="1" max="1" width="11.12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0" customWidth="1"/>
    <col min="33" max="36" width="9.375" style="2250" customWidth="1"/>
    <col min="37" max="38" width="9.375" style="2184" customWidth="1"/>
    <col min="39" max="16384" width="12" style="2184"/>
  </cols>
  <sheetData>
    <row r="1" spans="1:36" ht="28.5">
      <c r="A1" s="202" t="s">
        <v>2625</v>
      </c>
      <c r="B1" s="203"/>
      <c r="C1" s="207" t="s">
        <v>2626</v>
      </c>
      <c r="D1" s="348">
        <f>SUM(D29:D30,D33:D39)</f>
        <v>27960.83</v>
      </c>
      <c r="E1" s="2181"/>
      <c r="F1" s="2181"/>
      <c r="G1" s="2181"/>
      <c r="H1" s="2181"/>
      <c r="I1" s="2181"/>
      <c r="J1" s="2181"/>
      <c r="K1" s="1278"/>
      <c r="L1" s="2182" t="s">
        <v>2627</v>
      </c>
      <c r="M1" s="993">
        <f>SUMPRODUCT((区片价!B5:B9=I2)*(区片价!C3:F3=E2)*(区片价!C5:F9))</f>
        <v>0</v>
      </c>
      <c r="N1" s="996">
        <f>SUMPRODUCT((因素修正幅度!B5:B9=I2)*(因素修正幅度!C3:F3=E2)*(因素修正幅度!C5:F9))</f>
        <v>0</v>
      </c>
      <c r="O1" s="2183"/>
      <c r="P1" s="2183"/>
      <c r="Q1" s="1278"/>
      <c r="R1" s="1372" t="s">
        <v>2628</v>
      </c>
      <c r="S1" s="1372" t="s">
        <v>2629</v>
      </c>
      <c r="T1" s="1372" t="s">
        <v>2630</v>
      </c>
      <c r="U1" s="1372" t="s">
        <v>2631</v>
      </c>
      <c r="V1" s="1372" t="s">
        <v>2632</v>
      </c>
      <c r="W1" s="1376"/>
      <c r="X1" s="1376"/>
      <c r="Y1" s="1376"/>
      <c r="Z1" s="1376"/>
      <c r="AA1" s="1376"/>
      <c r="AB1" s="1376"/>
      <c r="AC1" s="1377"/>
      <c r="AD1" s="1378"/>
      <c r="AE1" s="1378"/>
      <c r="AF1" s="1378"/>
      <c r="AG1" s="1378"/>
      <c r="AH1" s="1378"/>
      <c r="AI1" s="1378"/>
      <c r="AJ1" s="1379"/>
    </row>
    <row r="2" spans="1:36" ht="15.75">
      <c r="A2" s="207" t="s">
        <v>2633</v>
      </c>
      <c r="B2" s="210" t="e">
        <f ca="1">C26</f>
        <v>#DIV/0!</v>
      </c>
      <c r="C2" s="2185" t="s">
        <v>2634</v>
      </c>
      <c r="D2" s="2186" t="s">
        <v>2635</v>
      </c>
      <c r="E2" s="2187" t="s">
        <v>6</v>
      </c>
      <c r="F2" s="2186" t="s">
        <v>2636</v>
      </c>
      <c r="G2" s="2188" t="str">
        <f>IF(E2="商业",项目基本情况!B37,IF(E2="办公",项目基本情况!C37,IF(E2="住宅",项目基本情况!D37,项目基本情况!E37)))</f>
        <v>十级</v>
      </c>
      <c r="H2" s="2186" t="s">
        <v>2637</v>
      </c>
      <c r="I2" s="2188" t="str">
        <f>IF(E2="商业",项目基本情况!B38,IF(E2="办公",项目基本情况!C38,IF(E2="住宅",项目基本情况!D38,项目基本情况!E38)))</f>
        <v>Ⅹ-平1</v>
      </c>
      <c r="J2" s="2189"/>
      <c r="K2" s="1278"/>
      <c r="L2" s="2190" t="s">
        <v>2638</v>
      </c>
      <c r="M2" s="994">
        <f>SUMPRODUCT((区片价!B10:B28=I2)*(区片价!C3:F3=E2)*(区片价!C10:F28))</f>
        <v>0</v>
      </c>
      <c r="N2" s="996">
        <f>SUMPRODUCT((因素修正幅度!B10:B28=I2)*(因素修正幅度!C3:F3=E2)*(因素修正幅度!C10:F28))</f>
        <v>0</v>
      </c>
      <c r="O2" s="1278"/>
      <c r="P2" s="1278"/>
      <c r="Q2" s="1278"/>
      <c r="R2" s="1372">
        <v>1</v>
      </c>
      <c r="S2" s="1372">
        <f>ROUND(IF(G3&gt;1,IF(R2&lt;7,SUMPRODUCT((B93:B98=R2)*(C92:N92=G2)*(C93:N98)),SUMIF(C92:N92,G2,C100:N100)),IF(R2&lt;7,SUMPRODUCT((B102:B107=R2)*(C92:N92=G2)*(C102:N107)),SUMIF(C92:N92,G2,C109:N109))),4)</f>
        <v>2.1819999999999999</v>
      </c>
      <c r="T2" s="1372" t="e">
        <f ca="1">ROUND($C$5*$C$18*$C$19*$C$20*S2*$C$24,0)</f>
        <v>#DIV/0!</v>
      </c>
      <c r="U2" s="1373"/>
      <c r="V2" s="1372" t="e">
        <f ca="1">ROUND(T2*U2/10000,0)</f>
        <v>#DIV/0!</v>
      </c>
      <c r="W2" s="1376"/>
      <c r="X2" s="1376"/>
      <c r="Y2" s="1376"/>
      <c r="Z2" s="1376"/>
      <c r="AA2" s="1376"/>
      <c r="AB2" s="1376"/>
      <c r="AC2" s="1377"/>
      <c r="AD2" s="1378"/>
      <c r="AE2" s="1378"/>
      <c r="AF2" s="1378"/>
      <c r="AG2" s="1378"/>
      <c r="AH2" s="1378"/>
      <c r="AI2" s="1378"/>
      <c r="AJ2" s="1379"/>
    </row>
    <row r="3" spans="1:36" ht="15.75">
      <c r="A3" s="209" t="s">
        <v>2639</v>
      </c>
      <c r="B3" s="210" t="e">
        <f ca="1">ROUND(B2*10000/D1,0)</f>
        <v>#DIV/0!</v>
      </c>
      <c r="C3" s="2185" t="s">
        <v>2640</v>
      </c>
      <c r="D3" s="2186" t="s">
        <v>2641</v>
      </c>
      <c r="E3" s="2191" t="s">
        <v>3059</v>
      </c>
      <c r="F3" s="2192" t="s">
        <v>2642</v>
      </c>
      <c r="G3" s="854">
        <f>IF(F3="宗地容积率",'数据-汇总表'!I4,IF(F3="估价对象容积率",'数据-汇总表'!I6,'数据-汇总表'!I7))</f>
        <v>0.89</v>
      </c>
      <c r="H3" s="175" t="s">
        <v>2643</v>
      </c>
      <c r="I3" s="880"/>
      <c r="J3" s="2189" t="s">
        <v>2644</v>
      </c>
      <c r="K3" s="1278"/>
      <c r="L3" s="2190" t="s">
        <v>2645</v>
      </c>
      <c r="M3" s="994">
        <f>SUMPRODUCT((区片价!B29:B48=I2)*(区片价!C3:F3=E2)*(区片价!C29:F48))</f>
        <v>0</v>
      </c>
      <c r="N3" s="996">
        <f>SUMPRODUCT((因素修正幅度!B29:B48=I2)*(因素修正幅度!C3:F3=E2)*(因素修正幅度!C29:F48))</f>
        <v>0</v>
      </c>
      <c r="O3" s="1278"/>
      <c r="P3" s="1278"/>
      <c r="Q3" s="1278"/>
      <c r="R3" s="1372">
        <v>2</v>
      </c>
      <c r="S3" s="1372">
        <f>ROUND(IF(G3&gt;1,IF(R3&lt;7,SUMPRODUCT((B93:B98=R3)*(C92:N92=G2)*(C93:N98)),SUMIF(C92:N92,G2,C100:N100)),IF(R3&lt;7,SUMPRODUCT((B102:B107=R3)*(C92:N92=G2)*(C102:N107)),SUMIF(C92:N92,G2,C109:N109))),4)</f>
        <v>1.4380999999999999</v>
      </c>
      <c r="T3" s="1372" t="e">
        <f t="shared" ref="T3:T16" ca="1" si="0">ROUND($C$5*$C$18*$C$19*$C$20*S3*$C$24,0)</f>
        <v>#DIV/0!</v>
      </c>
      <c r="U3" s="1373"/>
      <c r="V3" s="1372" t="e">
        <f t="shared" ref="V3:V16" ca="1" si="1">ROUND(T3*U3/10000,0)</f>
        <v>#DIV/0!</v>
      </c>
      <c r="W3" s="1376"/>
      <c r="X3" s="1376"/>
      <c r="Y3" s="1376"/>
      <c r="Z3" s="1376"/>
      <c r="AA3" s="1376"/>
      <c r="AB3" s="1376"/>
      <c r="AC3" s="1377"/>
      <c r="AD3" s="1378"/>
      <c r="AE3" s="1378"/>
      <c r="AF3" s="1378"/>
      <c r="AG3" s="1378"/>
      <c r="AH3" s="1378"/>
      <c r="AI3" s="1378"/>
      <c r="AJ3" s="1379"/>
    </row>
    <row r="4" spans="1:36" ht="15.75">
      <c r="A4" s="3321"/>
      <c r="B4" s="3322"/>
      <c r="C4" s="3322"/>
      <c r="D4" s="3323"/>
      <c r="E4" s="3323"/>
      <c r="F4" s="3323"/>
      <c r="G4" s="3323"/>
      <c r="H4" s="3323"/>
      <c r="I4" s="3323"/>
      <c r="J4" s="3324"/>
      <c r="K4" s="1278"/>
      <c r="L4" s="2190" t="s">
        <v>2646</v>
      </c>
      <c r="M4" s="994">
        <f>SUMPRODUCT((区片价!B49:B75=I2)*(区片价!C3:F3=E2)*(区片价!C49:F75))</f>
        <v>0</v>
      </c>
      <c r="N4" s="996">
        <f>SUMPRODUCT((因素修正幅度!B49:B75=I2)*(因素修正幅度!C3:F3=E2)*(因素修正幅度!C49:F75))</f>
        <v>0</v>
      </c>
      <c r="O4" s="1278"/>
      <c r="P4" s="1278"/>
      <c r="Q4" s="1278"/>
      <c r="R4" s="1372">
        <v>3</v>
      </c>
      <c r="S4" s="1372">
        <f>ROUND(IF(G3&gt;1,IF(R4&lt;7,SUMPRODUCT((B93:B98=R4)*(C92:N92=G2)*(C93:N98)),SUMIF(C92:N92,G2,C100:N100)),IF(R4&lt;7,SUMPRODUCT((B102:B107=R4)*(C92:N92=G2)*(C102:N107)),SUMIF(C92:N92,G2,C109:N109))),4)</f>
        <v>1.1316999999999999</v>
      </c>
      <c r="T4" s="1372" t="e">
        <f t="shared" ca="1" si="0"/>
        <v>#DIV/0!</v>
      </c>
      <c r="U4" s="1373"/>
      <c r="V4" s="1372" t="e">
        <f t="shared" ca="1" si="1"/>
        <v>#DIV/0!</v>
      </c>
      <c r="W4" s="1376"/>
      <c r="X4" s="1376"/>
      <c r="Y4" s="1376"/>
      <c r="Z4" s="1376"/>
      <c r="AA4" s="1376"/>
      <c r="AB4" s="1376"/>
      <c r="AC4" s="1377"/>
      <c r="AD4" s="1378"/>
      <c r="AE4" s="1378"/>
      <c r="AF4" s="1378"/>
      <c r="AG4" s="1378"/>
      <c r="AH4" s="1378"/>
      <c r="AI4" s="1378"/>
      <c r="AJ4" s="1379"/>
    </row>
    <row r="5" spans="1:36" s="2202" customFormat="1" ht="15.75" thickBot="1">
      <c r="A5" s="2193" t="s">
        <v>807</v>
      </c>
      <c r="B5" s="2194" t="s">
        <v>2647</v>
      </c>
      <c r="C5" s="855">
        <f>ROUND(IF(E2="商业",C6*C7+C16,(IF(E2="住宅",C6*C12+C16,C6+C16))),0)</f>
        <v>590</v>
      </c>
      <c r="D5" s="1523">
        <f>ROUND(C6+C16,0)</f>
        <v>590</v>
      </c>
      <c r="E5" s="1523"/>
      <c r="F5" s="2195"/>
      <c r="G5" s="2196"/>
      <c r="H5" s="2196"/>
      <c r="I5" s="2196"/>
      <c r="J5" s="2197"/>
      <c r="K5" s="2198"/>
      <c r="L5" s="2190" t="s">
        <v>2648</v>
      </c>
      <c r="M5" s="994">
        <f>SUMPRODUCT((区片价!B76:B109=I2)*(区片价!C3:F3=E2)*(区片价!C76:F109))</f>
        <v>0</v>
      </c>
      <c r="N5" s="996">
        <f>SUMPRODUCT((因素修正幅度!B76:B109=I2)*(因素修正幅度!C3:F3=E2)*(因素修正幅度!C76:F109))</f>
        <v>0</v>
      </c>
      <c r="O5" s="1278"/>
      <c r="P5" s="1278"/>
      <c r="Q5" s="1278"/>
      <c r="R5" s="1372">
        <v>4</v>
      </c>
      <c r="S5" s="1372">
        <f>ROUND(IF(G3&gt;1,IF(R5&lt;7,SUMPRODUCT((B93:B98=R5)*(C92:N92=G2)*(C93:N98)),SUMIF(C92:N92,G2,C100:N100)),IF(R5&lt;7,SUMPRODUCT((B102:B107=R5)*(C92:N92=G2)*(C102:N107)),SUMIF(C92:N92,G2,C109:N109))),4)</f>
        <v>0.84550000000000003</v>
      </c>
      <c r="T5" s="1372" t="e">
        <f t="shared" ca="1" si="0"/>
        <v>#DIV/0!</v>
      </c>
      <c r="U5" s="1373"/>
      <c r="V5" s="1372" t="e">
        <f t="shared" ca="1" si="1"/>
        <v>#DIV/0!</v>
      </c>
      <c r="W5" s="1376"/>
      <c r="X5" s="1376"/>
      <c r="Y5" s="1376"/>
      <c r="Z5" s="1376"/>
      <c r="AA5" s="1376"/>
      <c r="AB5" s="1376"/>
      <c r="AC5" s="2199"/>
      <c r="AD5" s="2200"/>
      <c r="AE5" s="2200"/>
      <c r="AF5" s="2200"/>
      <c r="AG5" s="2200"/>
      <c r="AH5" s="2200"/>
      <c r="AI5" s="2200"/>
      <c r="AJ5" s="2201"/>
    </row>
    <row r="6" spans="1:36" ht="15.75" thickBot="1">
      <c r="A6" s="2203" t="s">
        <v>2649</v>
      </c>
      <c r="B6" s="2204" t="s">
        <v>2650</v>
      </c>
      <c r="C6" s="856">
        <f>SUMIF(L1:L12,G2,M1:M12)</f>
        <v>560</v>
      </c>
      <c r="D6" s="2205" t="s">
        <v>2651</v>
      </c>
      <c r="E6" s="2206"/>
      <c r="F6" s="2206"/>
      <c r="G6" s="2207"/>
      <c r="H6" s="2207"/>
      <c r="I6" s="2207"/>
      <c r="J6" s="2208"/>
      <c r="K6" s="1568"/>
      <c r="L6" s="2190" t="s">
        <v>2652</v>
      </c>
      <c r="M6" s="994">
        <f>SUMPRODUCT((区片价!B110:B157=I2)*(区片价!C3:F3=E2)*(区片价!C110:F157))</f>
        <v>0</v>
      </c>
      <c r="N6" s="996">
        <f>SUMPRODUCT((因素修正幅度!B110:B157=I2)*(因素修正幅度!C3:F3=E2)*(因素修正幅度!C110:F157))</f>
        <v>0</v>
      </c>
      <c r="O6" s="1278"/>
      <c r="P6" s="1278"/>
      <c r="Q6" s="1278"/>
      <c r="R6" s="1372">
        <v>5</v>
      </c>
      <c r="S6" s="1372">
        <f>ROUND(IF(G3&gt;1,IF(R6&lt;7,SUMPRODUCT((B93:B98=R6)*(C92:N92=G2)*(C93:N98)),SUMIF(C92:N92,G2,C100:N100)),IF(R6&lt;7,SUMPRODUCT((B102:B107=R6)*(C92:N92=G2)*(C102:N107)),SUMIF(C92:N92,G2,C109:N109))),4)</f>
        <v>0.63580000000000003</v>
      </c>
      <c r="T6" s="1372" t="e">
        <f t="shared" ca="1" si="0"/>
        <v>#DIV/0!</v>
      </c>
      <c r="U6" s="1373"/>
      <c r="V6" s="1372" t="e">
        <f t="shared" ca="1" si="1"/>
        <v>#DIV/0!</v>
      </c>
      <c r="W6" s="1376"/>
      <c r="X6" s="1376"/>
      <c r="Y6" s="1376"/>
      <c r="Z6" s="1376"/>
      <c r="AA6" s="1376"/>
      <c r="AB6" s="1376"/>
      <c r="AC6" s="2199"/>
      <c r="AD6" s="2200"/>
      <c r="AE6" s="2200"/>
      <c r="AF6" s="2200"/>
      <c r="AG6" s="2200"/>
      <c r="AH6" s="2200"/>
      <c r="AI6" s="2200"/>
      <c r="AJ6" s="2201"/>
    </row>
    <row r="7" spans="1:36" ht="24">
      <c r="A7" s="3302" t="str">
        <f>IF(E2="商业",IF(C8="不临58条商业街","",2),"")</f>
        <v/>
      </c>
      <c r="B7" s="2209" t="s">
        <v>2653</v>
      </c>
      <c r="C7" s="857">
        <f>IF(C8="不临58条商业街",1,ROUND(1+(1.6*E8+1.2*E9+0.8*E10+0.4*E11)*C9,4))</f>
        <v>1</v>
      </c>
      <c r="D7" s="2210" t="s">
        <v>2654</v>
      </c>
      <c r="E7" s="881"/>
      <c r="F7" s="2211"/>
      <c r="G7" s="2212"/>
      <c r="H7" s="2212"/>
      <c r="I7" s="2212"/>
      <c r="J7" s="2213"/>
      <c r="K7" s="1568"/>
      <c r="L7" s="2190" t="s">
        <v>2655</v>
      </c>
      <c r="M7" s="994">
        <f>SUMPRODUCT((区片价!B158:B205=I2)*(区片价!C3:F3=E2)*(区片价!C158:F205))</f>
        <v>0</v>
      </c>
      <c r="N7" s="996">
        <f>SUMPRODUCT((因素修正幅度!B158:B205=I2)*(因素修正幅度!C3:F3=E2)*(因素修正幅度!C158:F205))</f>
        <v>0</v>
      </c>
      <c r="O7" s="1278"/>
      <c r="P7" s="1278"/>
      <c r="Q7" s="1278"/>
      <c r="R7" s="1372">
        <v>6</v>
      </c>
      <c r="S7" s="1372">
        <f>ROUND(IF(G3&gt;1,IF(R7&lt;7,SUMPRODUCT((B93:B98=R7)*(C92:N92=G2)*(C93:N98)),SUMIF(C92:N92,G2,C100:N100)),IF(R7&lt;7,SUMPRODUCT((B102:B107=R7)*(C92:N92=G2)*(C102:N107)),SUMIF(C92:N92,G2,C109:N109))),4)</f>
        <v>0.50839999999999996</v>
      </c>
      <c r="T7" s="1372" t="e">
        <f t="shared" ca="1" si="0"/>
        <v>#DIV/0!</v>
      </c>
      <c r="U7" s="1373"/>
      <c r="V7" s="1372" t="e">
        <f t="shared" ca="1" si="1"/>
        <v>#DIV/0!</v>
      </c>
      <c r="W7" s="1542" t="s">
        <v>2656</v>
      </c>
      <c r="X7" s="1374" t="str">
        <f>G2</f>
        <v>十级</v>
      </c>
      <c r="Y7" s="1374" t="s">
        <v>2657</v>
      </c>
      <c r="Z7" s="1375">
        <f>G3</f>
        <v>0.89</v>
      </c>
      <c r="AA7" s="1376"/>
      <c r="AB7" s="1376"/>
      <c r="AC7" s="1377"/>
      <c r="AD7" s="1378"/>
      <c r="AE7" s="1378"/>
      <c r="AF7" s="1378"/>
      <c r="AG7" s="1378"/>
      <c r="AH7" s="1378"/>
      <c r="AI7" s="1378"/>
      <c r="AJ7" s="1379"/>
    </row>
    <row r="8" spans="1:36" ht="25.5">
      <c r="A8" s="3325"/>
      <c r="B8" s="175" t="s">
        <v>2658</v>
      </c>
      <c r="C8" s="2214" t="s">
        <v>3060</v>
      </c>
      <c r="D8" s="858" t="s">
        <v>139</v>
      </c>
      <c r="E8" s="859" t="e">
        <f>ROUND(C11/E7,4)</f>
        <v>#DIV/0!</v>
      </c>
      <c r="F8" s="2215" t="s">
        <v>2659</v>
      </c>
      <c r="G8" s="2216"/>
      <c r="H8" s="2216"/>
      <c r="I8" s="2216"/>
      <c r="J8" s="2217"/>
      <c r="K8" s="1278"/>
      <c r="L8" s="2190" t="s">
        <v>2660</v>
      </c>
      <c r="M8" s="994">
        <f>SUMPRODUCT((区片价!B206:B244=I2)*(区片价!C3:F3=E2)*(区片价!C206:F244))</f>
        <v>0</v>
      </c>
      <c r="N8" s="996">
        <f>SUMPRODUCT((因素修正幅度!B206:B244=I2)*(因素修正幅度!C3:F3=E2)*(因素修正幅度!C206:F244))</f>
        <v>0</v>
      </c>
      <c r="O8" s="1278"/>
      <c r="P8" s="1278"/>
      <c r="Q8" s="1278"/>
      <c r="R8" s="1372">
        <v>7</v>
      </c>
      <c r="S8" s="1373"/>
      <c r="T8" s="1372" t="e">
        <f t="shared" ca="1" si="0"/>
        <v>#DIV/0!</v>
      </c>
      <c r="U8" s="1373"/>
      <c r="V8" s="1372" t="e">
        <f t="shared" ca="1" si="1"/>
        <v>#DIV/0!</v>
      </c>
      <c r="W8" s="3318" t="s">
        <v>2661</v>
      </c>
      <c r="X8" s="3319"/>
      <c r="Y8" s="1380" t="s">
        <v>2662</v>
      </c>
      <c r="Z8" s="1380" t="s">
        <v>2663</v>
      </c>
      <c r="AA8" s="1380" t="s">
        <v>2664</v>
      </c>
      <c r="AB8" s="1380" t="s">
        <v>2665</v>
      </c>
      <c r="AC8" s="1380" t="s">
        <v>2666</v>
      </c>
      <c r="AD8" s="1380" t="s">
        <v>2667</v>
      </c>
      <c r="AE8" s="1380" t="s">
        <v>2668</v>
      </c>
      <c r="AF8" s="1380" t="s">
        <v>2669</v>
      </c>
      <c r="AG8" s="1380" t="s">
        <v>2670</v>
      </c>
      <c r="AH8" s="1380" t="s">
        <v>2671</v>
      </c>
      <c r="AI8" s="1380" t="s">
        <v>2672</v>
      </c>
      <c r="AJ8" s="1380" t="s">
        <v>2673</v>
      </c>
    </row>
    <row r="9" spans="1:36" ht="15">
      <c r="A9" s="3325"/>
      <c r="B9" s="175" t="s">
        <v>2674</v>
      </c>
      <c r="C9" s="860">
        <f>SUMIF(修正!C59:C119,C8,修正!E59:E119)</f>
        <v>0</v>
      </c>
      <c r="D9" s="176" t="s">
        <v>140</v>
      </c>
      <c r="E9" s="176" t="e">
        <f>ROUND(C11/E7,4)</f>
        <v>#DIV/0!</v>
      </c>
      <c r="F9" s="2215" t="s">
        <v>2675</v>
      </c>
      <c r="G9" s="2216"/>
      <c r="H9" s="2216"/>
      <c r="I9" s="2216"/>
      <c r="J9" s="2217"/>
      <c r="K9" s="1278"/>
      <c r="L9" s="2190" t="s">
        <v>2676</v>
      </c>
      <c r="M9" s="994">
        <f>SUMPRODUCT((区片价!B245:B289=I2)*(区片价!C3:F3=E2)*(区片价!C245:F289))</f>
        <v>0</v>
      </c>
      <c r="N9" s="996">
        <f>SUMPRODUCT((因素修正幅度!B245:B289=I2)*(因素修正幅度!C3:F3=E2)*(因素修正幅度!C245:F289))</f>
        <v>0</v>
      </c>
      <c r="O9" s="1278"/>
      <c r="P9" s="1278"/>
      <c r="Q9" s="1278"/>
      <c r="R9" s="1372">
        <v>8</v>
      </c>
      <c r="S9" s="1373"/>
      <c r="T9" s="1372" t="e">
        <f t="shared" ca="1" si="0"/>
        <v>#DIV/0!</v>
      </c>
      <c r="U9" s="1373"/>
      <c r="V9" s="1372" t="e">
        <f t="shared" ca="1" si="1"/>
        <v>#DIV/0!</v>
      </c>
      <c r="W9" s="3320" t="s">
        <v>2677</v>
      </c>
      <c r="X9" s="1381" t="s">
        <v>2678</v>
      </c>
      <c r="Y9" s="1508"/>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325"/>
      <c r="B10" s="175" t="s">
        <v>2679</v>
      </c>
      <c r="C10" s="176">
        <f>SUMIF(修正!C59:C119,C8,修正!F59:F119)</f>
        <v>0</v>
      </c>
      <c r="D10" s="176" t="s">
        <v>141</v>
      </c>
      <c r="E10" s="176" t="e">
        <f>ROUND(C11/E7,4)</f>
        <v>#DIV/0!</v>
      </c>
      <c r="F10" s="2215" t="s">
        <v>2680</v>
      </c>
      <c r="G10" s="2216"/>
      <c r="H10" s="2216"/>
      <c r="I10" s="2216"/>
      <c r="J10" s="2217"/>
      <c r="K10" s="1278"/>
      <c r="L10" s="2190" t="s">
        <v>2681</v>
      </c>
      <c r="M10" s="994">
        <f>SUMPRODUCT((区片价!B290:B316=I2)*(区片价!C3:F3=E2)*(区片价!C290:F316))</f>
        <v>560</v>
      </c>
      <c r="N10" s="996">
        <f>SUMPRODUCT((因素修正幅度!B290:B316=I2)*(因素修正幅度!C3:F3=E2)*(因素修正幅度!C290:F316))</f>
        <v>0.14000000000000001</v>
      </c>
      <c r="O10" s="1278"/>
      <c r="P10" s="1278"/>
      <c r="Q10" s="1278"/>
      <c r="R10" s="1372">
        <v>9</v>
      </c>
      <c r="S10" s="1373"/>
      <c r="T10" s="1372" t="e">
        <f t="shared" ca="1" si="0"/>
        <v>#DIV/0!</v>
      </c>
      <c r="U10" s="1373"/>
      <c r="V10" s="1372" t="e">
        <f t="shared" ca="1" si="1"/>
        <v>#DIV/0!</v>
      </c>
      <c r="W10" s="3320"/>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325"/>
      <c r="B11" s="2218" t="s">
        <v>2682</v>
      </c>
      <c r="C11" s="861">
        <f>C10/4</f>
        <v>0</v>
      </c>
      <c r="D11" s="861" t="s">
        <v>142</v>
      </c>
      <c r="E11" s="861" t="e">
        <f>ROUND(C11/E7,4)</f>
        <v>#DIV/0!</v>
      </c>
      <c r="F11" s="2219" t="s">
        <v>2683</v>
      </c>
      <c r="G11" s="2220"/>
      <c r="H11" s="2220"/>
      <c r="I11" s="2220"/>
      <c r="J11" s="2221"/>
      <c r="K11" s="1278"/>
      <c r="L11" s="2190" t="s">
        <v>2684</v>
      </c>
      <c r="M11" s="994">
        <f>SUMPRODUCT((区片价!B317:B337=I2)*(区片价!C3:F3=E2)*(区片价!C317:F337))</f>
        <v>0</v>
      </c>
      <c r="N11" s="996">
        <f>SUMPRODUCT((因素修正幅度!B317:B337=I2)*(因素修正幅度!C3:F3=E2)*(因素修正幅度!C317:F337))</f>
        <v>0</v>
      </c>
      <c r="O11" s="1278"/>
      <c r="P11" s="1278"/>
      <c r="Q11" s="1278"/>
      <c r="R11" s="1372">
        <v>10</v>
      </c>
      <c r="S11" s="1373"/>
      <c r="T11" s="1372" t="e">
        <f t="shared" ca="1" si="0"/>
        <v>#DIV/0!</v>
      </c>
      <c r="U11" s="1373"/>
      <c r="V11" s="1372" t="e">
        <f t="shared" ca="1" si="1"/>
        <v>#DIV/0!</v>
      </c>
      <c r="W11" s="3320" t="s">
        <v>2685</v>
      </c>
      <c r="X11" s="1384" t="s">
        <v>2686</v>
      </c>
      <c r="Y11" s="1385">
        <f>$G$3</f>
        <v>0.89</v>
      </c>
      <c r="Z11" s="1385">
        <f t="shared" ref="Z11:AJ11" si="3">$G$3</f>
        <v>0.89</v>
      </c>
      <c r="AA11" s="1385">
        <f t="shared" si="3"/>
        <v>0.89</v>
      </c>
      <c r="AB11" s="1385">
        <f t="shared" si="3"/>
        <v>0.89</v>
      </c>
      <c r="AC11" s="1385">
        <f t="shared" si="3"/>
        <v>0.89</v>
      </c>
      <c r="AD11" s="1385">
        <f t="shared" si="3"/>
        <v>0.89</v>
      </c>
      <c r="AE11" s="1385">
        <f t="shared" si="3"/>
        <v>0.89</v>
      </c>
      <c r="AF11" s="1385">
        <f t="shared" si="3"/>
        <v>0.89</v>
      </c>
      <c r="AG11" s="1385">
        <f t="shared" si="3"/>
        <v>0.89</v>
      </c>
      <c r="AH11" s="1385">
        <f t="shared" si="3"/>
        <v>0.89</v>
      </c>
      <c r="AI11" s="1385">
        <f t="shared" si="3"/>
        <v>0.89</v>
      </c>
      <c r="AJ11" s="1385">
        <f t="shared" si="3"/>
        <v>0.89</v>
      </c>
    </row>
    <row r="12" spans="1:36" ht="25.5" thickBot="1">
      <c r="A12" s="3302" t="s">
        <v>2687</v>
      </c>
      <c r="B12" s="2222" t="s">
        <v>2688</v>
      </c>
      <c r="C12" s="857">
        <f>ROUND(C15*D15*E15*F15*G15*H15*I15*J15,4)</f>
        <v>1</v>
      </c>
      <c r="D12" s="2223" t="s">
        <v>2689</v>
      </c>
      <c r="E12" s="2224"/>
      <c r="F12" s="2224"/>
      <c r="G12" s="2225"/>
      <c r="H12" s="2225"/>
      <c r="I12" s="2225"/>
      <c r="J12" s="2226"/>
      <c r="K12" s="1278"/>
      <c r="L12" s="2227" t="s">
        <v>2690</v>
      </c>
      <c r="M12" s="995">
        <f>SUMPRODUCT((区片价!B338:B344=I2)*(区片价!C3:F3=E2)*(区片价!C338:F344))</f>
        <v>0</v>
      </c>
      <c r="N12" s="996">
        <f>SUMPRODUCT((因素修正幅度!B338:B344=I2)*(因素修正幅度!C3:F3=E2)*(因素修正幅度!C338:F344))</f>
        <v>0</v>
      </c>
      <c r="O12" s="1278"/>
      <c r="P12" s="1278"/>
      <c r="Q12" s="1278"/>
      <c r="R12" s="1372">
        <v>11</v>
      </c>
      <c r="S12" s="1373"/>
      <c r="T12" s="1372" t="e">
        <f t="shared" ca="1" si="0"/>
        <v>#DIV/0!</v>
      </c>
      <c r="U12" s="1373"/>
      <c r="V12" s="1372" t="e">
        <f t="shared" ca="1" si="1"/>
        <v>#DIV/0!</v>
      </c>
      <c r="W12" s="3320"/>
      <c r="X12" s="1386" t="s">
        <v>2691</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326"/>
      <c r="B13" s="2228" t="s">
        <v>2692</v>
      </c>
      <c r="C13" s="2229" t="s">
        <v>2693</v>
      </c>
      <c r="D13" s="1534" t="s">
        <v>2694</v>
      </c>
      <c r="E13" s="1534" t="s">
        <v>2695</v>
      </c>
      <c r="F13" s="30" t="s">
        <v>2696</v>
      </c>
      <c r="G13" s="2230" t="s">
        <v>2697</v>
      </c>
      <c r="H13" s="2230" t="s">
        <v>2697</v>
      </c>
      <c r="I13" s="2230" t="s">
        <v>2697</v>
      </c>
      <c r="J13" s="2231" t="s">
        <v>2697</v>
      </c>
      <c r="K13" s="1278"/>
      <c r="L13" s="1278"/>
      <c r="M13" s="1278"/>
      <c r="N13" s="1278"/>
      <c r="O13" s="1278"/>
      <c r="P13" s="1278"/>
      <c r="Q13" s="1278"/>
      <c r="R13" s="1372">
        <v>12</v>
      </c>
      <c r="S13" s="1373"/>
      <c r="T13" s="1372" t="e">
        <f t="shared" ca="1" si="0"/>
        <v>#DIV/0!</v>
      </c>
      <c r="U13" s="1373"/>
      <c r="V13" s="1372" t="e">
        <f t="shared" ca="1" si="1"/>
        <v>#DIV/0!</v>
      </c>
      <c r="W13" s="3320"/>
      <c r="X13" s="1386"/>
      <c r="Y13" s="1383">
        <f>(-0.163*(Y12^2)-0.59*Y12+7617)*(10^(-4))/Y11</f>
        <v>0.85584269662921353</v>
      </c>
      <c r="Z13" s="1383">
        <f t="shared" ref="Z13:AJ13" si="5">(-0.163*(Z12^2)-0.59*Z12+7617)*(10^(-4))/Z11</f>
        <v>0.85584269662921353</v>
      </c>
      <c r="AA13" s="1383">
        <f t="shared" si="5"/>
        <v>0.85584269662921353</v>
      </c>
      <c r="AB13" s="1383">
        <f t="shared" si="5"/>
        <v>0.85584269662921353</v>
      </c>
      <c r="AC13" s="1383">
        <f t="shared" si="5"/>
        <v>0.85584269662921353</v>
      </c>
      <c r="AD13" s="1383">
        <f t="shared" si="5"/>
        <v>0.85584269662921353</v>
      </c>
      <c r="AE13" s="1383">
        <f t="shared" si="5"/>
        <v>0.85584269662921353</v>
      </c>
      <c r="AF13" s="1383">
        <f t="shared" si="5"/>
        <v>0.85584269662921353</v>
      </c>
      <c r="AG13" s="1383">
        <f t="shared" si="5"/>
        <v>0.85584269662921353</v>
      </c>
      <c r="AH13" s="1383">
        <f t="shared" si="5"/>
        <v>0.85584269662921353</v>
      </c>
      <c r="AI13" s="1383">
        <f t="shared" si="5"/>
        <v>0.85584269662921353</v>
      </c>
      <c r="AJ13" s="1383">
        <f t="shared" si="5"/>
        <v>0.85584269662921353</v>
      </c>
    </row>
    <row r="14" spans="1:36" ht="15">
      <c r="A14" s="3326"/>
      <c r="B14" s="2232"/>
      <c r="C14" s="2233" t="s">
        <v>3068</v>
      </c>
      <c r="D14" s="2234" t="s">
        <v>3068</v>
      </c>
      <c r="E14" s="2234" t="s">
        <v>3068</v>
      </c>
      <c r="F14" s="2235" t="s">
        <v>3069</v>
      </c>
      <c r="G14" s="2236" t="s">
        <v>2698</v>
      </c>
      <c r="H14" s="2237"/>
      <c r="I14" s="2238"/>
      <c r="J14" s="2239"/>
      <c r="K14" s="1278"/>
      <c r="L14" s="1278"/>
      <c r="M14" s="1278"/>
      <c r="N14" s="1278"/>
      <c r="O14" s="1278"/>
      <c r="P14" s="1278"/>
      <c r="Q14" s="1278"/>
      <c r="R14" s="1372">
        <v>13</v>
      </c>
      <c r="S14" s="1373"/>
      <c r="T14" s="1372" t="e">
        <f t="shared" ca="1" si="0"/>
        <v>#DIV/0!</v>
      </c>
      <c r="U14" s="1373"/>
      <c r="V14" s="1372" t="e">
        <f t="shared" ca="1" si="1"/>
        <v>#DIV/0!</v>
      </c>
      <c r="W14" s="1376"/>
      <c r="X14" s="1376"/>
      <c r="Y14" s="1376"/>
      <c r="Z14" s="1376"/>
      <c r="AA14" s="1376"/>
      <c r="AB14" s="1376"/>
      <c r="AC14" s="1377"/>
      <c r="AD14" s="3020"/>
      <c r="AE14" s="3020"/>
      <c r="AF14" s="3020"/>
      <c r="AG14" s="3020"/>
      <c r="AH14" s="3020"/>
      <c r="AI14" s="3020"/>
      <c r="AJ14" s="3021"/>
    </row>
    <row r="15" spans="1:36" ht="15.75" thickBot="1">
      <c r="A15" s="3327"/>
      <c r="B15" s="2240" t="s">
        <v>2699</v>
      </c>
      <c r="C15" s="193">
        <f>IF(C14="有",1.1,1)</f>
        <v>1</v>
      </c>
      <c r="D15" s="193">
        <f>IF(D14="有",1.1,1)</f>
        <v>1</v>
      </c>
      <c r="E15" s="193">
        <f>IF(E14="有",1.1,1)</f>
        <v>1</v>
      </c>
      <c r="F15" s="193">
        <f>IF(F14="500米范围内",1.2,IF(F14="500-1000米",1.1,1))</f>
        <v>1</v>
      </c>
      <c r="G15" s="882">
        <v>1</v>
      </c>
      <c r="H15" s="882">
        <v>1</v>
      </c>
      <c r="I15" s="882">
        <v>1</v>
      </c>
      <c r="J15" s="883">
        <v>1</v>
      </c>
      <c r="K15" s="1278"/>
      <c r="L15" s="2183"/>
      <c r="M15" s="2183"/>
      <c r="N15" s="2183"/>
      <c r="O15" s="2183"/>
      <c r="P15" s="2183"/>
      <c r="Q15" s="1278"/>
      <c r="R15" s="1372">
        <v>14</v>
      </c>
      <c r="S15" s="1373"/>
      <c r="T15" s="1372" t="e">
        <f t="shared" ca="1" si="0"/>
        <v>#DIV/0!</v>
      </c>
      <c r="U15" s="1373"/>
      <c r="V15" s="1372" t="e">
        <f t="shared" ca="1" si="1"/>
        <v>#DIV/0!</v>
      </c>
      <c r="W15" s="1376"/>
      <c r="X15" s="1376"/>
      <c r="Y15" s="1376"/>
      <c r="Z15" s="1376"/>
      <c r="AA15" s="1376"/>
      <c r="AB15" s="1376"/>
      <c r="AC15" s="1377"/>
      <c r="AD15" s="3020"/>
      <c r="AE15" s="3020"/>
      <c r="AF15" s="3020"/>
      <c r="AG15" s="3020"/>
      <c r="AH15" s="3020"/>
      <c r="AI15" s="3020"/>
      <c r="AJ15" s="3021"/>
    </row>
    <row r="16" spans="1:36" ht="24.6" customHeight="1">
      <c r="A16" s="3302" t="s">
        <v>2704</v>
      </c>
      <c r="B16" s="2209" t="s">
        <v>2705</v>
      </c>
      <c r="C16" s="2371">
        <f>ROUND(IF(F17="与级别开发程度一致",0,(G17-E17)/C17),0)</f>
        <v>30</v>
      </c>
      <c r="D16" s="3315" t="s">
        <v>2709</v>
      </c>
      <c r="E16" s="3316"/>
      <c r="F16" s="3315" t="s">
        <v>2706</v>
      </c>
      <c r="G16" s="3316"/>
      <c r="H16" s="2241" t="s">
        <v>3061</v>
      </c>
      <c r="I16" s="2241" t="s">
        <v>3062</v>
      </c>
      <c r="J16" s="2375" t="s">
        <v>3063</v>
      </c>
      <c r="K16" s="2241" t="s">
        <v>3064</v>
      </c>
      <c r="L16" s="2241" t="s">
        <v>3065</v>
      </c>
      <c r="M16" s="2241" t="s">
        <v>3067</v>
      </c>
      <c r="N16" s="2241" t="s">
        <v>3066</v>
      </c>
      <c r="O16" s="2242"/>
      <c r="P16" s="2183"/>
      <c r="Q16" s="1278"/>
      <c r="R16" s="1372">
        <v>15</v>
      </c>
      <c r="S16" s="1373"/>
      <c r="T16" s="1372" t="e">
        <f t="shared" ca="1" si="0"/>
        <v>#DIV/0!</v>
      </c>
      <c r="U16" s="1373"/>
      <c r="V16" s="1372" t="e">
        <f t="shared" ca="1" si="1"/>
        <v>#DIV/0!</v>
      </c>
      <c r="W16" s="1376"/>
      <c r="X16" s="1376"/>
      <c r="Y16" s="1376"/>
      <c r="Z16" s="1376"/>
      <c r="AA16" s="1376"/>
      <c r="AB16" s="1376"/>
      <c r="AC16" s="1377"/>
      <c r="AD16" s="3020"/>
      <c r="AE16" s="3020"/>
      <c r="AF16" s="3020"/>
      <c r="AG16" s="3020"/>
      <c r="AH16" s="3020"/>
      <c r="AI16" s="3020"/>
      <c r="AJ16" s="3021"/>
    </row>
    <row r="17" spans="1:37" ht="26.25" thickBot="1">
      <c r="A17" s="3303"/>
      <c r="B17" s="2382" t="s">
        <v>2708</v>
      </c>
      <c r="C17" s="2383">
        <f>SUMPRODUCT((修正!A2:A5=E2)*(修正!B1:M1=G2)*(修正!B2:M5))</f>
        <v>1</v>
      </c>
      <c r="D17" s="193" t="str">
        <f>IF(OR(G2="八级",G2="九级",G2="十级",G2="十一级",G2="十二级"),"五通一平","七通一平")</f>
        <v>五通一平</v>
      </c>
      <c r="E17" s="2372">
        <f>SUMPRODUCT((修正!B1:M1=G2)*(修正!B15:M15))</f>
        <v>155</v>
      </c>
      <c r="F17" s="2373" t="s">
        <v>3085</v>
      </c>
      <c r="G17" s="2374">
        <f>SUM(H17:O17)</f>
        <v>185</v>
      </c>
      <c r="H17" s="2383">
        <f>SUMPRODUCT((七通一平=H16)*(修正!B1:M1=G2)*(修正!B6:M14))</f>
        <v>50</v>
      </c>
      <c r="I17" s="2383">
        <f>SUMPRODUCT((七通一平=I16)*(修正!B1:M1=G2)*(修正!B6:M14))</f>
        <v>40</v>
      </c>
      <c r="J17" s="2384">
        <f>SUMPRODUCT((七通一平=J16)*(修正!B1:M1=G2)*(修正!B6:M14))</f>
        <v>10</v>
      </c>
      <c r="K17" s="2383">
        <f>SUMPRODUCT((七通一平=K16)*(修正!B1:M1=G2)*(修正!B6:M14))</f>
        <v>20</v>
      </c>
      <c r="L17" s="2383">
        <f>SUMPRODUCT((七通一平=L16)*(修正!B1:M1=G2)*(修正!B6:M14))</f>
        <v>25</v>
      </c>
      <c r="M17" s="2383">
        <f>SUMPRODUCT((七通一平=M16)*(修正!B1:M1=G2)*(修正!B6:M14))</f>
        <v>30</v>
      </c>
      <c r="N17" s="2383">
        <f>SUMPRODUCT((七通一平=N16)*(修正!B1:M1=G2)*(修正!B6:M14))</f>
        <v>10</v>
      </c>
      <c r="O17" s="2385">
        <f>SUMPRODUCT((七通一平=O16)*(修正!B1:M1=G2)*(修正!B6:M14))</f>
        <v>0</v>
      </c>
      <c r="P17" s="2183"/>
      <c r="Q17" s="1278"/>
      <c r="R17" s="1278"/>
      <c r="S17" s="1278"/>
      <c r="T17" s="1278"/>
      <c r="U17" s="1278"/>
      <c r="V17" s="1278"/>
      <c r="W17" s="1278"/>
      <c r="X17" s="1278"/>
      <c r="Y17" s="1278"/>
      <c r="Z17" s="1279"/>
      <c r="AA17" s="1279"/>
      <c r="AB17" s="1279"/>
      <c r="AC17" s="1279"/>
      <c r="AD17" s="1279"/>
      <c r="AE17" s="1278"/>
      <c r="AF17" s="1278"/>
      <c r="AG17" s="2183"/>
      <c r="AH17" s="2183"/>
      <c r="AI17" s="2183"/>
      <c r="AJ17" s="2183"/>
    </row>
    <row r="18" spans="1:37" s="2202" customFormat="1" ht="15.75" thickBot="1">
      <c r="A18" s="2376" t="s">
        <v>808</v>
      </c>
      <c r="B18" s="2377" t="s">
        <v>2711</v>
      </c>
      <c r="C18" s="2378">
        <f>SUMIF(修正!C18:C39,E3,修正!E18:E39)</f>
        <v>1</v>
      </c>
      <c r="D18" s="2379"/>
      <c r="E18" s="2380"/>
      <c r="F18" s="2380"/>
      <c r="G18" s="2380"/>
      <c r="H18" s="2380"/>
      <c r="I18" s="2380"/>
      <c r="J18" s="2381"/>
      <c r="K18" s="1285"/>
      <c r="L18" s="3019"/>
      <c r="M18" s="3019"/>
      <c r="N18" s="3019"/>
      <c r="O18" s="1283"/>
      <c r="P18" s="1283"/>
      <c r="Q18" s="1284"/>
      <c r="R18" s="1284"/>
      <c r="S18" s="1284"/>
      <c r="T18" s="1279"/>
      <c r="U18" s="1279"/>
      <c r="V18" s="1279"/>
      <c r="W18" s="1278"/>
      <c r="X18" s="1278"/>
      <c r="Y18" s="1278"/>
      <c r="Z18" s="1285"/>
      <c r="AA18" s="1285"/>
      <c r="AB18" s="1285"/>
      <c r="AC18" s="1285"/>
      <c r="AD18" s="1285"/>
      <c r="AE18" s="1279"/>
      <c r="AF18" s="1279"/>
      <c r="AG18" s="2340"/>
      <c r="AH18" s="2340"/>
      <c r="AI18" s="2340"/>
      <c r="AJ18" s="3019"/>
    </row>
    <row r="19" spans="1:37" s="2202" customFormat="1" ht="29.25" thickBot="1">
      <c r="A19" s="2246" t="s">
        <v>809</v>
      </c>
      <c r="B19" s="2247" t="s">
        <v>2712</v>
      </c>
      <c r="C19" s="862">
        <f>ROUND(IF(H19="按公示增长率计算",SUMPRODUCT((地价!A3:A33=YEAR(G19)&amp;"-"&amp;ROUNDUP(MONTH(G19)/3,0))*(地价!X2:AB2=E2)*(地价!X3:AB33)),IF(H19="地价指数",M20/M19,(1+I19)^O19)),4)</f>
        <v>1.389</v>
      </c>
      <c r="D19" s="2251" t="s">
        <v>2713</v>
      </c>
      <c r="E19" s="863">
        <v>41640</v>
      </c>
      <c r="F19" s="2251" t="s">
        <v>2714</v>
      </c>
      <c r="G19" s="864">
        <f>'数据-取费表'!B2</f>
        <v>44224</v>
      </c>
      <c r="H19" s="2252" t="s">
        <v>3070</v>
      </c>
      <c r="I19" s="865" t="str">
        <f>IF(H19="季度增幅（自定义）",SUMIF(N21:N24,E2,O21:O24),"")</f>
        <v/>
      </c>
      <c r="J19" s="2249"/>
      <c r="K19" s="1285"/>
      <c r="L19" s="2253" t="s">
        <v>2715</v>
      </c>
      <c r="M19" s="1496">
        <f>ROUND(SUMIF(地价!B2:F2,E2,地价!B33:F33),0)</f>
        <v>230</v>
      </c>
      <c r="N19" s="2254" t="s">
        <v>2716</v>
      </c>
      <c r="O19" s="866">
        <f>ROUNDDOWN(DATEDIF(E19,G19,"M")/3,0)</f>
        <v>28</v>
      </c>
      <c r="P19" s="1282"/>
      <c r="Q19" s="1284"/>
      <c r="R19" s="1284"/>
      <c r="S19" s="1284"/>
      <c r="T19" s="1279"/>
      <c r="U19" s="1279"/>
      <c r="V19" s="1279"/>
      <c r="W19" s="1278"/>
      <c r="X19" s="1278"/>
      <c r="Y19" s="1278"/>
      <c r="Z19" s="1285"/>
      <c r="AA19" s="1285"/>
      <c r="AB19" s="1285"/>
      <c r="AC19" s="1285"/>
      <c r="AD19" s="1285"/>
      <c r="AE19" s="1285"/>
      <c r="AF19" s="1284"/>
      <c r="AG19" s="3022"/>
      <c r="AH19" s="2340"/>
      <c r="AI19" s="3023"/>
      <c r="AJ19" s="3023"/>
      <c r="AK19" s="2255"/>
    </row>
    <row r="20" spans="1:37" s="2202" customFormat="1" ht="27.75" thickBot="1">
      <c r="A20" s="2256" t="s">
        <v>810</v>
      </c>
      <c r="B20" s="2257" t="s">
        <v>2717</v>
      </c>
      <c r="C20" s="867" t="e">
        <f ca="1">ROUND(POWER(1+G20,J20-I20)*(POWER(1+G20,I20)-1)/(POWER(1+G20,J20)-1),4)</f>
        <v>#DIV/0!</v>
      </c>
      <c r="D20" s="2258" t="s">
        <v>2718</v>
      </c>
      <c r="E20" s="1505">
        <f ca="1">存贷款利率!D4/100</f>
        <v>4.3499999999999997E-2</v>
      </c>
      <c r="F20" s="2258" t="s">
        <v>2710</v>
      </c>
      <c r="G20" s="872">
        <f ca="1">SUMIF(M26:P26,E2,M28:P28)</f>
        <v>4.8000000000000001E-2</v>
      </c>
      <c r="H20" s="2258" t="s">
        <v>2719</v>
      </c>
      <c r="I20" s="873" t="e">
        <f>SUMIF('数据-取费表'!C6:C15,E2,'数据-取费表'!F6:F15)/COUNTIF('数据-取费表'!C6:C15,E2)</f>
        <v>#DIV/0!</v>
      </c>
      <c r="J20" s="874">
        <f>IF(E2="住宅",70,IF(E2="商业",40,50))</f>
        <v>50</v>
      </c>
      <c r="K20" s="1285"/>
      <c r="L20" s="2259" t="s">
        <v>2720</v>
      </c>
      <c r="M20" s="1497">
        <f>ROUND(SUMPRODUCT((地价!A4:A33=YEAR(G19)&amp;"-"&amp;ROUNDUP(MONTH(G19)/3,0))*(地价!B2:F2=E2)*(地价!B4:F33)),0)</f>
        <v>319</v>
      </c>
      <c r="N20" s="2260" t="s">
        <v>2721</v>
      </c>
      <c r="O20" s="2261" t="s">
        <v>2722</v>
      </c>
      <c r="P20" s="2262" t="s">
        <v>2723</v>
      </c>
      <c r="Q20" s="3019"/>
      <c r="R20" s="1284"/>
      <c r="S20" s="1284"/>
      <c r="T20" s="1279"/>
      <c r="U20" s="1279"/>
      <c r="V20" s="1279"/>
      <c r="W20" s="1278"/>
      <c r="X20" s="1278"/>
      <c r="Y20" s="1278"/>
      <c r="Z20" s="1285"/>
      <c r="AA20" s="1285"/>
      <c r="AB20" s="1285"/>
      <c r="AC20" s="1285"/>
      <c r="AD20" s="1285"/>
      <c r="AE20" s="1285"/>
      <c r="AF20" s="1285"/>
      <c r="AG20" s="3019"/>
      <c r="AH20" s="3019"/>
      <c r="AI20" s="3019"/>
      <c r="AJ20" s="3019"/>
    </row>
    <row r="21" spans="1:37" s="2202" customFormat="1" ht="15">
      <c r="A21" s="2263" t="s">
        <v>811</v>
      </c>
      <c r="B21" s="2264" t="s">
        <v>3071</v>
      </c>
      <c r="C21" s="875">
        <f>IF(B21="容积率修正",IF(G3&lt;=10,D22,J22),C23)</f>
        <v>1.125</v>
      </c>
      <c r="D21" s="2265"/>
      <c r="E21" s="2265"/>
      <c r="F21" s="2265"/>
      <c r="G21" s="2265"/>
      <c r="H21" s="2265"/>
      <c r="I21" s="2265"/>
      <c r="J21" s="2266"/>
      <c r="K21" s="1285"/>
      <c r="L21" s="3019"/>
      <c r="M21" s="3019"/>
      <c r="N21" s="2267" t="s">
        <v>2724</v>
      </c>
      <c r="O21" s="1333"/>
      <c r="P21" s="1334">
        <f>SUMPRODUCT((地价!A3:A33=YEAR(G19)&amp;"-"&amp;ROUNDUP(MONTH(G19)/3,0))*(地价!AD2:AH2=N21)*(地价!AD3:AH33))</f>
        <v>1.0999999999999999E-2</v>
      </c>
      <c r="Q21" s="3019"/>
      <c r="R21" s="1284"/>
      <c r="S21" s="1284"/>
      <c r="T21" s="1279"/>
      <c r="U21" s="1279"/>
      <c r="V21" s="1279"/>
      <c r="W21" s="1278"/>
      <c r="X21" s="1278"/>
      <c r="Y21" s="1278"/>
      <c r="Z21" s="1285"/>
      <c r="AA21" s="1285"/>
      <c r="AB21" s="1285"/>
      <c r="AC21" s="1285"/>
      <c r="AD21" s="1285"/>
      <c r="AE21" s="1285"/>
      <c r="AF21" s="1285"/>
      <c r="AG21" s="3019"/>
      <c r="AH21" s="3019"/>
      <c r="AI21" s="3019"/>
      <c r="AJ21" s="3019"/>
    </row>
    <row r="22" spans="1:37" s="2202" customFormat="1" ht="14.25">
      <c r="A22" s="2141" t="s">
        <v>2725</v>
      </c>
      <c r="B22" s="2268" t="s">
        <v>2726</v>
      </c>
      <c r="C22" s="1536" t="s">
        <v>2727</v>
      </c>
      <c r="D22" s="1536">
        <f>IF(E22=G22,F22,IF(G3&lt;=10,ROUND(F22+(H22-F22)*(G3-E22)/(G22-E22),4),"——"))</f>
        <v>1.125</v>
      </c>
      <c r="E22" s="854">
        <f>ROUNDDOWN(G3,1)</f>
        <v>0.8</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1.25</v>
      </c>
      <c r="G22" s="854">
        <f>ROUNDUP(G3,1)</f>
        <v>0.9</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1.1111</v>
      </c>
      <c r="I22" s="1536" t="s">
        <v>155</v>
      </c>
      <c r="J22" s="876" t="str">
        <f>IF(G3&gt;10,D113,"——")</f>
        <v>——</v>
      </c>
      <c r="K22" s="1285"/>
      <c r="L22" s="3019"/>
      <c r="M22" s="3019"/>
      <c r="N22" s="2267" t="s">
        <v>2728</v>
      </c>
      <c r="O22" s="1333"/>
      <c r="P22" s="1334">
        <f>SUMPRODUCT((地价!A3:A33=YEAR(G19)&amp;"-"&amp;ROUNDUP(MONTH(G19)/3,0))*(地价!AD2:AH2=N22)*(地价!AD3:AH33))</f>
        <v>1.0999999999999999E-2</v>
      </c>
      <c r="Q22" s="3019"/>
      <c r="R22" s="1284"/>
      <c r="S22" s="1284"/>
      <c r="T22" s="1279"/>
      <c r="U22" s="1279"/>
      <c r="V22" s="1279"/>
      <c r="W22" s="1278"/>
      <c r="X22" s="1278"/>
      <c r="Y22" s="1278"/>
      <c r="Z22" s="1285"/>
      <c r="AA22" s="1285"/>
      <c r="AB22" s="1285"/>
      <c r="AC22" s="1285"/>
      <c r="AD22" s="1285"/>
      <c r="AE22" s="1285"/>
      <c r="AF22" s="1285"/>
      <c r="AG22" s="3019"/>
      <c r="AH22" s="3019"/>
      <c r="AI22" s="3019"/>
      <c r="AJ22" s="3019"/>
    </row>
    <row r="23" spans="1:37" ht="27.75" thickBot="1">
      <c r="A23" s="2141" t="s">
        <v>2729</v>
      </c>
      <c r="B23" s="2269" t="s">
        <v>2730</v>
      </c>
      <c r="C23" s="949">
        <f>ROUND(IF(G3&gt;1,IF(I3&lt;7,SUMPRODUCT((B93:B98=I3)*(C92:N92=G2)*(C93:N98)),SUMIF(C92:N92,G2,C100:N100)),IF(I3&lt;7,SUMPRODUCT((B102:B107=I3)*(C92:N92=G2)*(C102:N107)),SUMIF(C92:N92,G2,C109:N109))),4)</f>
        <v>0</v>
      </c>
      <c r="D23" s="2237"/>
      <c r="E23" s="2237"/>
      <c r="F23" s="2270"/>
      <c r="G23" s="2271"/>
      <c r="H23" s="2272"/>
      <c r="I23" s="2273"/>
      <c r="J23" s="2274"/>
      <c r="K23" s="1278"/>
      <c r="L23" s="2183"/>
      <c r="M23" s="2183"/>
      <c r="N23" s="2267" t="s">
        <v>2731</v>
      </c>
      <c r="O23" s="1333"/>
      <c r="P23" s="1334">
        <f>SUMPRODUCT((地价!A3:A33=YEAR(G19)&amp;"-"&amp;ROUNDUP(MONTH(G19)/3,0))*(地价!AD2:AH2=N23)*(地价!AD3:AH33))</f>
        <v>1.8499999999999999E-2</v>
      </c>
      <c r="Q23" s="2183"/>
      <c r="R23" s="1284"/>
      <c r="S23" s="1284"/>
      <c r="T23" s="1279"/>
      <c r="U23" s="1279"/>
      <c r="V23" s="1279"/>
      <c r="W23" s="1278"/>
      <c r="X23" s="1278"/>
      <c r="Y23" s="1278"/>
      <c r="Z23" s="1285"/>
      <c r="AA23" s="1285"/>
      <c r="AB23" s="1285"/>
      <c r="AC23" s="1285"/>
      <c r="AD23" s="1285"/>
      <c r="AE23" s="1279"/>
      <c r="AF23" s="1279"/>
      <c r="AG23" s="2340"/>
      <c r="AH23" s="2340"/>
      <c r="AI23" s="2340"/>
      <c r="AJ23" s="2340"/>
      <c r="AK23" s="2250"/>
    </row>
    <row r="24" spans="1:37" s="2202" customFormat="1" ht="15.75" thickBot="1">
      <c r="A24" s="2256" t="s">
        <v>812</v>
      </c>
      <c r="B24" s="2247" t="s">
        <v>2732</v>
      </c>
      <c r="C24" s="862">
        <f>SUMIF(A45:A88,E2,B45:B88)</f>
        <v>1.0399</v>
      </c>
      <c r="D24" s="2248"/>
      <c r="E24" s="2275"/>
      <c r="F24" s="2275"/>
      <c r="G24" s="2275"/>
      <c r="H24" s="2275"/>
      <c r="I24" s="2275"/>
      <c r="J24" s="2276"/>
      <c r="K24" s="1285"/>
      <c r="L24" s="3019"/>
      <c r="M24" s="3019"/>
      <c r="N24" s="2277" t="s">
        <v>2733</v>
      </c>
      <c r="O24" s="1335"/>
      <c r="P24" s="1336">
        <f>SUMPRODUCT((地价!A3:A33=YEAR(G19)&amp;"-"&amp;ROUNDUP(MONTH(G19)/3,0))*(地价!AD2:AH2=N24)*(地价!AD3:AH33))</f>
        <v>1.1900000000000001E-2</v>
      </c>
      <c r="Q24" s="3019"/>
      <c r="R24" s="1284"/>
      <c r="S24" s="1284"/>
      <c r="T24" s="1279"/>
      <c r="U24" s="1279"/>
      <c r="V24" s="1279"/>
      <c r="W24" s="1278"/>
      <c r="X24" s="1278"/>
      <c r="Y24" s="1278"/>
      <c r="Z24" s="1285"/>
      <c r="AA24" s="1285"/>
      <c r="AB24" s="1285"/>
      <c r="AC24" s="1285"/>
      <c r="AD24" s="1285"/>
      <c r="AE24" s="1285"/>
      <c r="AF24" s="1285"/>
      <c r="AG24" s="3019"/>
      <c r="AH24" s="3019"/>
      <c r="AI24" s="3019"/>
      <c r="AJ24" s="3019"/>
    </row>
    <row r="25" spans="1:37" ht="15.75" thickBot="1">
      <c r="A25" s="2256" t="s">
        <v>813</v>
      </c>
      <c r="B25" s="2278" t="s">
        <v>2734</v>
      </c>
      <c r="C25" s="868"/>
      <c r="D25" s="2212"/>
      <c r="E25" s="2212"/>
      <c r="F25" s="2279"/>
      <c r="G25" s="2212"/>
      <c r="H25" s="2212"/>
      <c r="I25" s="2212"/>
      <c r="J25" s="2213"/>
      <c r="K25" s="1278"/>
      <c r="L25" s="2183"/>
      <c r="M25" s="2183"/>
      <c r="N25" s="3014" t="s">
        <v>2735</v>
      </c>
      <c r="O25" s="3015"/>
      <c r="P25" s="3016">
        <f>SUMPRODUCT((地价!A3:A33=YEAR(G19)&amp;"-"&amp;ROUNDUP(MONTH(G19)/3,0))*(地价!AD2:AH2=N25)*(地价!AD3:AH33))</f>
        <v>1.6799999999999999E-2</v>
      </c>
      <c r="Q25" s="2183"/>
      <c r="R25" s="1284"/>
      <c r="S25" s="1284"/>
      <c r="T25" s="1279"/>
      <c r="U25" s="1279"/>
      <c r="V25" s="1279"/>
      <c r="W25" s="1278"/>
      <c r="X25" s="1278"/>
      <c r="Y25" s="1278"/>
      <c r="Z25" s="1285"/>
      <c r="AA25" s="1285"/>
      <c r="AB25" s="1285"/>
      <c r="AC25" s="1285"/>
      <c r="AD25" s="1285"/>
      <c r="AE25" s="1279"/>
      <c r="AF25" s="1279"/>
      <c r="AG25" s="2340"/>
      <c r="AH25" s="2340"/>
      <c r="AI25" s="2340"/>
      <c r="AJ25" s="2340"/>
    </row>
    <row r="26" spans="1:37" ht="15">
      <c r="A26" s="2280"/>
      <c r="B26" s="2268" t="s">
        <v>2736</v>
      </c>
      <c r="C26" s="2542" t="e">
        <f ca="1">IF(B21="容积率修正",E29+SUM(E33:E39),SUM(V2:V16)+SUM(E33:E39))</f>
        <v>#DIV/0!</v>
      </c>
      <c r="D26" s="2281"/>
      <c r="E26" s="2237"/>
      <c r="F26" s="2282"/>
      <c r="G26" s="2237"/>
      <c r="H26" s="2237"/>
      <c r="I26" s="2237"/>
      <c r="J26" s="2283"/>
      <c r="K26" s="1278"/>
      <c r="L26" s="3017" t="s">
        <v>2635</v>
      </c>
      <c r="M26" s="2210" t="s">
        <v>2700</v>
      </c>
      <c r="N26" s="2210" t="s">
        <v>2701</v>
      </c>
      <c r="O26" s="2210" t="s">
        <v>2702</v>
      </c>
      <c r="P26" s="3018" t="s">
        <v>2703</v>
      </c>
      <c r="Q26" s="2183"/>
      <c r="R26" s="1284"/>
      <c r="S26" s="1284"/>
      <c r="T26" s="1279"/>
      <c r="U26" s="1279"/>
      <c r="V26" s="1279"/>
      <c r="W26" s="1278"/>
      <c r="X26" s="1278"/>
      <c r="Y26" s="1278"/>
      <c r="Z26" s="1285"/>
      <c r="AA26" s="1285"/>
      <c r="AB26" s="1285"/>
      <c r="AC26" s="1285"/>
      <c r="AD26" s="1285"/>
      <c r="AE26" s="1279"/>
      <c r="AF26" s="1279"/>
      <c r="AG26" s="2340"/>
      <c r="AH26" s="2340"/>
      <c r="AI26" s="2340"/>
      <c r="AJ26" s="2340"/>
    </row>
    <row r="27" spans="1:37" ht="15.75" thickBot="1">
      <c r="A27" s="2280"/>
      <c r="B27" s="2284" t="s">
        <v>2737</v>
      </c>
      <c r="C27" s="869" t="e">
        <f ca="1">E30+SUM(I33:I39)</f>
        <v>#DIV/0!</v>
      </c>
      <c r="D27" s="2285"/>
      <c r="E27" s="2286"/>
      <c r="F27" s="2287"/>
      <c r="G27" s="2286"/>
      <c r="H27" s="2286"/>
      <c r="I27" s="2286"/>
      <c r="J27" s="2288"/>
      <c r="K27" s="1278"/>
      <c r="L27" s="2243" t="s">
        <v>2707</v>
      </c>
      <c r="M27" s="860">
        <v>0.25</v>
      </c>
      <c r="N27" s="860">
        <v>0.2</v>
      </c>
      <c r="O27" s="860">
        <v>0.15</v>
      </c>
      <c r="P27" s="1277">
        <v>0.1</v>
      </c>
      <c r="Q27" s="1284"/>
      <c r="R27" s="1284"/>
      <c r="S27" s="1284"/>
      <c r="T27" s="1279"/>
      <c r="U27" s="1279"/>
      <c r="V27" s="1279"/>
      <c r="W27" s="1278"/>
      <c r="X27" s="1278"/>
      <c r="Y27" s="1278"/>
      <c r="Z27" s="1285"/>
      <c r="AA27" s="1285"/>
      <c r="AB27" s="1285"/>
      <c r="AC27" s="1285"/>
      <c r="AD27" s="1285"/>
      <c r="AE27" s="1279"/>
      <c r="AF27" s="1279"/>
      <c r="AG27" s="2340"/>
      <c r="AH27" s="2340"/>
      <c r="AI27" s="2340"/>
      <c r="AJ27" s="2340"/>
    </row>
    <row r="28" spans="1:37" ht="15.75" thickBot="1">
      <c r="A28" s="2289"/>
      <c r="B28" s="2290" t="s">
        <v>2738</v>
      </c>
      <c r="C28" s="2291" t="s">
        <v>2739</v>
      </c>
      <c r="D28" s="2291" t="s">
        <v>2740</v>
      </c>
      <c r="E28" s="2292" t="s">
        <v>2741</v>
      </c>
      <c r="F28" s="2293"/>
      <c r="G28" s="2225"/>
      <c r="H28" s="2225"/>
      <c r="I28" s="2225"/>
      <c r="J28" s="2226"/>
      <c r="K28" s="1278"/>
      <c r="L28" s="2244" t="s">
        <v>2710</v>
      </c>
      <c r="M28" s="183">
        <f ca="1">ROUND($E$20*(1+M27),3)</f>
        <v>5.3999999999999999E-2</v>
      </c>
      <c r="N28" s="183">
        <f ca="1">ROUND($E$20*(1+N27),3)</f>
        <v>5.1999999999999998E-2</v>
      </c>
      <c r="O28" s="183">
        <f ca="1">ROUND($E$20*(1+O27),3)</f>
        <v>0.05</v>
      </c>
      <c r="P28" s="1281">
        <f ca="1">ROUND($E$20*(1+P27),3)</f>
        <v>4.8000000000000001E-2</v>
      </c>
      <c r="Q28" s="1284"/>
      <c r="R28" s="1284"/>
      <c r="S28" s="1284"/>
      <c r="T28" s="1279"/>
      <c r="U28" s="1279"/>
      <c r="V28" s="1279"/>
      <c r="W28" s="1278"/>
      <c r="X28" s="1278"/>
      <c r="Y28" s="1278"/>
      <c r="Z28" s="1285"/>
      <c r="AA28" s="1285"/>
      <c r="AB28" s="1285"/>
      <c r="AC28" s="1285"/>
      <c r="AD28" s="1285"/>
      <c r="AE28" s="1279"/>
      <c r="AF28" s="1279"/>
      <c r="AG28" s="2340"/>
      <c r="AH28" s="2340"/>
      <c r="AI28" s="2340"/>
      <c r="AJ28" s="2340"/>
    </row>
    <row r="29" spans="1:37" ht="22.5" customHeight="1">
      <c r="A29" s="2294"/>
      <c r="B29" s="2295" t="s">
        <v>2742</v>
      </c>
      <c r="C29" s="180" t="e">
        <f ca="1">ROUND(C5*C18*C19*C20*C21*C24,0)</f>
        <v>#DIV/0!</v>
      </c>
      <c r="D29" s="2296">
        <f>'数据-汇总表'!E3</f>
        <v>27960.83</v>
      </c>
      <c r="E29" s="878" t="e">
        <f ca="1">ROUND(C29*D29/10000,0)</f>
        <v>#DIV/0!</v>
      </c>
      <c r="F29" s="2297" t="s">
        <v>2743</v>
      </c>
      <c r="G29" s="2298"/>
      <c r="H29" s="2298"/>
      <c r="I29" s="2298"/>
      <c r="J29" s="2299"/>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83"/>
      <c r="AH29" s="2183"/>
      <c r="AI29" s="2183"/>
      <c r="AJ29" s="2183"/>
    </row>
    <row r="30" spans="1:37" ht="25.5" thickBot="1">
      <c r="A30" s="2300"/>
      <c r="B30" s="2301" t="s">
        <v>2744</v>
      </c>
      <c r="C30" s="193" t="e">
        <f ca="1">ROUND(IF(E2="工业",C29*M39,C29*M38),0)</f>
        <v>#DIV/0!</v>
      </c>
      <c r="D30" s="2302"/>
      <c r="E30" s="878" t="e">
        <f ca="1">ROUND(C30*D30/10000,0)</f>
        <v>#DIV/0!</v>
      </c>
      <c r="F30" s="2303" t="s">
        <v>2745</v>
      </c>
      <c r="G30" s="2304"/>
      <c r="H30" s="2304"/>
      <c r="I30" s="2304"/>
      <c r="J30" s="2305"/>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83"/>
      <c r="AH30" s="2183"/>
      <c r="AI30" s="2183"/>
      <c r="AJ30" s="2183"/>
    </row>
    <row r="31" spans="1:37" ht="14.25">
      <c r="A31" s="2306"/>
      <c r="B31" s="2307" t="s">
        <v>2746</v>
      </c>
      <c r="C31" s="2308" t="s">
        <v>2747</v>
      </c>
      <c r="D31" s="2225"/>
      <c r="E31" s="2308"/>
      <c r="F31" s="2308"/>
      <c r="G31" s="2223" t="s">
        <v>2748</v>
      </c>
      <c r="H31" s="2225"/>
      <c r="I31" s="2309"/>
      <c r="J31" s="2226"/>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83"/>
      <c r="AH31" s="2183"/>
      <c r="AI31" s="2183"/>
      <c r="AJ31" s="2183"/>
    </row>
    <row r="32" spans="1:37" ht="24">
      <c r="A32" s="2294"/>
      <c r="B32" s="2310"/>
      <c r="C32" s="458" t="s">
        <v>2739</v>
      </c>
      <c r="D32" s="455" t="s">
        <v>2740</v>
      </c>
      <c r="E32" s="455" t="s">
        <v>2741</v>
      </c>
      <c r="F32" s="348" t="s">
        <v>2749</v>
      </c>
      <c r="G32" s="2311" t="s">
        <v>2739</v>
      </c>
      <c r="H32" s="2311" t="s">
        <v>2740</v>
      </c>
      <c r="I32" s="2311" t="s">
        <v>2741</v>
      </c>
      <c r="J32" s="249"/>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83"/>
      <c r="AH32" s="2183"/>
      <c r="AI32" s="2183"/>
      <c r="AJ32" s="2183"/>
    </row>
    <row r="33" spans="1:37" ht="36" customHeight="1">
      <c r="A33" s="3312"/>
      <c r="B33" s="2312" t="s">
        <v>2750</v>
      </c>
      <c r="C33" s="180" t="e">
        <f ca="1">ROUND(D5*C19*C20*C24*F33,0)</f>
        <v>#DIV/0!</v>
      </c>
      <c r="D33" s="2296"/>
      <c r="E33" s="176" t="e">
        <f ca="1">ROUND(C33*D33/10000,0)</f>
        <v>#DIV/0!</v>
      </c>
      <c r="F33" s="176">
        <f>SUMIF(修正!A45:A56,G2,修正!B45:B56)</f>
        <v>0.6</v>
      </c>
      <c r="G33" s="176" t="e">
        <f t="shared" ref="G33" ca="1" si="6">ROUND(IF(E2="工业",C33*$M$39,C33*$M$38),0)</f>
        <v>#DIV/0!</v>
      </c>
      <c r="H33" s="176">
        <f>D33</f>
        <v>0</v>
      </c>
      <c r="I33" s="176" t="e">
        <f ca="1">ROUND(G33*H33/10000,0)</f>
        <v>#DIV/0!</v>
      </c>
      <c r="J33" s="3317" t="s">
        <v>3047</v>
      </c>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40"/>
      <c r="AH33" s="2340"/>
      <c r="AI33" s="2340"/>
      <c r="AJ33" s="2340"/>
    </row>
    <row r="34" spans="1:37" ht="14.25">
      <c r="A34" s="3313"/>
      <c r="B34" s="2229" t="s">
        <v>2751</v>
      </c>
      <c r="C34" s="180" t="e">
        <f ca="1">ROUND(D5*C19*C20*C24*F34,0)</f>
        <v>#DIV/0!</v>
      </c>
      <c r="D34" s="2296"/>
      <c r="E34" s="176" t="e">
        <f t="shared" ref="E34:E39" ca="1" si="7">ROUND(C34*D34/10000,0)</f>
        <v>#DIV/0!</v>
      </c>
      <c r="F34" s="176">
        <f>SUMIF(修正!A45:A56,G2,修正!C45:C56)</f>
        <v>0.3</v>
      </c>
      <c r="G34" s="176" t="e">
        <f ca="1">ROUND(IF(E2="工业",C34*$M$39,C34*$M$38),0)</f>
        <v>#DIV/0!</v>
      </c>
      <c r="H34" s="176">
        <f t="shared" ref="H34:H39" si="8">D34</f>
        <v>0</v>
      </c>
      <c r="I34" s="176" t="e">
        <f t="shared" ref="I34:I39" ca="1" si="9">ROUND(G34*H34/10000,0)</f>
        <v>#DIV/0!</v>
      </c>
      <c r="J34" s="3313"/>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40"/>
      <c r="AH34" s="2340"/>
      <c r="AI34" s="2340"/>
      <c r="AJ34" s="2340"/>
    </row>
    <row r="35" spans="1:37">
      <c r="A35" s="3313"/>
      <c r="B35" s="2229" t="s">
        <v>2752</v>
      </c>
      <c r="C35" s="180" t="e">
        <f ca="1">ROUND(D5*C19*C20*C24*F35,0)</f>
        <v>#DIV/0!</v>
      </c>
      <c r="D35" s="2296"/>
      <c r="E35" s="176" t="e">
        <f t="shared" ca="1" si="7"/>
        <v>#DIV/0!</v>
      </c>
      <c r="F35" s="176">
        <f>SUMIF(修正!A45:A56,G2,修正!D45:D56)</f>
        <v>0.2</v>
      </c>
      <c r="G35" s="176" t="e">
        <f ca="1">ROUND(IF(E2="工业",C35*$M$39,C35*$M$38),0)</f>
        <v>#DIV/0!</v>
      </c>
      <c r="H35" s="176">
        <f t="shared" si="8"/>
        <v>0</v>
      </c>
      <c r="I35" s="176" t="e">
        <f t="shared" ca="1" si="9"/>
        <v>#DIV/0!</v>
      </c>
      <c r="J35" s="3313"/>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40"/>
      <c r="AH35" s="2340"/>
      <c r="AI35" s="2340"/>
      <c r="AJ35" s="2340"/>
    </row>
    <row r="36" spans="1:37" ht="13.5" thickBot="1">
      <c r="A36" s="3314"/>
      <c r="B36" s="2229" t="s">
        <v>2753</v>
      </c>
      <c r="C36" s="180" t="e">
        <f ca="1">ROUND(D5*C19*C20*C24*F36,0)</f>
        <v>#DIV/0!</v>
      </c>
      <c r="D36" s="2296"/>
      <c r="E36" s="176" t="e">
        <f t="shared" ca="1" si="7"/>
        <v>#DIV/0!</v>
      </c>
      <c r="F36" s="176">
        <f>SUMIF(修正!A45:A56,G2,修正!E45:E56)</f>
        <v>0.2</v>
      </c>
      <c r="G36" s="176" t="e">
        <f ca="1">ROUND(IF(E2="工业",C36*$M$39,C36*$M$38),0)</f>
        <v>#DIV/0!</v>
      </c>
      <c r="H36" s="176">
        <f t="shared" si="8"/>
        <v>0</v>
      </c>
      <c r="I36" s="176" t="e">
        <f t="shared" ca="1" si="9"/>
        <v>#DIV/0!</v>
      </c>
      <c r="J36" s="3314"/>
      <c r="K36" s="1278"/>
      <c r="L36" s="2183"/>
      <c r="M36" s="2183"/>
      <c r="N36" s="1278"/>
      <c r="O36" s="1278"/>
      <c r="P36" s="1278"/>
      <c r="Q36" s="1278"/>
      <c r="R36" s="1278"/>
      <c r="S36" s="1278"/>
      <c r="T36" s="1278"/>
      <c r="U36" s="1278"/>
      <c r="V36" s="1278"/>
      <c r="W36" s="1278"/>
      <c r="X36" s="1278"/>
      <c r="Y36" s="1278"/>
      <c r="Z36" s="1279"/>
      <c r="AA36" s="1279"/>
      <c r="AB36" s="1279"/>
      <c r="AC36" s="1279"/>
      <c r="AD36" s="1279"/>
      <c r="AE36" s="1279"/>
      <c r="AF36" s="1279"/>
      <c r="AG36" s="2340"/>
      <c r="AH36" s="2340"/>
      <c r="AI36" s="2340"/>
      <c r="AJ36" s="2340"/>
    </row>
    <row r="37" spans="1:37">
      <c r="A37" s="2314"/>
      <c r="B37" s="2229" t="s">
        <v>2754</v>
      </c>
      <c r="C37" s="176" t="e">
        <f ca="1">ROUND(D5*C19*C20*C24*F37,0)</f>
        <v>#DIV/0!</v>
      </c>
      <c r="D37" s="2296"/>
      <c r="E37" s="176" t="e">
        <f t="shared" ca="1" si="7"/>
        <v>#DIV/0!</v>
      </c>
      <c r="F37" s="180">
        <f>SUMIF(修正!A45:A56,G2,修正!F45:F56)</f>
        <v>0.2</v>
      </c>
      <c r="G37" s="176" t="e">
        <f ca="1">ROUND(IF(E2="工业",C37*$M$39,C37*$M$38),0)</f>
        <v>#DIV/0!</v>
      </c>
      <c r="H37" s="176">
        <f t="shared" si="8"/>
        <v>0</v>
      </c>
      <c r="I37" s="176" t="e">
        <f t="shared" ca="1" si="9"/>
        <v>#DIV/0!</v>
      </c>
      <c r="J37" s="2313"/>
      <c r="K37" s="1278"/>
      <c r="L37" s="2315" t="s">
        <v>2755</v>
      </c>
      <c r="M37" s="2316"/>
      <c r="N37" s="1278"/>
      <c r="O37" s="1278"/>
      <c r="P37" s="1278"/>
      <c r="Q37" s="1278"/>
      <c r="R37" s="1278"/>
      <c r="S37" s="1278"/>
      <c r="T37" s="1278"/>
      <c r="U37" s="1278"/>
      <c r="V37" s="1278"/>
      <c r="W37" s="1278"/>
      <c r="X37" s="1278"/>
      <c r="Y37" s="1278"/>
      <c r="Z37" s="1279"/>
      <c r="AA37" s="1279"/>
      <c r="AB37" s="1279"/>
      <c r="AC37" s="1279"/>
      <c r="AD37" s="1279"/>
      <c r="AE37" s="1279"/>
      <c r="AF37" s="1279"/>
      <c r="AG37" s="2340"/>
      <c r="AH37" s="2340"/>
      <c r="AI37" s="2340"/>
      <c r="AJ37" s="2340"/>
    </row>
    <row r="38" spans="1:37">
      <c r="A38" s="2314"/>
      <c r="B38" s="2229" t="s">
        <v>2756</v>
      </c>
      <c r="C38" s="176">
        <f ca="1">ROUND(D5*C19*C41*C24*F38,0)</f>
        <v>0</v>
      </c>
      <c r="D38" s="2296"/>
      <c r="E38" s="176">
        <f t="shared" ca="1" si="7"/>
        <v>0</v>
      </c>
      <c r="F38" s="180">
        <f>SUMIF(修正!A45:A56,G2,修正!G45:G56)</f>
        <v>0.2</v>
      </c>
      <c r="G38" s="176">
        <f ca="1">ROUND(IF(E2="工业",C38*$M$39,C38*$M$38),0)</f>
        <v>0</v>
      </c>
      <c r="H38" s="176">
        <f t="shared" si="8"/>
        <v>0</v>
      </c>
      <c r="I38" s="176">
        <f t="shared" ca="1" si="9"/>
        <v>0</v>
      </c>
      <c r="J38" s="2313"/>
      <c r="K38" s="1278"/>
      <c r="L38" s="1605" t="s">
        <v>2757</v>
      </c>
      <c r="M38" s="2317">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300"/>
      <c r="B39" s="2318" t="s">
        <v>2758</v>
      </c>
      <c r="C39" s="193">
        <f ca="1">ROUND(D5*C19*C41*C24*F39,0)</f>
        <v>0</v>
      </c>
      <c r="D39" s="2302"/>
      <c r="E39" s="193">
        <f t="shared" ca="1" si="7"/>
        <v>0</v>
      </c>
      <c r="F39" s="870">
        <f>SUMIF(修正!A45:A56,G2,修正!H45:H56)</f>
        <v>0.15</v>
      </c>
      <c r="G39" s="193">
        <f ca="1">ROUND(IF(E2="工业",C39*$M$39,C39*$M$38),0)</f>
        <v>0</v>
      </c>
      <c r="H39" s="193">
        <f t="shared" si="8"/>
        <v>0</v>
      </c>
      <c r="I39" s="193">
        <f t="shared" ca="1" si="9"/>
        <v>0</v>
      </c>
      <c r="J39" s="2319"/>
      <c r="K39" s="1278"/>
      <c r="L39" s="2320" t="s">
        <v>2703</v>
      </c>
      <c r="M39" s="2321">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70" t="s">
        <v>2862</v>
      </c>
      <c r="C41" s="348">
        <f ca="1">ROUND(POWER(1+E41,H41-G41)*(POWER(1+E41,G41)-1)/(POWER(1+E41,H41)-1),4)</f>
        <v>0</v>
      </c>
      <c r="D41" s="176" t="s">
        <v>2710</v>
      </c>
      <c r="E41" s="2369">
        <f ca="1">G20</f>
        <v>4.8000000000000001E-2</v>
      </c>
      <c r="F41" s="176" t="s">
        <v>2719</v>
      </c>
      <c r="G41" s="189"/>
      <c r="H41" s="176">
        <v>50</v>
      </c>
      <c r="Z41" s="1279"/>
      <c r="AA41" s="1279"/>
      <c r="AB41" s="1279"/>
      <c r="AC41" s="1279"/>
      <c r="AD41" s="1279"/>
      <c r="AE41" s="1279"/>
      <c r="AF41" s="1279"/>
      <c r="AG41" s="1279"/>
      <c r="AH41" s="1279"/>
      <c r="AI41" s="1279"/>
      <c r="AJ41" s="1279"/>
    </row>
    <row r="42" spans="1:37" s="1278" customFormat="1">
      <c r="A42" s="1279"/>
      <c r="B42" s="2322"/>
      <c r="Z42" s="1279"/>
      <c r="AA42" s="1279"/>
      <c r="AB42" s="1279"/>
      <c r="AC42" s="1279"/>
      <c r="AD42" s="1279"/>
      <c r="AE42" s="1279"/>
      <c r="AF42" s="1279"/>
      <c r="AG42" s="1279"/>
      <c r="AH42" s="1279"/>
      <c r="AI42" s="1279"/>
      <c r="AJ42" s="1279"/>
    </row>
    <row r="43" spans="1:37" s="1278" customFormat="1">
      <c r="A43" s="1279"/>
      <c r="B43" s="2322"/>
      <c r="Z43" s="1279"/>
      <c r="AA43" s="1279"/>
      <c r="AB43" s="1279"/>
      <c r="AC43" s="1279"/>
      <c r="AD43" s="1279"/>
      <c r="AE43" s="1279"/>
      <c r="AF43" s="1279"/>
      <c r="AG43" s="1279"/>
      <c r="AH43" s="1279"/>
      <c r="AI43" s="1279"/>
      <c r="AJ43" s="1279"/>
    </row>
    <row r="44" spans="1:37" s="1278" customFormat="1">
      <c r="A44" s="1279"/>
      <c r="B44" s="2322"/>
      <c r="Z44" s="1279"/>
      <c r="AA44" s="1279"/>
      <c r="AB44" s="1279"/>
      <c r="AC44" s="1279"/>
      <c r="AD44" s="1279"/>
      <c r="AE44" s="1279"/>
      <c r="AF44" s="1279"/>
      <c r="AG44" s="1279"/>
      <c r="AH44" s="1279"/>
      <c r="AI44" s="1279"/>
      <c r="AJ44" s="1279"/>
    </row>
    <row r="45" spans="1:37" s="1278" customFormat="1" ht="15.75" thickBot="1">
      <c r="A45" s="2323" t="s">
        <v>2759</v>
      </c>
      <c r="B45" s="2324"/>
      <c r="C45" s="7"/>
      <c r="D45" s="7"/>
      <c r="E45" s="7"/>
      <c r="F45" s="6"/>
      <c r="G45" s="6"/>
      <c r="H45" s="6"/>
      <c r="I45" s="2007"/>
      <c r="J45" s="2007"/>
      <c r="K45" s="2007"/>
      <c r="L45" s="2007"/>
      <c r="M45" s="2007"/>
      <c r="Z45" s="1279"/>
      <c r="AA45" s="1279"/>
      <c r="AB45" s="1279"/>
      <c r="AC45" s="1279"/>
      <c r="AD45" s="1279"/>
      <c r="AE45" s="1279"/>
      <c r="AF45" s="1279"/>
      <c r="AG45" s="1279"/>
      <c r="AH45" s="1279"/>
      <c r="AI45" s="1279"/>
      <c r="AJ45" s="1279"/>
    </row>
    <row r="46" spans="1:37" s="1278" customFormat="1" ht="15">
      <c r="A46" s="2325" t="s">
        <v>2760</v>
      </c>
      <c r="B46" s="2326">
        <f>1+E48</f>
        <v>1</v>
      </c>
      <c r="C46" s="2327"/>
      <c r="D46" s="752"/>
      <c r="E46" s="753"/>
      <c r="F46" s="2328"/>
      <c r="G46" s="6"/>
      <c r="H46" s="7"/>
      <c r="I46" s="2007"/>
      <c r="J46" s="2007"/>
      <c r="K46" s="2007"/>
      <c r="L46" s="2007"/>
      <c r="M46" s="2007"/>
      <c r="Z46" s="1279"/>
      <c r="AA46" s="1279"/>
      <c r="AB46" s="1279"/>
      <c r="AC46" s="1279"/>
      <c r="AD46" s="1279"/>
      <c r="AE46" s="1279"/>
      <c r="AF46" s="1279"/>
      <c r="AG46" s="1279"/>
      <c r="AH46" s="1279"/>
      <c r="AI46" s="1279"/>
      <c r="AJ46" s="1279"/>
    </row>
    <row r="47" spans="1:37" s="1278" customFormat="1" ht="24.75">
      <c r="A47" s="2329" t="s">
        <v>2761</v>
      </c>
      <c r="B47" s="1535" t="s">
        <v>2762</v>
      </c>
      <c r="C47" s="1535" t="s">
        <v>2763</v>
      </c>
      <c r="D47" s="1535" t="s">
        <v>2764</v>
      </c>
      <c r="E47" s="757" t="s">
        <v>2765</v>
      </c>
      <c r="F47" s="2330" t="s">
        <v>2766</v>
      </c>
      <c r="G47" s="1535" t="s">
        <v>754</v>
      </c>
      <c r="H47" s="2331" t="s">
        <v>2767</v>
      </c>
      <c r="I47" s="1535" t="s">
        <v>2768</v>
      </c>
      <c r="J47" s="560" t="s">
        <v>2419</v>
      </c>
      <c r="K47" s="560" t="s">
        <v>2420</v>
      </c>
      <c r="L47" s="560" t="s">
        <v>2421</v>
      </c>
      <c r="M47" s="560" t="s">
        <v>2422</v>
      </c>
      <c r="N47" s="560" t="s">
        <v>2423</v>
      </c>
      <c r="AA47" s="1279"/>
      <c r="AB47" s="1279"/>
      <c r="AC47" s="1279"/>
      <c r="AD47" s="1279"/>
      <c r="AE47" s="1279"/>
      <c r="AF47" s="1279"/>
      <c r="AG47" s="1279"/>
      <c r="AH47" s="1279"/>
      <c r="AI47" s="1279"/>
      <c r="AJ47" s="1279"/>
      <c r="AK47" s="1279"/>
    </row>
    <row r="48" spans="1:37" s="1278" customFormat="1" ht="14.25">
      <c r="A48" s="2329" t="s">
        <v>2769</v>
      </c>
      <c r="B48" s="2332">
        <f>估价对象房地状况!C4</f>
        <v>0</v>
      </c>
      <c r="C48" s="2234"/>
      <c r="D48" s="1194">
        <f t="shared" ref="D48:D56" si="10">SUMIF($J$47:$N$47,C48,J48:N48)</f>
        <v>0</v>
      </c>
      <c r="E48" s="759">
        <f>ROUND(SUM(D48:D56),4)</f>
        <v>0</v>
      </c>
      <c r="F48" s="2000" t="str">
        <f>IF(E2="商业",SUMIF(L1:L12,G2,N1:N12),"——")</f>
        <v>——</v>
      </c>
      <c r="G48" s="1192"/>
      <c r="H48" s="1196" t="str">
        <f t="shared" ref="H48:H56" si="11">IFERROR(ROUNDDOWN($F$48*I48/2,4),"——")</f>
        <v>——</v>
      </c>
      <c r="I48" s="758">
        <v>0.33</v>
      </c>
      <c r="J48" s="1193">
        <f t="shared" ref="J48:J56" si="12">K48+$G48</f>
        <v>0</v>
      </c>
      <c r="K48" s="1193">
        <f t="shared" ref="K48:K56" si="13">$L48+$G48</f>
        <v>0</v>
      </c>
      <c r="L48" s="1193">
        <v>0</v>
      </c>
      <c r="M48" s="1193">
        <f t="shared" ref="M48:N56" si="14">L48-$G48</f>
        <v>0</v>
      </c>
      <c r="N48" s="1193">
        <f t="shared" si="14"/>
        <v>0</v>
      </c>
      <c r="AA48" s="1279"/>
      <c r="AB48" s="1279"/>
      <c r="AC48" s="1279"/>
      <c r="AD48" s="1279"/>
      <c r="AE48" s="1279"/>
      <c r="AF48" s="1279"/>
      <c r="AG48" s="1279"/>
      <c r="AH48" s="1279"/>
      <c r="AI48" s="1279"/>
      <c r="AJ48" s="1279"/>
      <c r="AK48" s="1279"/>
    </row>
    <row r="49" spans="1:37" s="1278" customFormat="1" ht="14.25">
      <c r="A49" s="2329" t="s">
        <v>2770</v>
      </c>
      <c r="B49" s="2333">
        <f>估价对象房地状况!C18</f>
        <v>0</v>
      </c>
      <c r="C49" s="2234"/>
      <c r="D49" s="1194">
        <f t="shared" si="10"/>
        <v>0</v>
      </c>
      <c r="E49" s="760"/>
      <c r="F49" s="2000"/>
      <c r="G49" s="1192"/>
      <c r="H49" s="1196" t="str">
        <f t="shared" si="11"/>
        <v>——</v>
      </c>
      <c r="I49" s="758">
        <v>0.25</v>
      </c>
      <c r="J49" s="1193">
        <f t="shared" si="12"/>
        <v>0</v>
      </c>
      <c r="K49" s="1193">
        <f t="shared" si="13"/>
        <v>0</v>
      </c>
      <c r="L49" s="1193">
        <v>0</v>
      </c>
      <c r="M49" s="1193">
        <f t="shared" si="14"/>
        <v>0</v>
      </c>
      <c r="N49" s="1193">
        <f t="shared" si="14"/>
        <v>0</v>
      </c>
      <c r="AA49" s="1279"/>
      <c r="AB49" s="1279"/>
      <c r="AC49" s="1279"/>
      <c r="AD49" s="1279"/>
      <c r="AE49" s="1279"/>
      <c r="AF49" s="1279"/>
      <c r="AG49" s="1279"/>
      <c r="AH49" s="1279"/>
      <c r="AI49" s="1279"/>
      <c r="AJ49" s="1279"/>
      <c r="AK49" s="1279"/>
    </row>
    <row r="50" spans="1:37" s="1278" customFormat="1" ht="24">
      <c r="A50" s="2329" t="s">
        <v>2771</v>
      </c>
      <c r="B50" s="2333">
        <f>估价对象房地状况!C19</f>
        <v>0</v>
      </c>
      <c r="C50" s="2234"/>
      <c r="D50" s="1194">
        <f t="shared" si="10"/>
        <v>0</v>
      </c>
      <c r="E50" s="760"/>
      <c r="F50" s="2000"/>
      <c r="G50" s="1192"/>
      <c r="H50" s="1196" t="str">
        <f t="shared" si="11"/>
        <v>——</v>
      </c>
      <c r="I50" s="758">
        <v>0.05</v>
      </c>
      <c r="J50" s="1193">
        <f t="shared" si="12"/>
        <v>0</v>
      </c>
      <c r="K50" s="1193">
        <f t="shared" si="13"/>
        <v>0</v>
      </c>
      <c r="L50" s="1193">
        <v>0</v>
      </c>
      <c r="M50" s="1193">
        <f t="shared" si="14"/>
        <v>0</v>
      </c>
      <c r="N50" s="1193">
        <f t="shared" si="14"/>
        <v>0</v>
      </c>
      <c r="AA50" s="1279"/>
      <c r="AB50" s="1279"/>
      <c r="AC50" s="1279"/>
      <c r="AD50" s="1279"/>
      <c r="AE50" s="1279"/>
      <c r="AF50" s="1279"/>
      <c r="AG50" s="1279"/>
      <c r="AH50" s="1279"/>
      <c r="AI50" s="1279"/>
      <c r="AJ50" s="1279"/>
      <c r="AK50" s="1279"/>
    </row>
    <row r="51" spans="1:37" s="1278" customFormat="1" ht="36.75">
      <c r="A51" s="2329" t="s">
        <v>2772</v>
      </c>
      <c r="B51" s="2334" t="s">
        <v>2773</v>
      </c>
      <c r="C51" s="2234"/>
      <c r="D51" s="1194">
        <f t="shared" si="10"/>
        <v>0</v>
      </c>
      <c r="E51" s="760"/>
      <c r="F51" s="2000"/>
      <c r="G51" s="1192"/>
      <c r="H51" s="1196" t="str">
        <f t="shared" si="11"/>
        <v>——</v>
      </c>
      <c r="I51" s="758">
        <v>0.05</v>
      </c>
      <c r="J51" s="1193">
        <f t="shared" si="12"/>
        <v>0</v>
      </c>
      <c r="K51" s="1193">
        <f t="shared" si="13"/>
        <v>0</v>
      </c>
      <c r="L51" s="1193">
        <v>0</v>
      </c>
      <c r="M51" s="1193">
        <f t="shared" si="14"/>
        <v>0</v>
      </c>
      <c r="N51" s="1193">
        <f t="shared" si="14"/>
        <v>0</v>
      </c>
      <c r="AA51" s="1279"/>
      <c r="AB51" s="1279"/>
      <c r="AC51" s="1279"/>
      <c r="AD51" s="1279"/>
      <c r="AE51" s="1279"/>
      <c r="AF51" s="1279"/>
      <c r="AG51" s="1279"/>
      <c r="AH51" s="1279"/>
      <c r="AI51" s="1279"/>
      <c r="AJ51" s="1279"/>
      <c r="AK51" s="1279"/>
    </row>
    <row r="52" spans="1:37" s="1278" customFormat="1" ht="14.25">
      <c r="A52" s="2329" t="s">
        <v>2774</v>
      </c>
      <c r="B52" s="2333">
        <f>估价对象房地状况!C24</f>
        <v>0</v>
      </c>
      <c r="C52" s="2234"/>
      <c r="D52" s="1194">
        <f t="shared" si="10"/>
        <v>0</v>
      </c>
      <c r="E52" s="760"/>
      <c r="F52" s="2000"/>
      <c r="G52" s="1192"/>
      <c r="H52" s="1196" t="str">
        <f t="shared" si="11"/>
        <v>——</v>
      </c>
      <c r="I52" s="758">
        <v>0.08</v>
      </c>
      <c r="J52" s="1193">
        <f t="shared" si="12"/>
        <v>0</v>
      </c>
      <c r="K52" s="1193">
        <f t="shared" si="13"/>
        <v>0</v>
      </c>
      <c r="L52" s="1193">
        <v>0</v>
      </c>
      <c r="M52" s="1193">
        <f t="shared" si="14"/>
        <v>0</v>
      </c>
      <c r="N52" s="1193">
        <f t="shared" si="14"/>
        <v>0</v>
      </c>
      <c r="AA52" s="1279"/>
      <c r="AB52" s="1279"/>
      <c r="AC52" s="1279"/>
      <c r="AD52" s="1279"/>
      <c r="AE52" s="1279"/>
      <c r="AF52" s="1279"/>
      <c r="AG52" s="1279"/>
      <c r="AH52" s="1279"/>
      <c r="AI52" s="1279"/>
      <c r="AJ52" s="1279"/>
      <c r="AK52" s="1279"/>
    </row>
    <row r="53" spans="1:37" s="1278" customFormat="1" ht="24">
      <c r="A53" s="2329" t="s">
        <v>2775</v>
      </c>
      <c r="B53" s="2335" t="s">
        <v>2776</v>
      </c>
      <c r="C53" s="2234"/>
      <c r="D53" s="1194">
        <f t="shared" si="10"/>
        <v>0</v>
      </c>
      <c r="E53" s="760"/>
      <c r="F53" s="2000"/>
      <c r="G53" s="1192"/>
      <c r="H53" s="1196" t="str">
        <f t="shared" si="11"/>
        <v>——</v>
      </c>
      <c r="I53" s="758">
        <v>0.03</v>
      </c>
      <c r="J53" s="1193">
        <f t="shared" si="12"/>
        <v>0</v>
      </c>
      <c r="K53" s="1193">
        <f t="shared" si="13"/>
        <v>0</v>
      </c>
      <c r="L53" s="1193">
        <v>0</v>
      </c>
      <c r="M53" s="1193">
        <f t="shared" si="14"/>
        <v>0</v>
      </c>
      <c r="N53" s="1193">
        <f t="shared" si="14"/>
        <v>0</v>
      </c>
      <c r="AA53" s="1279"/>
      <c r="AB53" s="1279"/>
      <c r="AC53" s="1279"/>
      <c r="AD53" s="1279"/>
      <c r="AE53" s="1279"/>
      <c r="AF53" s="1279"/>
      <c r="AG53" s="1279"/>
      <c r="AH53" s="1279"/>
      <c r="AI53" s="1279"/>
      <c r="AJ53" s="1279"/>
      <c r="AK53" s="1279"/>
    </row>
    <row r="54" spans="1:37" s="1278" customFormat="1" ht="24">
      <c r="A54" s="2336" t="s">
        <v>2777</v>
      </c>
      <c r="B54" s="1494">
        <f>估价对象房地状况!C21</f>
        <v>0</v>
      </c>
      <c r="C54" s="2234"/>
      <c r="D54" s="1194">
        <f t="shared" si="10"/>
        <v>0</v>
      </c>
      <c r="E54" s="760"/>
      <c r="F54" s="2000"/>
      <c r="G54" s="1192"/>
      <c r="H54" s="1196" t="str">
        <f t="shared" si="11"/>
        <v>——</v>
      </c>
      <c r="I54" s="758">
        <v>0.05</v>
      </c>
      <c r="J54" s="1193">
        <f t="shared" si="12"/>
        <v>0</v>
      </c>
      <c r="K54" s="1193">
        <f t="shared" si="13"/>
        <v>0</v>
      </c>
      <c r="L54" s="1193">
        <v>0</v>
      </c>
      <c r="M54" s="1193">
        <f t="shared" si="14"/>
        <v>0</v>
      </c>
      <c r="N54" s="1193">
        <f t="shared" si="14"/>
        <v>0</v>
      </c>
      <c r="AA54" s="1279"/>
      <c r="AB54" s="1279"/>
      <c r="AC54" s="1279"/>
      <c r="AD54" s="1279"/>
      <c r="AE54" s="1279"/>
      <c r="AF54" s="1279"/>
      <c r="AG54" s="1279"/>
      <c r="AH54" s="1279"/>
      <c r="AI54" s="1279"/>
      <c r="AJ54" s="1279"/>
      <c r="AK54" s="1279"/>
    </row>
    <row r="55" spans="1:37" s="1278" customFormat="1" ht="24">
      <c r="A55" s="2336" t="s">
        <v>2778</v>
      </c>
      <c r="B55" s="2333">
        <f>估价对象房地状况!C22</f>
        <v>0</v>
      </c>
      <c r="C55" s="2234"/>
      <c r="D55" s="1194">
        <f t="shared" si="10"/>
        <v>0</v>
      </c>
      <c r="E55" s="760"/>
      <c r="F55" s="2000"/>
      <c r="G55" s="1192"/>
      <c r="H55" s="1196" t="str">
        <f t="shared" si="11"/>
        <v>——</v>
      </c>
      <c r="I55" s="758">
        <v>0.1</v>
      </c>
      <c r="J55" s="1193">
        <f t="shared" si="12"/>
        <v>0</v>
      </c>
      <c r="K55" s="1193">
        <f t="shared" si="13"/>
        <v>0</v>
      </c>
      <c r="L55" s="1193">
        <v>0</v>
      </c>
      <c r="M55" s="1193">
        <f t="shared" si="14"/>
        <v>0</v>
      </c>
      <c r="N55" s="1193">
        <f t="shared" si="14"/>
        <v>0</v>
      </c>
      <c r="AA55" s="1279"/>
      <c r="AB55" s="1279"/>
      <c r="AC55" s="1279"/>
      <c r="AD55" s="1279"/>
      <c r="AE55" s="1279"/>
      <c r="AF55" s="1279"/>
      <c r="AG55" s="1279"/>
      <c r="AH55" s="1279"/>
      <c r="AI55" s="1279"/>
      <c r="AJ55" s="1279"/>
      <c r="AK55" s="1279"/>
    </row>
    <row r="56" spans="1:37" s="1278" customFormat="1" ht="24.75" thickBot="1">
      <c r="A56" s="2337" t="s">
        <v>2779</v>
      </c>
      <c r="B56" s="2338">
        <f>估价对象房地状况!C20</f>
        <v>0</v>
      </c>
      <c r="C56" s="2234"/>
      <c r="D56" s="1194">
        <f t="shared" si="10"/>
        <v>0</v>
      </c>
      <c r="E56" s="763"/>
      <c r="F56" s="2000"/>
      <c r="G56" s="1192"/>
      <c r="H56" s="1196" t="str">
        <f t="shared" si="11"/>
        <v>——</v>
      </c>
      <c r="I56" s="762">
        <v>0.06</v>
      </c>
      <c r="J56" s="1193">
        <f t="shared" si="12"/>
        <v>0</v>
      </c>
      <c r="K56" s="1193">
        <f t="shared" si="13"/>
        <v>0</v>
      </c>
      <c r="L56" s="1193">
        <v>0</v>
      </c>
      <c r="M56" s="1193">
        <f t="shared" si="14"/>
        <v>0</v>
      </c>
      <c r="N56" s="1193">
        <f t="shared" si="14"/>
        <v>0</v>
      </c>
      <c r="AA56" s="1279"/>
      <c r="AB56" s="1279"/>
      <c r="AC56" s="1279"/>
      <c r="AD56" s="1279"/>
      <c r="AE56" s="1279"/>
      <c r="AF56" s="1279"/>
      <c r="AG56" s="1279"/>
      <c r="AH56" s="1279"/>
      <c r="AI56" s="1279"/>
      <c r="AJ56" s="1279"/>
      <c r="AK56" s="1279"/>
    </row>
    <row r="57" spans="1:37" s="1278" customFormat="1" ht="15">
      <c r="A57" s="2325" t="s">
        <v>2780</v>
      </c>
      <c r="B57" s="2326">
        <f>1+E59</f>
        <v>1</v>
      </c>
      <c r="C57" s="752"/>
      <c r="D57" s="752"/>
      <c r="E57" s="753"/>
      <c r="F57" s="2328"/>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9" t="s">
        <v>2761</v>
      </c>
      <c r="B58" s="1535"/>
      <c r="C58" s="1535" t="s">
        <v>2763</v>
      </c>
      <c r="D58" s="1535" t="s">
        <v>2764</v>
      </c>
      <c r="E58" s="757" t="s">
        <v>2765</v>
      </c>
      <c r="F58" s="2330" t="s">
        <v>2781</v>
      </c>
      <c r="G58" s="1535" t="s">
        <v>754</v>
      </c>
      <c r="H58" s="2331" t="s">
        <v>2767</v>
      </c>
      <c r="I58" s="1535" t="s">
        <v>2768</v>
      </c>
      <c r="J58" s="560" t="s">
        <v>2419</v>
      </c>
      <c r="K58" s="560" t="s">
        <v>2420</v>
      </c>
      <c r="L58" s="560" t="s">
        <v>2421</v>
      </c>
      <c r="M58" s="560" t="s">
        <v>2422</v>
      </c>
      <c r="N58" s="560" t="s">
        <v>2423</v>
      </c>
      <c r="AA58" s="1279"/>
      <c r="AB58" s="1279"/>
      <c r="AC58" s="1279"/>
      <c r="AD58" s="1279"/>
      <c r="AE58" s="1279"/>
      <c r="AF58" s="1279"/>
      <c r="AG58" s="1279"/>
      <c r="AH58" s="1279"/>
      <c r="AI58" s="1279"/>
      <c r="AJ58" s="1279"/>
      <c r="AK58" s="1279"/>
    </row>
    <row r="59" spans="1:37" s="1278" customFormat="1" ht="14.25">
      <c r="A59" s="2329" t="s">
        <v>2782</v>
      </c>
      <c r="B59" s="2332">
        <f>估价对象房地状况!C17</f>
        <v>0</v>
      </c>
      <c r="C59" s="2234"/>
      <c r="D59" s="1194">
        <f t="shared" ref="D59:D67" si="15">SUMIF($J$58:$N$58,C59,J59:N59)</f>
        <v>0</v>
      </c>
      <c r="E59" s="759">
        <f>ROUND(SUM(D59:D67),4)</f>
        <v>0</v>
      </c>
      <c r="F59" s="2000" t="str">
        <f>IF(E2="办公",SUMIF(L1:L12,G2,N1:N12),"——")</f>
        <v>——</v>
      </c>
      <c r="G59" s="1192"/>
      <c r="H59" s="1196" t="str">
        <f t="shared" ref="H59:H67" si="16">IFERROR(ROUNDDOWN($F$59*I59/2,4),"——")</f>
        <v>——</v>
      </c>
      <c r="I59" s="758">
        <v>0.24</v>
      </c>
      <c r="J59" s="1193">
        <f t="shared" ref="J59:J67" si="17">K59+$G59</f>
        <v>0</v>
      </c>
      <c r="K59" s="1193">
        <f t="shared" ref="K59:K67" si="18">$L59+$G59</f>
        <v>0</v>
      </c>
      <c r="L59" s="1193">
        <v>0</v>
      </c>
      <c r="M59" s="1193">
        <f t="shared" ref="M59:N67" si="19">L59-$G59</f>
        <v>0</v>
      </c>
      <c r="N59" s="1193">
        <f t="shared" si="19"/>
        <v>0</v>
      </c>
      <c r="AA59" s="1279"/>
      <c r="AB59" s="1279"/>
      <c r="AC59" s="1279"/>
      <c r="AD59" s="1279"/>
      <c r="AE59" s="1279"/>
      <c r="AF59" s="1279"/>
      <c r="AG59" s="1279"/>
      <c r="AH59" s="1279"/>
      <c r="AI59" s="1279"/>
      <c r="AJ59" s="1279"/>
      <c r="AK59" s="1279"/>
    </row>
    <row r="60" spans="1:37" s="1278" customFormat="1" ht="14.25">
      <c r="A60" s="2329" t="s">
        <v>2770</v>
      </c>
      <c r="B60" s="2333">
        <f>估价对象房地状况!C18</f>
        <v>0</v>
      </c>
      <c r="C60" s="2234"/>
      <c r="D60" s="1194">
        <f t="shared" si="15"/>
        <v>0</v>
      </c>
      <c r="E60" s="760"/>
      <c r="F60" s="2000"/>
      <c r="G60" s="1192"/>
      <c r="H60" s="1196" t="str">
        <f t="shared" si="16"/>
        <v>——</v>
      </c>
      <c r="I60" s="758">
        <v>0.3</v>
      </c>
      <c r="J60" s="1193">
        <f t="shared" si="17"/>
        <v>0</v>
      </c>
      <c r="K60" s="1193">
        <f t="shared" si="18"/>
        <v>0</v>
      </c>
      <c r="L60" s="1193">
        <v>0</v>
      </c>
      <c r="M60" s="1193">
        <f t="shared" si="19"/>
        <v>0</v>
      </c>
      <c r="N60" s="1193">
        <f t="shared" si="19"/>
        <v>0</v>
      </c>
      <c r="AA60" s="1279"/>
      <c r="AB60" s="1279"/>
      <c r="AC60" s="1279"/>
      <c r="AD60" s="1279"/>
      <c r="AE60" s="1279"/>
      <c r="AF60" s="1279"/>
      <c r="AG60" s="1279"/>
      <c r="AH60" s="1279"/>
      <c r="AI60" s="1279"/>
      <c r="AJ60" s="1279"/>
      <c r="AK60" s="1279"/>
    </row>
    <row r="61" spans="1:37" s="1278" customFormat="1" ht="24">
      <c r="A61" s="2329" t="s">
        <v>2771</v>
      </c>
      <c r="B61" s="2333">
        <f>估价对象房地状况!C19</f>
        <v>0</v>
      </c>
      <c r="C61" s="2234"/>
      <c r="D61" s="1194">
        <f t="shared" si="15"/>
        <v>0</v>
      </c>
      <c r="E61" s="760"/>
      <c r="F61" s="2000"/>
      <c r="G61" s="1192"/>
      <c r="H61" s="1196" t="str">
        <f t="shared" si="16"/>
        <v>——</v>
      </c>
      <c r="I61" s="758">
        <v>0.08</v>
      </c>
      <c r="J61" s="1193">
        <f t="shared" si="17"/>
        <v>0</v>
      </c>
      <c r="K61" s="1193">
        <f t="shared" si="18"/>
        <v>0</v>
      </c>
      <c r="L61" s="1193">
        <v>0</v>
      </c>
      <c r="M61" s="1193">
        <f t="shared" si="19"/>
        <v>0</v>
      </c>
      <c r="N61" s="1193">
        <f t="shared" si="19"/>
        <v>0</v>
      </c>
      <c r="AA61" s="1279"/>
      <c r="AB61" s="1279"/>
      <c r="AC61" s="1279"/>
      <c r="AD61" s="1279"/>
      <c r="AE61" s="1279"/>
      <c r="AF61" s="1279"/>
      <c r="AG61" s="1279"/>
      <c r="AH61" s="1279"/>
      <c r="AI61" s="1279"/>
      <c r="AJ61" s="1279"/>
      <c r="AK61" s="1279"/>
    </row>
    <row r="62" spans="1:37" s="1278" customFormat="1" ht="36.75">
      <c r="A62" s="2329" t="s">
        <v>2772</v>
      </c>
      <c r="B62" s="2334" t="s">
        <v>2773</v>
      </c>
      <c r="C62" s="2234"/>
      <c r="D62" s="1194">
        <f t="shared" si="15"/>
        <v>0</v>
      </c>
      <c r="E62" s="760"/>
      <c r="F62" s="2000"/>
      <c r="G62" s="1192"/>
      <c r="H62" s="1196" t="str">
        <f t="shared" si="16"/>
        <v>——</v>
      </c>
      <c r="I62" s="758">
        <v>0.04</v>
      </c>
      <c r="J62" s="1193">
        <f t="shared" si="17"/>
        <v>0</v>
      </c>
      <c r="K62" s="1193">
        <f t="shared" si="18"/>
        <v>0</v>
      </c>
      <c r="L62" s="1193">
        <v>0</v>
      </c>
      <c r="M62" s="1193">
        <f t="shared" si="19"/>
        <v>0</v>
      </c>
      <c r="N62" s="1193">
        <f t="shared" si="19"/>
        <v>0</v>
      </c>
      <c r="AA62" s="1279"/>
      <c r="AB62" s="1279"/>
      <c r="AC62" s="1279"/>
      <c r="AD62" s="1279"/>
      <c r="AE62" s="1279"/>
      <c r="AF62" s="1279"/>
      <c r="AG62" s="1279"/>
      <c r="AH62" s="1279"/>
      <c r="AI62" s="1279"/>
      <c r="AJ62" s="1279"/>
      <c r="AK62" s="1279"/>
    </row>
    <row r="63" spans="1:37" s="1278" customFormat="1" ht="14.25">
      <c r="A63" s="2329" t="s">
        <v>2774</v>
      </c>
      <c r="B63" s="2333">
        <f>估价对象房地状况!C24</f>
        <v>0</v>
      </c>
      <c r="C63" s="2234"/>
      <c r="D63" s="1194">
        <f t="shared" si="15"/>
        <v>0</v>
      </c>
      <c r="E63" s="760"/>
      <c r="F63" s="2000"/>
      <c r="G63" s="1192"/>
      <c r="H63" s="1196" t="str">
        <f t="shared" si="16"/>
        <v>——</v>
      </c>
      <c r="I63" s="758">
        <v>0.05</v>
      </c>
      <c r="J63" s="1193">
        <f t="shared" si="17"/>
        <v>0</v>
      </c>
      <c r="K63" s="1193">
        <f t="shared" si="18"/>
        <v>0</v>
      </c>
      <c r="L63" s="1193">
        <v>0</v>
      </c>
      <c r="M63" s="1193">
        <f t="shared" si="19"/>
        <v>0</v>
      </c>
      <c r="N63" s="1193">
        <f t="shared" si="19"/>
        <v>0</v>
      </c>
      <c r="AA63" s="1279"/>
      <c r="AB63" s="1279"/>
      <c r="AC63" s="1279"/>
      <c r="AD63" s="1279"/>
      <c r="AE63" s="1279"/>
      <c r="AF63" s="1279"/>
      <c r="AG63" s="1279"/>
      <c r="AH63" s="1279"/>
      <c r="AI63" s="1279"/>
      <c r="AJ63" s="1279"/>
      <c r="AK63" s="1279"/>
    </row>
    <row r="64" spans="1:37" s="1278" customFormat="1" ht="24">
      <c r="A64" s="2329" t="s">
        <v>2775</v>
      </c>
      <c r="B64" s="2335" t="s">
        <v>2776</v>
      </c>
      <c r="C64" s="2234"/>
      <c r="D64" s="1194">
        <f t="shared" si="15"/>
        <v>0</v>
      </c>
      <c r="E64" s="760"/>
      <c r="F64" s="2000"/>
      <c r="G64" s="1192"/>
      <c r="H64" s="1196" t="str">
        <f t="shared" si="16"/>
        <v>——</v>
      </c>
      <c r="I64" s="758">
        <v>0.05</v>
      </c>
      <c r="J64" s="1193">
        <f t="shared" si="17"/>
        <v>0</v>
      </c>
      <c r="K64" s="1193">
        <f t="shared" si="18"/>
        <v>0</v>
      </c>
      <c r="L64" s="1193">
        <v>0</v>
      </c>
      <c r="M64" s="1193">
        <f t="shared" si="19"/>
        <v>0</v>
      </c>
      <c r="N64" s="1193">
        <f t="shared" si="19"/>
        <v>0</v>
      </c>
      <c r="AA64" s="1279"/>
      <c r="AB64" s="1279"/>
      <c r="AC64" s="1279"/>
      <c r="AD64" s="1279"/>
      <c r="AE64" s="1279"/>
      <c r="AF64" s="1279"/>
      <c r="AG64" s="1279"/>
      <c r="AH64" s="1279"/>
      <c r="AI64" s="1279"/>
      <c r="AJ64" s="1279"/>
      <c r="AK64" s="1279"/>
    </row>
    <row r="65" spans="1:37" s="1278" customFormat="1" ht="24">
      <c r="A65" s="2329" t="s">
        <v>2777</v>
      </c>
      <c r="B65" s="1494">
        <f>估价对象房地状况!C21</f>
        <v>0</v>
      </c>
      <c r="C65" s="2234"/>
      <c r="D65" s="1194">
        <f t="shared" si="15"/>
        <v>0</v>
      </c>
      <c r="E65" s="760"/>
      <c r="F65" s="2000"/>
      <c r="G65" s="1192"/>
      <c r="H65" s="1196" t="str">
        <f t="shared" si="16"/>
        <v>——</v>
      </c>
      <c r="I65" s="758">
        <v>0.06</v>
      </c>
      <c r="J65" s="1193">
        <f t="shared" si="17"/>
        <v>0</v>
      </c>
      <c r="K65" s="1193">
        <f t="shared" si="18"/>
        <v>0</v>
      </c>
      <c r="L65" s="1193">
        <v>0</v>
      </c>
      <c r="M65" s="1193">
        <f t="shared" si="19"/>
        <v>0</v>
      </c>
      <c r="N65" s="1193">
        <f t="shared" si="19"/>
        <v>0</v>
      </c>
      <c r="AA65" s="1279"/>
      <c r="AB65" s="1279"/>
      <c r="AC65" s="1279"/>
      <c r="AD65" s="1279"/>
      <c r="AE65" s="1279"/>
      <c r="AF65" s="1279"/>
      <c r="AG65" s="1279"/>
      <c r="AH65" s="1279"/>
      <c r="AI65" s="1279"/>
      <c r="AJ65" s="1279"/>
      <c r="AK65" s="1279"/>
    </row>
    <row r="66" spans="1:37" s="1278" customFormat="1" ht="24">
      <c r="A66" s="2329" t="s">
        <v>2778</v>
      </c>
      <c r="B66" s="1494">
        <f>估价对象房地状况!C22</f>
        <v>0</v>
      </c>
      <c r="C66" s="2234"/>
      <c r="D66" s="1194">
        <f t="shared" si="15"/>
        <v>0</v>
      </c>
      <c r="E66" s="760"/>
      <c r="F66" s="2000"/>
      <c r="G66" s="1192"/>
      <c r="H66" s="1196" t="str">
        <f t="shared" si="16"/>
        <v>——</v>
      </c>
      <c r="I66" s="758">
        <v>0.12</v>
      </c>
      <c r="J66" s="1193">
        <f t="shared" si="17"/>
        <v>0</v>
      </c>
      <c r="K66" s="1193">
        <f t="shared" si="18"/>
        <v>0</v>
      </c>
      <c r="L66" s="1193">
        <v>0</v>
      </c>
      <c r="M66" s="1193">
        <f t="shared" si="19"/>
        <v>0</v>
      </c>
      <c r="N66" s="1193">
        <f t="shared" si="19"/>
        <v>0</v>
      </c>
      <c r="AA66" s="1279"/>
      <c r="AB66" s="1279"/>
      <c r="AC66" s="1279"/>
      <c r="AD66" s="1279"/>
      <c r="AE66" s="1279"/>
      <c r="AF66" s="1279"/>
      <c r="AG66" s="1279"/>
      <c r="AH66" s="1279"/>
      <c r="AI66" s="1279"/>
      <c r="AJ66" s="1279"/>
      <c r="AK66" s="1279"/>
    </row>
    <row r="67" spans="1:37" s="1278" customFormat="1" ht="24.75" thickBot="1">
      <c r="A67" s="2337" t="s">
        <v>2779</v>
      </c>
      <c r="B67" s="2339">
        <f>估价对象房地状况!C20</f>
        <v>0</v>
      </c>
      <c r="C67" s="2234"/>
      <c r="D67" s="1194">
        <f t="shared" si="15"/>
        <v>0</v>
      </c>
      <c r="E67" s="763"/>
      <c r="F67" s="2000"/>
      <c r="G67" s="1192"/>
      <c r="H67" s="1196" t="str">
        <f t="shared" si="16"/>
        <v>——</v>
      </c>
      <c r="I67" s="762">
        <v>0.06</v>
      </c>
      <c r="J67" s="1193">
        <f t="shared" si="17"/>
        <v>0</v>
      </c>
      <c r="K67" s="1193">
        <f t="shared" si="18"/>
        <v>0</v>
      </c>
      <c r="L67" s="1193">
        <v>0</v>
      </c>
      <c r="M67" s="1193">
        <f t="shared" si="19"/>
        <v>0</v>
      </c>
      <c r="N67" s="1193">
        <f t="shared" si="19"/>
        <v>0</v>
      </c>
      <c r="AA67" s="1279"/>
      <c r="AB67" s="1279"/>
      <c r="AC67" s="1279"/>
      <c r="AD67" s="1279"/>
      <c r="AE67" s="1279"/>
      <c r="AF67" s="1279"/>
      <c r="AG67" s="1279"/>
      <c r="AH67" s="1279"/>
      <c r="AI67" s="1279"/>
      <c r="AJ67" s="1279"/>
      <c r="AK67" s="1279"/>
    </row>
    <row r="68" spans="1:37" s="1278" customFormat="1" ht="15">
      <c r="A68" s="2325" t="s">
        <v>2783</v>
      </c>
      <c r="B68" s="2326">
        <f>1+E70</f>
        <v>1</v>
      </c>
      <c r="C68" s="752"/>
      <c r="D68" s="752"/>
      <c r="E68" s="753"/>
      <c r="F68" s="2328"/>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9" t="s">
        <v>2761</v>
      </c>
      <c r="B69" s="1535"/>
      <c r="C69" s="1535" t="s">
        <v>2763</v>
      </c>
      <c r="D69" s="1535" t="s">
        <v>2764</v>
      </c>
      <c r="E69" s="757" t="s">
        <v>2765</v>
      </c>
      <c r="F69" s="2330" t="s">
        <v>2781</v>
      </c>
      <c r="G69" s="1535" t="s">
        <v>754</v>
      </c>
      <c r="H69" s="2331" t="s">
        <v>2767</v>
      </c>
      <c r="I69" s="1535" t="s">
        <v>2768</v>
      </c>
      <c r="J69" s="560" t="s">
        <v>2419</v>
      </c>
      <c r="K69" s="560" t="s">
        <v>2420</v>
      </c>
      <c r="L69" s="560" t="s">
        <v>2421</v>
      </c>
      <c r="M69" s="560" t="s">
        <v>2422</v>
      </c>
      <c r="N69" s="560" t="s">
        <v>2423</v>
      </c>
      <c r="AA69" s="1279"/>
      <c r="AB69" s="1279"/>
      <c r="AC69" s="1279"/>
      <c r="AD69" s="1279"/>
      <c r="AE69" s="1279"/>
      <c r="AF69" s="1279"/>
      <c r="AG69" s="1279"/>
      <c r="AH69" s="1279"/>
      <c r="AI69" s="1279"/>
      <c r="AJ69" s="1279"/>
      <c r="AK69" s="1279"/>
    </row>
    <row r="70" spans="1:37" s="1278" customFormat="1" ht="24">
      <c r="A70" s="2329" t="s">
        <v>2784</v>
      </c>
      <c r="B70" s="2332">
        <f>估价对象房地状况!C15</f>
        <v>0</v>
      </c>
      <c r="C70" s="2234"/>
      <c r="D70" s="1194">
        <f t="shared" ref="D70:D78" si="20">SUMIF($J$69:$N$69,C70,J70:N70)</f>
        <v>0</v>
      </c>
      <c r="E70" s="759">
        <f>ROUND(SUM(D70:D78),4)</f>
        <v>0</v>
      </c>
      <c r="F70" s="2000" t="str">
        <f>IF(E2="住宅",SUMIF(L1:L12,G2,N1:N12),"——")</f>
        <v>——</v>
      </c>
      <c r="G70" s="1192"/>
      <c r="H70" s="1196" t="str">
        <f t="shared" ref="H70:H78" si="21">IFERROR(ROUNDDOWN($F$70*I70/2,4),"——")</f>
        <v>——</v>
      </c>
      <c r="I70" s="758">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14.25">
      <c r="A71" s="2329" t="s">
        <v>2770</v>
      </c>
      <c r="B71" s="2333">
        <f>估价对象房地状况!C18</f>
        <v>0</v>
      </c>
      <c r="C71" s="2234"/>
      <c r="D71" s="1194">
        <f t="shared" si="20"/>
        <v>0</v>
      </c>
      <c r="E71" s="764"/>
      <c r="F71" s="2000"/>
      <c r="G71" s="1192"/>
      <c r="H71" s="1196" t="str">
        <f t="shared" si="21"/>
        <v>——</v>
      </c>
      <c r="I71" s="758">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9" t="s">
        <v>2771</v>
      </c>
      <c r="B72" s="2333">
        <f>估价对象房地状况!C19</f>
        <v>0</v>
      </c>
      <c r="C72" s="2234"/>
      <c r="D72" s="1194">
        <f t="shared" si="20"/>
        <v>0</v>
      </c>
      <c r="E72" s="764"/>
      <c r="F72" s="2000"/>
      <c r="G72" s="1192"/>
      <c r="H72" s="1196" t="str">
        <f t="shared" si="21"/>
        <v>——</v>
      </c>
      <c r="I72" s="758">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9" t="s">
        <v>2785</v>
      </c>
      <c r="B73" s="2333">
        <f>估价对象房地状况!C24</f>
        <v>0</v>
      </c>
      <c r="C73" s="2234"/>
      <c r="D73" s="1194">
        <f t="shared" si="20"/>
        <v>0</v>
      </c>
      <c r="E73" s="764"/>
      <c r="F73" s="2000"/>
      <c r="G73" s="1192"/>
      <c r="H73" s="1196" t="str">
        <f t="shared" si="21"/>
        <v>——</v>
      </c>
      <c r="I73" s="758">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4">
      <c r="A74" s="2329" t="s">
        <v>2777</v>
      </c>
      <c r="B74" s="1494">
        <f>估价对象房地状况!C21</f>
        <v>0</v>
      </c>
      <c r="C74" s="2234"/>
      <c r="D74" s="1194">
        <f t="shared" si="20"/>
        <v>0</v>
      </c>
      <c r="E74" s="764"/>
      <c r="F74" s="2000"/>
      <c r="G74" s="1192"/>
      <c r="H74" s="1196" t="str">
        <f t="shared" si="21"/>
        <v>——</v>
      </c>
      <c r="I74" s="758">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4">
      <c r="A75" s="2329" t="s">
        <v>2778</v>
      </c>
      <c r="B75" s="1494">
        <f>估价对象房地状况!C22</f>
        <v>0</v>
      </c>
      <c r="C75" s="2234"/>
      <c r="D75" s="1194">
        <f t="shared" si="20"/>
        <v>0</v>
      </c>
      <c r="E75" s="764"/>
      <c r="F75" s="2000"/>
      <c r="G75" s="1192"/>
      <c r="H75" s="1196" t="str">
        <f t="shared" si="21"/>
        <v>——</v>
      </c>
      <c r="I75" s="758">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83" customFormat="1" ht="24">
      <c r="A76" s="2329" t="s">
        <v>2775</v>
      </c>
      <c r="B76" s="2335" t="s">
        <v>2776</v>
      </c>
      <c r="C76" s="2234"/>
      <c r="D76" s="1194">
        <f t="shared" si="20"/>
        <v>0</v>
      </c>
      <c r="E76" s="764"/>
      <c r="F76" s="2000"/>
      <c r="G76" s="1192"/>
      <c r="H76" s="1196" t="str">
        <f t="shared" si="21"/>
        <v>——</v>
      </c>
      <c r="I76" s="758">
        <v>0.05</v>
      </c>
      <c r="J76" s="1193">
        <f t="shared" si="22"/>
        <v>0</v>
      </c>
      <c r="K76" s="1193">
        <f t="shared" si="23"/>
        <v>0</v>
      </c>
      <c r="L76" s="1193">
        <v>0</v>
      </c>
      <c r="M76" s="1193">
        <f t="shared" si="24"/>
        <v>0</v>
      </c>
      <c r="N76" s="1193">
        <f t="shared" si="24"/>
        <v>0</v>
      </c>
      <c r="AA76" s="2340"/>
      <c r="AB76" s="1279"/>
      <c r="AC76" s="1279"/>
      <c r="AD76" s="1279"/>
      <c r="AE76" s="1279"/>
      <c r="AF76" s="1279"/>
      <c r="AG76" s="1279"/>
      <c r="AH76" s="2340"/>
      <c r="AI76" s="2340"/>
      <c r="AJ76" s="2340"/>
      <c r="AK76" s="2340"/>
    </row>
    <row r="77" spans="1:37" ht="24">
      <c r="A77" s="2329" t="s">
        <v>2779</v>
      </c>
      <c r="B77" s="2332">
        <f>估价对象房地状况!C20</f>
        <v>0</v>
      </c>
      <c r="C77" s="2234"/>
      <c r="D77" s="1194">
        <f t="shared" si="20"/>
        <v>0</v>
      </c>
      <c r="E77" s="764"/>
      <c r="F77" s="2000"/>
      <c r="G77" s="1192"/>
      <c r="H77" s="1196" t="str">
        <f t="shared" si="21"/>
        <v>——</v>
      </c>
      <c r="I77" s="758">
        <v>0.15</v>
      </c>
      <c r="J77" s="1193">
        <f t="shared" si="22"/>
        <v>0</v>
      </c>
      <c r="K77" s="1193">
        <f t="shared" si="23"/>
        <v>0</v>
      </c>
      <c r="L77" s="1193">
        <v>0</v>
      </c>
      <c r="M77" s="1193">
        <f t="shared" si="24"/>
        <v>0</v>
      </c>
      <c r="N77" s="1193">
        <f t="shared" si="24"/>
        <v>0</v>
      </c>
      <c r="Z77" s="2184"/>
      <c r="AA77" s="2250"/>
      <c r="AG77" s="1280"/>
      <c r="AK77" s="2250"/>
    </row>
    <row r="78" spans="1:37" ht="24.75" thickBot="1">
      <c r="A78" s="2337" t="s">
        <v>2786</v>
      </c>
      <c r="B78" s="2341"/>
      <c r="C78" s="2234"/>
      <c r="D78" s="1194">
        <f t="shared" si="20"/>
        <v>0</v>
      </c>
      <c r="E78" s="765"/>
      <c r="F78" s="2000"/>
      <c r="G78" s="1192"/>
      <c r="H78" s="1196" t="str">
        <f t="shared" si="21"/>
        <v>——</v>
      </c>
      <c r="I78" s="762">
        <v>0.04</v>
      </c>
      <c r="J78" s="1193">
        <f t="shared" si="22"/>
        <v>0</v>
      </c>
      <c r="K78" s="1193">
        <f t="shared" si="23"/>
        <v>0</v>
      </c>
      <c r="L78" s="1193">
        <v>0</v>
      </c>
      <c r="M78" s="1193">
        <f t="shared" si="24"/>
        <v>0</v>
      </c>
      <c r="N78" s="1193">
        <f t="shared" si="24"/>
        <v>0</v>
      </c>
      <c r="Z78" s="2184"/>
      <c r="AA78" s="2250"/>
      <c r="AG78" s="1280"/>
      <c r="AK78" s="2250"/>
    </row>
    <row r="79" spans="1:37" ht="15">
      <c r="A79" s="2325" t="s">
        <v>2787</v>
      </c>
      <c r="B79" s="2326">
        <f>1+E81</f>
        <v>1.0399</v>
      </c>
      <c r="C79" s="752"/>
      <c r="D79" s="752"/>
      <c r="E79" s="753"/>
      <c r="F79" s="2328"/>
      <c r="G79" s="6"/>
      <c r="H79" s="6"/>
      <c r="I79" s="6"/>
      <c r="J79" s="7"/>
      <c r="K79" s="7"/>
      <c r="L79" s="7"/>
      <c r="M79" s="7"/>
      <c r="N79" s="7"/>
      <c r="Z79" s="2184"/>
      <c r="AA79" s="2250"/>
      <c r="AG79" s="1280"/>
      <c r="AK79" s="2250"/>
    </row>
    <row r="80" spans="1:37" ht="24.75">
      <c r="A80" s="2329" t="s">
        <v>2761</v>
      </c>
      <c r="B80" s="1535"/>
      <c r="C80" s="1535" t="s">
        <v>2763</v>
      </c>
      <c r="D80" s="1535" t="s">
        <v>2764</v>
      </c>
      <c r="E80" s="757" t="s">
        <v>2765</v>
      </c>
      <c r="F80" s="2330" t="s">
        <v>2781</v>
      </c>
      <c r="G80" s="1535" t="s">
        <v>754</v>
      </c>
      <c r="H80" s="2331" t="s">
        <v>2767</v>
      </c>
      <c r="I80" s="1535" t="s">
        <v>2768</v>
      </c>
      <c r="J80" s="560" t="s">
        <v>2419</v>
      </c>
      <c r="K80" s="560" t="s">
        <v>2420</v>
      </c>
      <c r="L80" s="560" t="s">
        <v>2421</v>
      </c>
      <c r="M80" s="560" t="s">
        <v>2422</v>
      </c>
      <c r="N80" s="560" t="s">
        <v>2423</v>
      </c>
      <c r="Z80" s="2184"/>
      <c r="AA80" s="2250"/>
      <c r="AG80" s="1280"/>
      <c r="AK80" s="2250"/>
    </row>
    <row r="81" spans="1:37" ht="14.25">
      <c r="A81" s="2329" t="s">
        <v>2788</v>
      </c>
      <c r="B81" s="2333">
        <f>估价对象房地状况!G15</f>
        <v>0</v>
      </c>
      <c r="C81" s="2234" t="s">
        <v>3080</v>
      </c>
      <c r="D81" s="1194">
        <f t="shared" ref="D81:D88" si="25">SUMIF($J$80:$N$80,C81,J81:N81)</f>
        <v>1.8200000000000001E-2</v>
      </c>
      <c r="E81" s="759">
        <f>ROUND(SUM(D81:D88),4)</f>
        <v>3.9899999999999998E-2</v>
      </c>
      <c r="F81" s="2000">
        <f>IF(E2="工业",SUMIF(L1:L12,G2,N1:N12),"——")</f>
        <v>0.14000000000000001</v>
      </c>
      <c r="G81" s="1192">
        <f>H81</f>
        <v>1.8200000000000001E-2</v>
      </c>
      <c r="H81" s="1196">
        <f t="shared" ref="H81:H88" si="26">IFERROR(ROUNDDOWN($F$81*I81/2,4),"——")</f>
        <v>1.8200000000000001E-2</v>
      </c>
      <c r="I81" s="758">
        <v>0.26</v>
      </c>
      <c r="J81" s="1193">
        <f t="shared" ref="J81:J88" si="27">K81+$G81</f>
        <v>3.6400000000000002E-2</v>
      </c>
      <c r="K81" s="1193">
        <f t="shared" ref="K81:K88" si="28">$L81+$G81</f>
        <v>1.8200000000000001E-2</v>
      </c>
      <c r="L81" s="1193">
        <v>0</v>
      </c>
      <c r="M81" s="1193">
        <f t="shared" ref="M81:N88" si="29">L81-$G81</f>
        <v>-1.8200000000000001E-2</v>
      </c>
      <c r="N81" s="1193">
        <f t="shared" si="29"/>
        <v>-3.6400000000000002E-2</v>
      </c>
      <c r="Z81" s="2184"/>
      <c r="AA81" s="2250"/>
      <c r="AG81" s="1280"/>
      <c r="AK81" s="2250"/>
    </row>
    <row r="82" spans="1:37" ht="14.25">
      <c r="A82" s="2329" t="s">
        <v>2770</v>
      </c>
      <c r="B82" s="2333">
        <f>估价对象房地状况!G16</f>
        <v>0</v>
      </c>
      <c r="C82" s="2234" t="s">
        <v>3081</v>
      </c>
      <c r="D82" s="1194">
        <f t="shared" si="25"/>
        <v>0</v>
      </c>
      <c r="E82" s="764"/>
      <c r="F82" s="2000"/>
      <c r="G82" s="1192">
        <f t="shared" ref="G82:G88" si="30">H82</f>
        <v>2.3099999999999999E-2</v>
      </c>
      <c r="H82" s="1196">
        <f t="shared" si="26"/>
        <v>2.3099999999999999E-2</v>
      </c>
      <c r="I82" s="758">
        <v>0.33</v>
      </c>
      <c r="J82" s="1193">
        <f t="shared" si="27"/>
        <v>4.6199999999999998E-2</v>
      </c>
      <c r="K82" s="1193">
        <f t="shared" si="28"/>
        <v>2.3099999999999999E-2</v>
      </c>
      <c r="L82" s="1193">
        <v>0</v>
      </c>
      <c r="M82" s="1193">
        <f t="shared" si="29"/>
        <v>-2.3099999999999999E-2</v>
      </c>
      <c r="N82" s="1193">
        <f t="shared" si="29"/>
        <v>-4.6199999999999998E-2</v>
      </c>
      <c r="Z82" s="2184"/>
      <c r="AA82" s="2250"/>
      <c r="AG82" s="1280"/>
      <c r="AK82" s="2250"/>
    </row>
    <row r="83" spans="1:37" ht="24">
      <c r="A83" s="2329" t="s">
        <v>2771</v>
      </c>
      <c r="B83" s="2333">
        <f>估价对象房地状况!G17</f>
        <v>0</v>
      </c>
      <c r="C83" s="2234" t="s">
        <v>3082</v>
      </c>
      <c r="D83" s="1194">
        <f t="shared" si="25"/>
        <v>7.0000000000000001E-3</v>
      </c>
      <c r="E83" s="764"/>
      <c r="F83" s="2000"/>
      <c r="G83" s="1192">
        <f t="shared" si="30"/>
        <v>3.5000000000000001E-3</v>
      </c>
      <c r="H83" s="1196">
        <f t="shared" si="26"/>
        <v>3.5000000000000001E-3</v>
      </c>
      <c r="I83" s="758">
        <v>0.05</v>
      </c>
      <c r="J83" s="1193">
        <f t="shared" si="27"/>
        <v>7.0000000000000001E-3</v>
      </c>
      <c r="K83" s="1193">
        <f t="shared" si="28"/>
        <v>3.5000000000000001E-3</v>
      </c>
      <c r="L83" s="1193">
        <v>0</v>
      </c>
      <c r="M83" s="1193">
        <f t="shared" si="29"/>
        <v>-3.5000000000000001E-3</v>
      </c>
      <c r="N83" s="1193">
        <f t="shared" si="29"/>
        <v>-7.0000000000000001E-3</v>
      </c>
      <c r="Z83" s="2184"/>
      <c r="AA83" s="2250"/>
      <c r="AG83" s="1280"/>
      <c r="AK83" s="2250"/>
    </row>
    <row r="84" spans="1:37" ht="14.25">
      <c r="A84" s="2329" t="s">
        <v>2785</v>
      </c>
      <c r="B84" s="2333">
        <f>估价对象房地状况!G22</f>
        <v>0</v>
      </c>
      <c r="C84" s="2234" t="s">
        <v>3083</v>
      </c>
      <c r="D84" s="1194">
        <f t="shared" si="25"/>
        <v>-2.8E-3</v>
      </c>
      <c r="E84" s="764"/>
      <c r="F84" s="2000"/>
      <c r="G84" s="1192">
        <f t="shared" si="30"/>
        <v>2.8E-3</v>
      </c>
      <c r="H84" s="1196">
        <f t="shared" si="26"/>
        <v>2.8E-3</v>
      </c>
      <c r="I84" s="758">
        <v>0.04</v>
      </c>
      <c r="J84" s="1193">
        <f t="shared" si="27"/>
        <v>5.5999999999999999E-3</v>
      </c>
      <c r="K84" s="1193">
        <f t="shared" si="28"/>
        <v>2.8E-3</v>
      </c>
      <c r="L84" s="1193">
        <v>0</v>
      </c>
      <c r="M84" s="1193">
        <f t="shared" si="29"/>
        <v>-2.8E-3</v>
      </c>
      <c r="N84" s="1193">
        <f t="shared" si="29"/>
        <v>-5.5999999999999999E-3</v>
      </c>
      <c r="Z84" s="2184"/>
      <c r="AA84" s="2250"/>
      <c r="AG84" s="1280"/>
      <c r="AK84" s="2250"/>
    </row>
    <row r="85" spans="1:37" ht="24">
      <c r="A85" s="2329" t="s">
        <v>2777</v>
      </c>
      <c r="B85" s="1494">
        <f>估价对象房地状况!G19</f>
        <v>0</v>
      </c>
      <c r="C85" s="2234" t="s">
        <v>3083</v>
      </c>
      <c r="D85" s="1194">
        <f t="shared" si="25"/>
        <v>-4.1999999999999997E-3</v>
      </c>
      <c r="E85" s="764"/>
      <c r="F85" s="2000"/>
      <c r="G85" s="1192">
        <f t="shared" si="30"/>
        <v>4.1999999999999997E-3</v>
      </c>
      <c r="H85" s="1196">
        <f t="shared" si="26"/>
        <v>4.1999999999999997E-3</v>
      </c>
      <c r="I85" s="758">
        <v>0.06</v>
      </c>
      <c r="J85" s="1193">
        <f t="shared" si="27"/>
        <v>8.3999999999999995E-3</v>
      </c>
      <c r="K85" s="1193">
        <f t="shared" si="28"/>
        <v>4.1999999999999997E-3</v>
      </c>
      <c r="L85" s="1193">
        <v>0</v>
      </c>
      <c r="M85" s="1193">
        <f t="shared" si="29"/>
        <v>-4.1999999999999997E-3</v>
      </c>
      <c r="N85" s="1193">
        <f t="shared" si="29"/>
        <v>-8.3999999999999995E-3</v>
      </c>
      <c r="Z85" s="2184"/>
      <c r="AA85" s="2250"/>
      <c r="AG85" s="1280"/>
      <c r="AK85" s="2250"/>
    </row>
    <row r="86" spans="1:37" ht="24">
      <c r="A86" s="2329" t="s">
        <v>2778</v>
      </c>
      <c r="B86" s="1494">
        <f>估价对象房地状况!G20</f>
        <v>0</v>
      </c>
      <c r="C86" s="2234" t="s">
        <v>3080</v>
      </c>
      <c r="D86" s="1194">
        <f t="shared" si="25"/>
        <v>1.0500000000000001E-2</v>
      </c>
      <c r="E86" s="764"/>
      <c r="F86" s="2000"/>
      <c r="G86" s="1192">
        <f t="shared" si="30"/>
        <v>1.0500000000000001E-2</v>
      </c>
      <c r="H86" s="1196">
        <f t="shared" si="26"/>
        <v>1.0500000000000001E-2</v>
      </c>
      <c r="I86" s="758">
        <v>0.15</v>
      </c>
      <c r="J86" s="1193">
        <f t="shared" si="27"/>
        <v>2.1000000000000001E-2</v>
      </c>
      <c r="K86" s="1193">
        <f t="shared" si="28"/>
        <v>1.0500000000000001E-2</v>
      </c>
      <c r="L86" s="1193">
        <v>0</v>
      </c>
      <c r="M86" s="1193">
        <f t="shared" si="29"/>
        <v>-1.0500000000000001E-2</v>
      </c>
      <c r="N86" s="1193">
        <f t="shared" si="29"/>
        <v>-2.1000000000000001E-2</v>
      </c>
      <c r="Z86" s="2184"/>
      <c r="AA86" s="2250"/>
      <c r="AG86" s="1280"/>
      <c r="AK86" s="2250"/>
    </row>
    <row r="87" spans="1:37" ht="24">
      <c r="A87" s="2329" t="s">
        <v>2775</v>
      </c>
      <c r="B87" s="2335" t="s">
        <v>2789</v>
      </c>
      <c r="C87" s="2234" t="s">
        <v>3082</v>
      </c>
      <c r="D87" s="1194">
        <f t="shared" si="25"/>
        <v>7.0000000000000001E-3</v>
      </c>
      <c r="E87" s="764"/>
      <c r="F87" s="2000"/>
      <c r="G87" s="1192">
        <f t="shared" si="30"/>
        <v>3.5000000000000001E-3</v>
      </c>
      <c r="H87" s="1196">
        <f t="shared" si="26"/>
        <v>3.5000000000000001E-3</v>
      </c>
      <c r="I87" s="758">
        <v>0.05</v>
      </c>
      <c r="J87" s="1193">
        <f t="shared" si="27"/>
        <v>7.0000000000000001E-3</v>
      </c>
      <c r="K87" s="1193">
        <f t="shared" si="28"/>
        <v>3.5000000000000001E-3</v>
      </c>
      <c r="L87" s="1193">
        <v>0</v>
      </c>
      <c r="M87" s="1193">
        <f t="shared" si="29"/>
        <v>-3.5000000000000001E-3</v>
      </c>
      <c r="N87" s="1193">
        <f t="shared" si="29"/>
        <v>-7.0000000000000001E-3</v>
      </c>
      <c r="Z87" s="2184"/>
      <c r="AA87" s="2250"/>
      <c r="AG87" s="1280"/>
      <c r="AK87" s="2250"/>
    </row>
    <row r="88" spans="1:37" ht="15" thickBot="1">
      <c r="A88" s="2337" t="s">
        <v>2790</v>
      </c>
      <c r="B88" s="2342">
        <f>估价对象房地状况!G18</f>
        <v>0</v>
      </c>
      <c r="C88" s="2234" t="s">
        <v>3080</v>
      </c>
      <c r="D88" s="1194">
        <f t="shared" si="25"/>
        <v>4.1999999999999997E-3</v>
      </c>
      <c r="E88" s="765"/>
      <c r="F88" s="2000"/>
      <c r="G88" s="1192">
        <f t="shared" si="30"/>
        <v>4.1999999999999997E-3</v>
      </c>
      <c r="H88" s="1196">
        <f t="shared" si="26"/>
        <v>4.1999999999999997E-3</v>
      </c>
      <c r="I88" s="762">
        <v>0.06</v>
      </c>
      <c r="J88" s="1193">
        <f t="shared" si="27"/>
        <v>8.3999999999999995E-3</v>
      </c>
      <c r="K88" s="1193">
        <f t="shared" si="28"/>
        <v>4.1999999999999997E-3</v>
      </c>
      <c r="L88" s="1193">
        <v>0</v>
      </c>
      <c r="M88" s="1193">
        <f t="shared" si="29"/>
        <v>-4.1999999999999997E-3</v>
      </c>
      <c r="N88" s="1193">
        <f t="shared" si="29"/>
        <v>-8.3999999999999995E-3</v>
      </c>
      <c r="Z88" s="2184"/>
      <c r="AA88" s="2250"/>
      <c r="AG88" s="1280"/>
      <c r="AK88" s="2250"/>
    </row>
    <row r="90" spans="1:37">
      <c r="A90" s="3304" t="s">
        <v>2791</v>
      </c>
      <c r="B90" s="3304"/>
      <c r="C90" s="3304"/>
      <c r="D90" s="3304"/>
      <c r="E90" s="3304"/>
      <c r="F90" s="3304"/>
      <c r="G90" s="3304"/>
      <c r="H90" s="3304"/>
      <c r="I90" s="3304"/>
      <c r="J90" s="3304"/>
      <c r="K90" s="2343"/>
      <c r="L90" s="2343"/>
      <c r="M90" s="2343"/>
      <c r="N90" s="2343"/>
    </row>
    <row r="91" spans="1:37">
      <c r="A91" s="3306" t="s">
        <v>2792</v>
      </c>
      <c r="B91" s="3306" t="s">
        <v>2793</v>
      </c>
      <c r="C91" s="2297" t="s">
        <v>2794</v>
      </c>
      <c r="D91" s="2298"/>
      <c r="E91" s="2298"/>
      <c r="F91" s="2298"/>
      <c r="G91" s="2298"/>
      <c r="H91" s="2298"/>
      <c r="I91" s="2298"/>
      <c r="J91" s="2344"/>
      <c r="K91" s="2345"/>
      <c r="L91" s="2345"/>
      <c r="M91" s="2345"/>
      <c r="N91" s="2345"/>
    </row>
    <row r="92" spans="1:37">
      <c r="A92" s="3306"/>
      <c r="B92" s="3306"/>
      <c r="C92" s="878" t="s">
        <v>2662</v>
      </c>
      <c r="D92" s="878" t="s">
        <v>2663</v>
      </c>
      <c r="E92" s="878" t="s">
        <v>2664</v>
      </c>
      <c r="F92" s="878" t="s">
        <v>2665</v>
      </c>
      <c r="G92" s="878" t="s">
        <v>2666</v>
      </c>
      <c r="H92" s="878" t="s">
        <v>2667</v>
      </c>
      <c r="I92" s="878" t="s">
        <v>2668</v>
      </c>
      <c r="J92" s="878" t="s">
        <v>2669</v>
      </c>
      <c r="K92" s="878" t="s">
        <v>2670</v>
      </c>
      <c r="L92" s="878" t="s">
        <v>2671</v>
      </c>
      <c r="M92" s="878" t="s">
        <v>2672</v>
      </c>
      <c r="N92" s="878" t="s">
        <v>2673</v>
      </c>
    </row>
    <row r="93" spans="1:37">
      <c r="A93" s="3307" t="s">
        <v>2795</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08"/>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08"/>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08"/>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08"/>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08"/>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08"/>
      <c r="B99" s="2346" t="s">
        <v>2678</v>
      </c>
      <c r="C99" s="2348">
        <f>$I$3</f>
        <v>0</v>
      </c>
      <c r="D99" s="2348">
        <f t="shared" ref="D99:M99" si="31">$I$3</f>
        <v>0</v>
      </c>
      <c r="E99" s="2348">
        <f t="shared" si="31"/>
        <v>0</v>
      </c>
      <c r="F99" s="2348">
        <f t="shared" si="31"/>
        <v>0</v>
      </c>
      <c r="G99" s="2348">
        <f t="shared" si="31"/>
        <v>0</v>
      </c>
      <c r="H99" s="2348">
        <f t="shared" si="31"/>
        <v>0</v>
      </c>
      <c r="I99" s="2348">
        <f t="shared" si="31"/>
        <v>0</v>
      </c>
      <c r="J99" s="2348">
        <f t="shared" si="31"/>
        <v>0</v>
      </c>
      <c r="K99" s="2348">
        <f t="shared" si="31"/>
        <v>0</v>
      </c>
      <c r="L99" s="2348">
        <f t="shared" si="31"/>
        <v>0</v>
      </c>
      <c r="M99" s="2348">
        <f t="shared" si="31"/>
        <v>0</v>
      </c>
      <c r="N99" s="2348">
        <f>$I$3</f>
        <v>0</v>
      </c>
    </row>
    <row r="100" spans="1:14">
      <c r="A100" s="3309"/>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07" t="s">
        <v>2796</v>
      </c>
      <c r="B101" s="2350" t="s">
        <v>2797</v>
      </c>
      <c r="C101" s="2351">
        <f>$G$3</f>
        <v>0.89</v>
      </c>
      <c r="D101" s="2351">
        <f t="shared" ref="D101:N101" si="32">$G$3</f>
        <v>0.89</v>
      </c>
      <c r="E101" s="2351">
        <f t="shared" si="32"/>
        <v>0.89</v>
      </c>
      <c r="F101" s="2351">
        <f t="shared" si="32"/>
        <v>0.89</v>
      </c>
      <c r="G101" s="2351">
        <f t="shared" si="32"/>
        <v>0.89</v>
      </c>
      <c r="H101" s="2351">
        <f t="shared" si="32"/>
        <v>0.89</v>
      </c>
      <c r="I101" s="2351">
        <f t="shared" si="32"/>
        <v>0.89</v>
      </c>
      <c r="J101" s="2351">
        <f t="shared" si="32"/>
        <v>0.89</v>
      </c>
      <c r="K101" s="2351">
        <f t="shared" si="32"/>
        <v>0.89</v>
      </c>
      <c r="L101" s="2351">
        <f t="shared" si="32"/>
        <v>0.89</v>
      </c>
      <c r="M101" s="2351">
        <f t="shared" si="32"/>
        <v>0.89</v>
      </c>
      <c r="N101" s="2351">
        <f t="shared" si="32"/>
        <v>0.89</v>
      </c>
    </row>
    <row r="102" spans="1:14">
      <c r="A102" s="3308"/>
      <c r="B102" s="2346">
        <v>1</v>
      </c>
      <c r="C102" s="2347">
        <f>1.9362/C101</f>
        <v>2.1755056179775281</v>
      </c>
      <c r="D102" s="2347">
        <f>1.9362/D101</f>
        <v>2.1755056179775281</v>
      </c>
      <c r="E102" s="2347">
        <f>1.8629/E101</f>
        <v>2.0931460674157303</v>
      </c>
      <c r="F102" s="2347">
        <f>1.8629/F101</f>
        <v>2.0931460674157303</v>
      </c>
      <c r="G102" s="2347">
        <f>1.8629/G101</f>
        <v>2.0931460674157303</v>
      </c>
      <c r="H102" s="2347">
        <f>1.8629/H101</f>
        <v>2.0931460674157303</v>
      </c>
      <c r="I102" s="2347">
        <f>1.8629/I101</f>
        <v>2.0931460674157303</v>
      </c>
      <c r="J102" s="2347">
        <f>1.942/J101</f>
        <v>2.1820224719101122</v>
      </c>
      <c r="K102" s="2347">
        <f>1.942/K101</f>
        <v>2.1820224719101122</v>
      </c>
      <c r="L102" s="2347">
        <f>1.942/L101</f>
        <v>2.1820224719101122</v>
      </c>
      <c r="M102" s="2347">
        <f>1.942/M101</f>
        <v>2.1820224719101122</v>
      </c>
      <c r="N102" s="2347">
        <f>1.942/N101</f>
        <v>2.1820224719101122</v>
      </c>
    </row>
    <row r="103" spans="1:14">
      <c r="A103" s="3308"/>
      <c r="B103" s="2346">
        <v>2</v>
      </c>
      <c r="C103" s="2347">
        <f>1.4198/C101</f>
        <v>1.5952808988764045</v>
      </c>
      <c r="D103" s="2347">
        <f>1.4198/D101</f>
        <v>1.5952808988764045</v>
      </c>
      <c r="E103" s="2347">
        <f>1.3372/E101</f>
        <v>1.5024719101123594</v>
      </c>
      <c r="F103" s="2347">
        <f>1.3372/F101</f>
        <v>1.5024719101123594</v>
      </c>
      <c r="G103" s="2347">
        <f>1.3372/G101</f>
        <v>1.5024719101123594</v>
      </c>
      <c r="H103" s="2347">
        <f>1.3372/H101</f>
        <v>1.5024719101123594</v>
      </c>
      <c r="I103" s="2347">
        <f>1.3372/I101</f>
        <v>1.5024719101123594</v>
      </c>
      <c r="J103" s="2347">
        <f>1.2799/J101</f>
        <v>1.4380898876404495</v>
      </c>
      <c r="K103" s="2347">
        <f>1.2799/K101</f>
        <v>1.4380898876404495</v>
      </c>
      <c r="L103" s="2347">
        <f>1.2799/L101</f>
        <v>1.4380898876404495</v>
      </c>
      <c r="M103" s="2347">
        <f>1.2799/M101</f>
        <v>1.4380898876404495</v>
      </c>
      <c r="N103" s="2347">
        <f>1.2799/N101</f>
        <v>1.4380898876404495</v>
      </c>
    </row>
    <row r="104" spans="1:14">
      <c r="A104" s="3308"/>
      <c r="B104" s="2346">
        <v>3</v>
      </c>
      <c r="C104" s="2347">
        <f>1.1594/C101</f>
        <v>1.3026966292134832</v>
      </c>
      <c r="D104" s="2347">
        <f>1.1594/D101</f>
        <v>1.3026966292134832</v>
      </c>
      <c r="E104" s="2347">
        <f>1.0788/E101</f>
        <v>1.2121348314606741</v>
      </c>
      <c r="F104" s="2347">
        <f>1.0788/F101</f>
        <v>1.2121348314606741</v>
      </c>
      <c r="G104" s="2347">
        <f>1.0788/G101</f>
        <v>1.2121348314606741</v>
      </c>
      <c r="H104" s="2347">
        <f>1.0788/H101</f>
        <v>1.2121348314606741</v>
      </c>
      <c r="I104" s="2347">
        <f>1.0788/I101</f>
        <v>1.2121348314606741</v>
      </c>
      <c r="J104" s="2347">
        <f>1.0072/J101</f>
        <v>1.131685393258427</v>
      </c>
      <c r="K104" s="2347">
        <f>1.0072/K101</f>
        <v>1.131685393258427</v>
      </c>
      <c r="L104" s="2347">
        <f>1.0072/L101</f>
        <v>1.131685393258427</v>
      </c>
      <c r="M104" s="2347">
        <f>1.0072/M101</f>
        <v>1.131685393258427</v>
      </c>
      <c r="N104" s="2347">
        <f>1.0072/N101</f>
        <v>1.131685393258427</v>
      </c>
    </row>
    <row r="105" spans="1:14">
      <c r="A105" s="3308"/>
      <c r="B105" s="2346">
        <v>4</v>
      </c>
      <c r="C105" s="2347">
        <f>0.9622/C101</f>
        <v>1.081123595505618</v>
      </c>
      <c r="D105" s="2347">
        <f>0.9622/D101</f>
        <v>1.081123595505618</v>
      </c>
      <c r="E105" s="2347">
        <f>0.8656/E101</f>
        <v>0.97258426966292133</v>
      </c>
      <c r="F105" s="2347">
        <f>0.8656/F101</f>
        <v>0.97258426966292133</v>
      </c>
      <c r="G105" s="2347">
        <f>0.8656/G101</f>
        <v>0.97258426966292133</v>
      </c>
      <c r="H105" s="2347">
        <f>0.8656/H101</f>
        <v>0.97258426966292133</v>
      </c>
      <c r="I105" s="2347">
        <f>0.8656/I101</f>
        <v>0.97258426966292133</v>
      </c>
      <c r="J105" s="2347">
        <f>0.7525/J101</f>
        <v>0.84550561797752799</v>
      </c>
      <c r="K105" s="2347">
        <f>0.7525/K101</f>
        <v>0.84550561797752799</v>
      </c>
      <c r="L105" s="2347">
        <f>0.7525/L101</f>
        <v>0.84550561797752799</v>
      </c>
      <c r="M105" s="2347">
        <f>0.7525/M101</f>
        <v>0.84550561797752799</v>
      </c>
      <c r="N105" s="2347">
        <f>0.7525/N101</f>
        <v>0.84550561797752799</v>
      </c>
    </row>
    <row r="106" spans="1:14">
      <c r="A106" s="3308"/>
      <c r="B106" s="2346">
        <v>5</v>
      </c>
      <c r="C106" s="2347">
        <f>0.8417/C101</f>
        <v>0.94573033707865173</v>
      </c>
      <c r="D106" s="2347">
        <f>0.8417/D101</f>
        <v>0.94573033707865173</v>
      </c>
      <c r="E106" s="2347">
        <f>0.7371/E101</f>
        <v>0.82820224719101121</v>
      </c>
      <c r="F106" s="2347">
        <f>0.7371/F101</f>
        <v>0.82820224719101121</v>
      </c>
      <c r="G106" s="2347">
        <f>0.7371/G101</f>
        <v>0.82820224719101121</v>
      </c>
      <c r="H106" s="2347">
        <f>0.7371/H101</f>
        <v>0.82820224719101121</v>
      </c>
      <c r="I106" s="2347">
        <f>0.7371/I101</f>
        <v>0.82820224719101121</v>
      </c>
      <c r="J106" s="2347">
        <f>0.5659/J101</f>
        <v>0.63584269662921344</v>
      </c>
      <c r="K106" s="2347">
        <f>0.5659/K101</f>
        <v>0.63584269662921344</v>
      </c>
      <c r="L106" s="2347">
        <f>0.5659/L101</f>
        <v>0.63584269662921344</v>
      </c>
      <c r="M106" s="2347">
        <f>0.5659/M101</f>
        <v>0.63584269662921344</v>
      </c>
      <c r="N106" s="2347">
        <f>0.5659/N101</f>
        <v>0.63584269662921344</v>
      </c>
    </row>
    <row r="107" spans="1:14">
      <c r="A107" s="3308"/>
      <c r="B107" s="2346">
        <v>6</v>
      </c>
      <c r="C107" s="2347">
        <f>0.7608/C101</f>
        <v>0.85483146067415727</v>
      </c>
      <c r="D107" s="2347">
        <f>0.7608/D101</f>
        <v>0.85483146067415727</v>
      </c>
      <c r="E107" s="2347">
        <f>0.6482/E101</f>
        <v>0.728314606741573</v>
      </c>
      <c r="F107" s="2347">
        <f>0.6482/F101</f>
        <v>0.728314606741573</v>
      </c>
      <c r="G107" s="2347">
        <f>0.6482/G101</f>
        <v>0.728314606741573</v>
      </c>
      <c r="H107" s="2347">
        <f>0.6482/H101</f>
        <v>0.728314606741573</v>
      </c>
      <c r="I107" s="2347">
        <f>0.6482/I101</f>
        <v>0.728314606741573</v>
      </c>
      <c r="J107" s="2347">
        <f>0.4525/J101</f>
        <v>0.5084269662921348</v>
      </c>
      <c r="K107" s="2347">
        <f>0.4525/K101</f>
        <v>0.5084269662921348</v>
      </c>
      <c r="L107" s="2347">
        <f>0.4525/L101</f>
        <v>0.5084269662921348</v>
      </c>
      <c r="M107" s="2347">
        <f>0.4525/M101</f>
        <v>0.5084269662921348</v>
      </c>
      <c r="N107" s="2347">
        <f>0.4525/N101</f>
        <v>0.5084269662921348</v>
      </c>
    </row>
    <row r="108" spans="1:14">
      <c r="A108" s="3308"/>
      <c r="B108" s="3310" t="s">
        <v>2798</v>
      </c>
      <c r="C108" s="2348">
        <f>C99</f>
        <v>0</v>
      </c>
      <c r="D108" s="2348">
        <f t="shared" ref="D108:N108" si="33">D99</f>
        <v>0</v>
      </c>
      <c r="E108" s="2348">
        <f t="shared" si="33"/>
        <v>0</v>
      </c>
      <c r="F108" s="2348">
        <f t="shared" si="33"/>
        <v>0</v>
      </c>
      <c r="G108" s="2348">
        <f t="shared" si="33"/>
        <v>0</v>
      </c>
      <c r="H108" s="2348">
        <f t="shared" si="33"/>
        <v>0</v>
      </c>
      <c r="I108" s="2348">
        <f t="shared" si="33"/>
        <v>0</v>
      </c>
      <c r="J108" s="2348">
        <f t="shared" si="33"/>
        <v>0</v>
      </c>
      <c r="K108" s="2348">
        <f t="shared" si="33"/>
        <v>0</v>
      </c>
      <c r="L108" s="2348">
        <f t="shared" si="33"/>
        <v>0</v>
      </c>
      <c r="M108" s="2348">
        <f t="shared" si="33"/>
        <v>0</v>
      </c>
      <c r="N108" s="2348">
        <f t="shared" si="33"/>
        <v>0</v>
      </c>
    </row>
    <row r="109" spans="1:14">
      <c r="A109" s="3309"/>
      <c r="B109" s="3311"/>
      <c r="C109" s="2349">
        <f>(-0.163*(C108^2)-0.59*C108+7617)*(10^(-4))/C101</f>
        <v>0.85584269662921353</v>
      </c>
      <c r="D109" s="2349">
        <f>(-0.163*(D108^2)-0.59*D108+7617)*(10^(-4))/D101</f>
        <v>0.85584269662921353</v>
      </c>
      <c r="E109" s="2349">
        <f>(-0.161*(E108^2)-7.509*E108+6533)*(10^(-4))/E101</f>
        <v>0.73404494382022467</v>
      </c>
      <c r="F109" s="2349">
        <f>(-0.161*(F108^2)-7.509*F108+6533)*(10^(-4))/F101</f>
        <v>0.73404494382022467</v>
      </c>
      <c r="G109" s="2349">
        <f>(-0.161*(G108^2)-7.509*G108+6533)*(10^(-4))/G101</f>
        <v>0.73404494382022467</v>
      </c>
      <c r="H109" s="2349">
        <f>(-0.161*(H108^2)-7.509*H108+6533)*(10^(-4))/H101</f>
        <v>0.73404494382022467</v>
      </c>
      <c r="I109" s="2349">
        <f>(-0.161*(I108^2)-7.509*I108+6533)*(10^(-4))/I101</f>
        <v>0.73404494382022467</v>
      </c>
      <c r="J109" s="2349">
        <f>(-0.214*(J108^2)-21.991*J108+4665)*(10^(-4))/J101</f>
        <v>0.52415730337078659</v>
      </c>
      <c r="K109" s="2349">
        <f>(-0.214*(K108^2)-21.991*K108+4665)*(10^(-4))/K101</f>
        <v>0.52415730337078659</v>
      </c>
      <c r="L109" s="2349">
        <f>(-0.214*(L108^2)-21.991*L108+4665)*(10^(-4))/L101</f>
        <v>0.52415730337078659</v>
      </c>
      <c r="M109" s="2349">
        <f>(-0.214*(M108^2)-21.991*M108+4665)*(10^(-4))/M101</f>
        <v>0.52415730337078659</v>
      </c>
      <c r="N109" s="2349">
        <f>(-0.214*(N108^2)-21.991*N108+4665)*(10^(-4))/N101</f>
        <v>0.52415730337078659</v>
      </c>
    </row>
    <row r="110" spans="1:14">
      <c r="A110" s="3305" t="s">
        <v>2799</v>
      </c>
      <c r="B110" s="3305"/>
      <c r="C110" s="3305"/>
      <c r="D110" s="3305"/>
      <c r="E110" s="3305"/>
      <c r="F110" s="3305"/>
      <c r="G110" s="3305"/>
      <c r="H110" s="3305"/>
      <c r="I110" s="3305"/>
      <c r="J110" s="3305"/>
      <c r="K110" s="2352"/>
      <c r="L110" s="2352"/>
      <c r="M110" s="2352"/>
      <c r="N110" s="2352"/>
    </row>
    <row r="112" spans="1:14" ht="13.5" thickBot="1"/>
    <row r="113" spans="1:13" ht="15.75" thickBot="1">
      <c r="A113" s="841" t="s">
        <v>2800</v>
      </c>
      <c r="B113" s="1195">
        <f>G3</f>
        <v>0.89</v>
      </c>
      <c r="C113" s="842" t="s">
        <v>2801</v>
      </c>
      <c r="D113" s="843">
        <f>SUMPRODUCT((A115:A118=F113)*(B114:M114=H113)*B115:M118)</f>
        <v>0.55459999999999998</v>
      </c>
      <c r="E113" s="2188" t="s">
        <v>2635</v>
      </c>
      <c r="F113" s="2354" t="str">
        <f>E2</f>
        <v>工业</v>
      </c>
      <c r="G113" s="2188" t="s">
        <v>2636</v>
      </c>
      <c r="H113" s="2354" t="str">
        <f>G2</f>
        <v>十级</v>
      </c>
      <c r="I113" s="2188"/>
      <c r="J113" s="2355"/>
      <c r="K113" s="2355"/>
      <c r="L113" s="2355"/>
      <c r="M113" s="2355"/>
    </row>
    <row r="114" spans="1:13">
      <c r="A114" s="846"/>
      <c r="B114" s="2356" t="s">
        <v>2802</v>
      </c>
      <c r="C114" s="2356" t="s">
        <v>2803</v>
      </c>
      <c r="D114" s="2356" t="s">
        <v>2804</v>
      </c>
      <c r="E114" s="2357" t="s">
        <v>2805</v>
      </c>
      <c r="F114" s="2357" t="s">
        <v>2806</v>
      </c>
      <c r="G114" s="2357" t="s">
        <v>2807</v>
      </c>
      <c r="H114" s="2358" t="s">
        <v>2808</v>
      </c>
      <c r="I114" s="2358" t="s">
        <v>2809</v>
      </c>
      <c r="J114" s="2359" t="s">
        <v>2810</v>
      </c>
      <c r="K114" s="2359" t="s">
        <v>2811</v>
      </c>
      <c r="L114" s="2359" t="s">
        <v>2812</v>
      </c>
      <c r="M114" s="2360" t="s">
        <v>2813</v>
      </c>
    </row>
    <row r="115" spans="1:13">
      <c r="A115" s="847" t="s">
        <v>2700</v>
      </c>
      <c r="B115" s="848">
        <f>ROUND(0.9335-0.0094*B113,4)</f>
        <v>0.92510000000000003</v>
      </c>
      <c r="C115" s="848">
        <f>B115</f>
        <v>0.92510000000000003</v>
      </c>
      <c r="D115" s="848">
        <f>ROUND(0.8331-0.0109*B113,4)</f>
        <v>0.82340000000000002</v>
      </c>
      <c r="E115" s="848">
        <f>D115</f>
        <v>0.82340000000000002</v>
      </c>
      <c r="F115" s="848">
        <f>E115</f>
        <v>0.82340000000000002</v>
      </c>
      <c r="G115" s="848">
        <f>F115</f>
        <v>0.82340000000000002</v>
      </c>
      <c r="H115" s="848">
        <f>G115</f>
        <v>0.82340000000000002</v>
      </c>
      <c r="I115" s="848">
        <f>ROUND(0.689-0.0155*B113,4)</f>
        <v>0.67520000000000002</v>
      </c>
      <c r="J115" s="848">
        <f t="shared" ref="J115:M118" si="34">I115</f>
        <v>0.67520000000000002</v>
      </c>
      <c r="K115" s="848">
        <f t="shared" si="34"/>
        <v>0.67520000000000002</v>
      </c>
      <c r="L115" s="848">
        <f t="shared" si="34"/>
        <v>0.67520000000000002</v>
      </c>
      <c r="M115" s="849">
        <f t="shared" si="34"/>
        <v>0.67520000000000002</v>
      </c>
    </row>
    <row r="116" spans="1:13">
      <c r="A116" s="847" t="s">
        <v>2701</v>
      </c>
      <c r="B116" s="848">
        <f>ROUND(0.949-0.012*B113,4)</f>
        <v>0.93830000000000002</v>
      </c>
      <c r="C116" s="848">
        <f>B116</f>
        <v>0.93830000000000002</v>
      </c>
      <c r="D116" s="848">
        <f>ROUND(0.8567-0.013*B113,4)</f>
        <v>0.84509999999999996</v>
      </c>
      <c r="E116" s="848">
        <f t="shared" ref="E116:H117" si="35">D116</f>
        <v>0.84509999999999996</v>
      </c>
      <c r="F116" s="848">
        <f t="shared" si="35"/>
        <v>0.84509999999999996</v>
      </c>
      <c r="G116" s="848">
        <f t="shared" si="35"/>
        <v>0.84509999999999996</v>
      </c>
      <c r="H116" s="848">
        <f t="shared" si="35"/>
        <v>0.84509999999999996</v>
      </c>
      <c r="I116" s="848">
        <f>ROUND(0.7694-0.014*B113,4)</f>
        <v>0.75690000000000002</v>
      </c>
      <c r="J116" s="848">
        <f t="shared" si="34"/>
        <v>0.75690000000000002</v>
      </c>
      <c r="K116" s="848">
        <f t="shared" si="34"/>
        <v>0.75690000000000002</v>
      </c>
      <c r="L116" s="848">
        <f t="shared" si="34"/>
        <v>0.75690000000000002</v>
      </c>
      <c r="M116" s="849">
        <f t="shared" si="34"/>
        <v>0.75690000000000002</v>
      </c>
    </row>
    <row r="117" spans="1:13">
      <c r="A117" s="847" t="s">
        <v>2702</v>
      </c>
      <c r="B117" s="848">
        <f>ROUND(0.8808-0.006*B113,4)</f>
        <v>0.87549999999999994</v>
      </c>
      <c r="C117" s="848">
        <f>B117</f>
        <v>0.87549999999999994</v>
      </c>
      <c r="D117" s="848">
        <f>ROUND(0.8748-0.008*B113,4)</f>
        <v>0.86770000000000003</v>
      </c>
      <c r="E117" s="848">
        <f t="shared" si="35"/>
        <v>0.86770000000000003</v>
      </c>
      <c r="F117" s="848">
        <f t="shared" si="35"/>
        <v>0.86770000000000003</v>
      </c>
      <c r="G117" s="848">
        <f t="shared" si="35"/>
        <v>0.86770000000000003</v>
      </c>
      <c r="H117" s="848">
        <f t="shared" si="35"/>
        <v>0.86770000000000003</v>
      </c>
      <c r="I117" s="848">
        <f>ROUND(0.7412-0.0095*B113,4)</f>
        <v>0.73270000000000002</v>
      </c>
      <c r="J117" s="848">
        <f t="shared" si="34"/>
        <v>0.73270000000000002</v>
      </c>
      <c r="K117" s="848">
        <f t="shared" si="34"/>
        <v>0.73270000000000002</v>
      </c>
      <c r="L117" s="848">
        <f t="shared" si="34"/>
        <v>0.73270000000000002</v>
      </c>
      <c r="M117" s="849">
        <f t="shared" si="34"/>
        <v>0.73270000000000002</v>
      </c>
    </row>
    <row r="118" spans="1:13" ht="13.5" thickBot="1">
      <c r="A118" s="669" t="s">
        <v>2703</v>
      </c>
      <c r="B118" s="850">
        <f>ROUND(0.7275-0.01*B113,4)</f>
        <v>0.71860000000000002</v>
      </c>
      <c r="C118" s="850">
        <f>B118</f>
        <v>0.71860000000000002</v>
      </c>
      <c r="D118" s="850">
        <f>ROUND(0.7043-0.012*B113,4)</f>
        <v>0.69359999999999999</v>
      </c>
      <c r="E118" s="850">
        <f>D118</f>
        <v>0.69359999999999999</v>
      </c>
      <c r="F118" s="850">
        <f>E118</f>
        <v>0.69359999999999999</v>
      </c>
      <c r="G118" s="850">
        <f>ROUND(0.6299-0.0122*B113,4)</f>
        <v>0.61899999999999999</v>
      </c>
      <c r="H118" s="850">
        <f>G118</f>
        <v>0.61899999999999999</v>
      </c>
      <c r="I118" s="850">
        <f>ROUND(0.5667-0.0136*B113,4)</f>
        <v>0.55459999999999998</v>
      </c>
      <c r="J118" s="850">
        <f t="shared" si="34"/>
        <v>0.55459999999999998</v>
      </c>
      <c r="K118" s="850">
        <f t="shared" si="34"/>
        <v>0.55459999999999998</v>
      </c>
      <c r="L118" s="850">
        <f t="shared" si="34"/>
        <v>0.55459999999999998</v>
      </c>
      <c r="M118" s="851">
        <f t="shared" si="34"/>
        <v>0.55459999999999998</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 zoomScale="85" zoomScaleNormal="70" zoomScaleSheetLayoutView="85" workbookViewId="0">
      <selection activeCell="M26" sqref="M2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2350</v>
      </c>
      <c r="B1" s="2064" t="s">
        <v>2464</v>
      </c>
      <c r="C1" s="1404" t="s">
        <v>2352</v>
      </c>
      <c r="D1" s="1391" t="s">
        <v>1343</v>
      </c>
      <c r="E1" s="2543"/>
      <c r="F1" s="2065" t="s">
        <v>3180</v>
      </c>
      <c r="G1" s="1401" t="s">
        <v>2465</v>
      </c>
      <c r="H1" s="1400"/>
      <c r="I1" s="1400"/>
      <c r="J1" s="1400"/>
      <c r="K1" s="1402"/>
      <c r="L1" s="1403"/>
      <c r="M1" s="1404"/>
      <c r="N1" s="1404"/>
      <c r="O1" s="1404"/>
      <c r="P1" s="2135"/>
      <c r="Q1" s="2136"/>
      <c r="R1" s="2136"/>
      <c r="S1" s="2136"/>
      <c r="T1" s="2136"/>
      <c r="U1" s="2136"/>
      <c r="V1" s="2136"/>
      <c r="W1" s="2136"/>
      <c r="X1" s="2136"/>
      <c r="Y1" s="2136"/>
      <c r="Z1" s="2136"/>
      <c r="AA1" s="2136"/>
      <c r="AB1" s="2136"/>
      <c r="AC1" s="2137"/>
    </row>
    <row r="2" spans="1:29" s="358" customFormat="1" ht="28.5" customHeight="1" thickTop="1">
      <c r="A2" s="1387" t="s">
        <v>2149</v>
      </c>
      <c r="B2" s="1324">
        <f>IF(C2="——",ROUND(C49*D3/10000,0),ROUND(C49*D3/10000,0)-D2)</f>
        <v>35068</v>
      </c>
      <c r="C2" s="2067" t="s">
        <v>70</v>
      </c>
      <c r="D2" s="1273" t="e">
        <f ca="1">SUMIF(INDIRECT("'"&amp;F2&amp;"'"&amp;"!A:A"),"承租人权益价值",INDIRECT("'"&amp;F2&amp;"'"&amp;"!c:c"))</f>
        <v>#REF!</v>
      </c>
      <c r="E2" s="2068" t="s">
        <v>2150</v>
      </c>
      <c r="F2" s="2069"/>
      <c r="G2" s="1038"/>
      <c r="H2" s="1038"/>
      <c r="I2" s="1038"/>
      <c r="J2" s="1038"/>
      <c r="K2" s="1038"/>
      <c r="L2" s="2963"/>
      <c r="M2" s="2964"/>
      <c r="N2" s="2964"/>
      <c r="O2" s="2964"/>
      <c r="P2" s="2138"/>
      <c r="Q2" s="1042"/>
      <c r="R2" s="1042"/>
      <c r="S2" s="1042"/>
      <c r="T2" s="1042"/>
      <c r="U2" s="1042"/>
      <c r="V2" s="1042"/>
      <c r="W2" s="1042"/>
      <c r="X2" s="1042"/>
      <c r="Y2" s="1042"/>
      <c r="Z2" s="1042"/>
      <c r="AA2" s="1042"/>
      <c r="AB2" s="1042"/>
      <c r="AC2" s="2139"/>
    </row>
    <row r="3" spans="1:29" s="358" customFormat="1" ht="28.5" customHeight="1" thickBot="1">
      <c r="A3" s="209" t="s">
        <v>2151</v>
      </c>
      <c r="B3" s="566">
        <f>IF(C2="——",C49,ROUND(B2*10000/D3,0))</f>
        <v>16319</v>
      </c>
      <c r="C3" s="360" t="s">
        <v>2466</v>
      </c>
      <c r="D3" s="359">
        <f>IF(D1="",'数据-汇总表'!E3,SUMIF('数据-汇总表'!$C19:$C33,D1,'数据-汇总表'!$E19:$E33))</f>
        <v>21489.300000000003</v>
      </c>
      <c r="E3" s="2140"/>
      <c r="F3" s="1039"/>
      <c r="G3" s="1038"/>
      <c r="H3" s="1038"/>
      <c r="I3" s="1038"/>
      <c r="J3" s="1038"/>
      <c r="K3" s="1040"/>
      <c r="L3" s="2963"/>
      <c r="M3" s="2964"/>
      <c r="N3" s="2964"/>
      <c r="O3" s="2964"/>
      <c r="P3" s="2138"/>
      <c r="Q3" s="1042"/>
      <c r="R3" s="1042"/>
      <c r="S3" s="1042"/>
      <c r="T3" s="1042"/>
      <c r="U3" s="1042"/>
      <c r="V3" s="1042"/>
      <c r="W3" s="1042"/>
      <c r="X3" s="1042"/>
      <c r="Y3" s="1042"/>
      <c r="Z3" s="1042"/>
      <c r="AA3" s="1042"/>
      <c r="AB3" s="1042"/>
      <c r="AC3" s="2140"/>
    </row>
    <row r="4" spans="1:29" ht="15">
      <c r="A4" s="361" t="s">
        <v>2467</v>
      </c>
      <c r="B4" s="362"/>
      <c r="C4" s="3277" t="s">
        <v>2468</v>
      </c>
      <c r="D4" s="3278"/>
      <c r="E4" s="3279" t="s">
        <v>2469</v>
      </c>
      <c r="F4" s="3280"/>
      <c r="G4" s="3277" t="s">
        <v>2470</v>
      </c>
      <c r="H4" s="3278"/>
      <c r="I4" s="3277" t="s">
        <v>2471</v>
      </c>
      <c r="J4" s="3278"/>
      <c r="K4" s="567" t="s">
        <v>2472</v>
      </c>
      <c r="L4" s="2944"/>
      <c r="M4" s="2945"/>
      <c r="N4" s="2945"/>
      <c r="O4" s="2945"/>
      <c r="P4" s="3281" t="s">
        <v>2473</v>
      </c>
      <c r="Q4" s="3282"/>
      <c r="R4" s="3264" t="s">
        <v>2469</v>
      </c>
      <c r="S4" s="3265"/>
      <c r="T4" s="3264" t="s">
        <v>2470</v>
      </c>
      <c r="U4" s="3265"/>
      <c r="V4" s="3289" t="s">
        <v>2471</v>
      </c>
      <c r="W4" s="3289"/>
      <c r="X4" s="1539"/>
      <c r="Y4" s="3264" t="s">
        <v>2473</v>
      </c>
      <c r="Z4" s="3265"/>
      <c r="AA4" s="3259" t="s">
        <v>2469</v>
      </c>
      <c r="AB4" s="3289" t="s">
        <v>2470</v>
      </c>
      <c r="AC4" s="3259" t="s">
        <v>2471</v>
      </c>
    </row>
    <row r="5" spans="1:29" ht="15">
      <c r="A5" s="364"/>
      <c r="B5" s="365"/>
      <c r="C5" s="3270" t="s">
        <v>2364</v>
      </c>
      <c r="D5" s="3271"/>
      <c r="E5" s="3328" t="s">
        <v>3195</v>
      </c>
      <c r="F5" s="3269"/>
      <c r="G5" s="3329" t="s">
        <v>3196</v>
      </c>
      <c r="H5" s="3271"/>
      <c r="I5" s="3329" t="s">
        <v>3197</v>
      </c>
      <c r="J5" s="3271"/>
      <c r="K5" s="567"/>
      <c r="L5" s="2944"/>
      <c r="M5" s="2945"/>
      <c r="N5" s="2945"/>
      <c r="O5" s="2945"/>
      <c r="P5" s="3283"/>
      <c r="Q5" s="3284"/>
      <c r="R5" s="3266"/>
      <c r="S5" s="3267"/>
      <c r="T5" s="3266"/>
      <c r="U5" s="3267"/>
      <c r="V5" s="3289"/>
      <c r="W5" s="3289"/>
      <c r="X5" s="1539"/>
      <c r="Y5" s="3266"/>
      <c r="Z5" s="3267"/>
      <c r="AA5" s="3260"/>
      <c r="AB5" s="3289"/>
      <c r="AC5" s="3260"/>
    </row>
    <row r="6" spans="1:29" ht="15.75" thickBot="1">
      <c r="A6" s="366"/>
      <c r="B6" s="367"/>
      <c r="C6" s="3272" t="s">
        <v>2368</v>
      </c>
      <c r="D6" s="3273"/>
      <c r="E6" s="3274" t="s">
        <v>2368</v>
      </c>
      <c r="F6" s="3275"/>
      <c r="G6" s="3272" t="s">
        <v>2368</v>
      </c>
      <c r="H6" s="3273"/>
      <c r="I6" s="3272" t="s">
        <v>2368</v>
      </c>
      <c r="J6" s="3273"/>
      <c r="K6" s="567" t="s">
        <v>2369</v>
      </c>
      <c r="L6" s="2944"/>
      <c r="M6" s="2945"/>
      <c r="N6" s="2945"/>
      <c r="O6" s="2945"/>
      <c r="P6" s="3285"/>
      <c r="Q6" s="3286"/>
      <c r="R6" s="3266"/>
      <c r="S6" s="3267"/>
      <c r="T6" s="3287"/>
      <c r="U6" s="3288"/>
      <c r="V6" s="3289"/>
      <c r="W6" s="3289"/>
      <c r="X6" s="1539"/>
      <c r="Y6" s="3287"/>
      <c r="Z6" s="3288"/>
      <c r="AA6" s="3261"/>
      <c r="AB6" s="3289"/>
      <c r="AC6" s="3261"/>
    </row>
    <row r="7" spans="1:29" s="113" customFormat="1" ht="15.75" thickBot="1">
      <c r="A7" s="368" t="s">
        <v>2370</v>
      </c>
      <c r="B7" s="369"/>
      <c r="C7" s="370">
        <f>'数据-取费表'!B2</f>
        <v>44224</v>
      </c>
      <c r="D7" s="371">
        <v>100</v>
      </c>
      <c r="E7" s="372">
        <v>44222</v>
      </c>
      <c r="F7" s="373">
        <f>SUMIF(58:58,YEAR(E7)&amp;"-"&amp;MONTH(E7),59:59)</f>
        <v>100</v>
      </c>
      <c r="G7" s="372">
        <v>44222</v>
      </c>
      <c r="H7" s="371">
        <f>SUMIF(58:58,YEAR(G7)&amp;"-"&amp;MONTH(G7),59:59)</f>
        <v>100</v>
      </c>
      <c r="I7" s="372">
        <v>44222</v>
      </c>
      <c r="J7" s="371">
        <f>SUMIF(58:58,YEAR(I7)&amp;"-"&amp;MONTH(I7),59:59)</f>
        <v>100</v>
      </c>
      <c r="K7" s="568"/>
      <c r="L7" s="2946"/>
      <c r="M7" s="2947"/>
      <c r="N7" s="2947"/>
      <c r="O7" s="2947"/>
      <c r="P7" s="3262" t="s">
        <v>2371</v>
      </c>
      <c r="Q7" s="3290"/>
      <c r="R7" s="709" t="s">
        <v>17</v>
      </c>
      <c r="S7" s="710">
        <f t="shared" ref="S7:S15" si="0">F7</f>
        <v>100</v>
      </c>
      <c r="T7" s="709" t="s">
        <v>17</v>
      </c>
      <c r="U7" s="710">
        <f t="shared" ref="U7:U15" si="1">H7</f>
        <v>100</v>
      </c>
      <c r="V7" s="709" t="s">
        <v>17</v>
      </c>
      <c r="W7" s="710">
        <f t="shared" ref="W7:W15" si="2">J7</f>
        <v>100</v>
      </c>
      <c r="X7" s="711"/>
      <c r="Y7" s="3262" t="s">
        <v>2371</v>
      </c>
      <c r="Z7" s="3263"/>
      <c r="AA7" s="712">
        <f>D7/F7</f>
        <v>1</v>
      </c>
      <c r="AB7" s="712">
        <f>D7/H7</f>
        <v>1</v>
      </c>
      <c r="AC7" s="712">
        <f>D7/J7</f>
        <v>1</v>
      </c>
    </row>
    <row r="8" spans="1:29" s="113" customFormat="1" ht="15.75" thickBot="1">
      <c r="A8" s="368" t="s">
        <v>2372</v>
      </c>
      <c r="B8" s="369"/>
      <c r="C8" s="374" t="s">
        <v>2474</v>
      </c>
      <c r="D8" s="371">
        <v>100</v>
      </c>
      <c r="E8" s="374" t="s">
        <v>3140</v>
      </c>
      <c r="F8" s="373">
        <f>SUMIF(61:61,E8,62:62)-SUMIF(61:61,C8,62:62)+100</f>
        <v>100</v>
      </c>
      <c r="G8" s="374" t="s">
        <v>3140</v>
      </c>
      <c r="H8" s="371">
        <f>SUMIF(61:61,G8,62:62)-SUMIF(61:61,C8,62:62)+100</f>
        <v>100</v>
      </c>
      <c r="I8" s="374" t="s">
        <v>3140</v>
      </c>
      <c r="J8" s="371">
        <f>SUMIF(61:61,I8,62:62)-SUMIF(61:61,C8,62:62)+100</f>
        <v>100</v>
      </c>
      <c r="K8" s="568"/>
      <c r="L8" s="2946"/>
      <c r="M8" s="2947"/>
      <c r="N8" s="2947"/>
      <c r="O8" s="2947"/>
      <c r="P8" s="3262" t="s">
        <v>2374</v>
      </c>
      <c r="Q8" s="3263"/>
      <c r="R8" s="709" t="s">
        <v>17</v>
      </c>
      <c r="S8" s="710">
        <f t="shared" si="0"/>
        <v>100</v>
      </c>
      <c r="T8" s="709" t="s">
        <v>17</v>
      </c>
      <c r="U8" s="710">
        <f t="shared" si="1"/>
        <v>100</v>
      </c>
      <c r="V8" s="709" t="s">
        <v>17</v>
      </c>
      <c r="W8" s="710">
        <f t="shared" si="2"/>
        <v>100</v>
      </c>
      <c r="X8" s="711"/>
      <c r="Y8" s="3262" t="s">
        <v>2374</v>
      </c>
      <c r="Z8" s="3263"/>
      <c r="AA8" s="712">
        <f t="shared" ref="AA8:AA46" si="3">D8/F8</f>
        <v>1</v>
      </c>
      <c r="AB8" s="712">
        <f t="shared" ref="AB8:AB46" si="4">D8/H8</f>
        <v>1</v>
      </c>
      <c r="AC8" s="712">
        <f t="shared" ref="AC8:AC46" si="5">D8/J8</f>
        <v>1</v>
      </c>
    </row>
    <row r="9" spans="1:29" s="113" customFormat="1">
      <c r="A9" s="375" t="s">
        <v>2375</v>
      </c>
      <c r="B9" s="67" t="s">
        <v>2376</v>
      </c>
      <c r="C9" s="3061" t="s">
        <v>3141</v>
      </c>
      <c r="D9" s="131">
        <v>100</v>
      </c>
      <c r="E9" s="377" t="s">
        <v>1343</v>
      </c>
      <c r="F9" s="378">
        <f>SUMIF(63:63,E9,64:64)-SUMIF(63:63,C9,64:64)+100</f>
        <v>100</v>
      </c>
      <c r="G9" s="377" t="s">
        <v>1343</v>
      </c>
      <c r="H9" s="131">
        <f>SUMIF(63:63,G9,64:64)-SUMIF(63:63,C9,64:64)+100</f>
        <v>100</v>
      </c>
      <c r="I9" s="377" t="s">
        <v>1343</v>
      </c>
      <c r="J9" s="131">
        <f>SUMIF(63:63,I9,64:64)-SUMIF(63:63,C9,64:64)+100</f>
        <v>100</v>
      </c>
      <c r="K9" s="568"/>
      <c r="L9" s="2946"/>
      <c r="M9" s="2947"/>
      <c r="N9" s="2947"/>
      <c r="O9" s="2947"/>
      <c r="P9" s="3300" t="s">
        <v>2377</v>
      </c>
      <c r="Q9" s="1527" t="str">
        <f t="shared" ref="Q9:Q15" si="6">B9</f>
        <v>用途</v>
      </c>
      <c r="R9" s="709" t="s">
        <v>17</v>
      </c>
      <c r="S9" s="710">
        <f t="shared" si="0"/>
        <v>100</v>
      </c>
      <c r="T9" s="709" t="s">
        <v>17</v>
      </c>
      <c r="U9" s="710">
        <f t="shared" si="1"/>
        <v>100</v>
      </c>
      <c r="V9" s="709" t="s">
        <v>17</v>
      </c>
      <c r="W9" s="710">
        <f t="shared" si="2"/>
        <v>100</v>
      </c>
      <c r="X9" s="711"/>
      <c r="Y9" s="3232" t="s">
        <v>2378</v>
      </c>
      <c r="Z9" s="55" t="str">
        <f t="shared" ref="Z9:Z15" si="7">Q9</f>
        <v>用途</v>
      </c>
      <c r="AA9" s="712">
        <f t="shared" si="3"/>
        <v>1</v>
      </c>
      <c r="AB9" s="712">
        <f t="shared" si="4"/>
        <v>1</v>
      </c>
      <c r="AC9" s="712">
        <f t="shared" si="5"/>
        <v>1</v>
      </c>
    </row>
    <row r="10" spans="1:29" s="386" customFormat="1" ht="27">
      <c r="A10" s="380"/>
      <c r="B10" s="381" t="s">
        <v>2379</v>
      </c>
      <c r="C10" s="382" t="s">
        <v>3171</v>
      </c>
      <c r="D10" s="132">
        <v>100</v>
      </c>
      <c r="E10" s="383" t="s">
        <v>3171</v>
      </c>
      <c r="F10" s="384">
        <f>SUMIF(65:65,E10,66:66)-SUMIF(65:65,C10,66:66)+100</f>
        <v>100</v>
      </c>
      <c r="G10" s="382" t="s">
        <v>3171</v>
      </c>
      <c r="H10" s="132">
        <f>SUMIF(65:65,G10,66:66)-SUMIF(65:65,C10,66:66)+100</f>
        <v>100</v>
      </c>
      <c r="I10" s="382" t="s">
        <v>3171</v>
      </c>
      <c r="J10" s="132">
        <f>SUMIF(65:65,I10,66:66)-SUMIF(65:65,C10,66:66)+100</f>
        <v>100</v>
      </c>
      <c r="K10" s="569"/>
      <c r="L10" s="2948"/>
      <c r="M10" s="2949"/>
      <c r="N10" s="2949"/>
      <c r="O10" s="2949"/>
      <c r="P10" s="3300"/>
      <c r="Q10" s="1527" t="str">
        <f t="shared" si="6"/>
        <v>土地使用年限（年）</v>
      </c>
      <c r="R10" s="709" t="s">
        <v>17</v>
      </c>
      <c r="S10" s="710">
        <f t="shared" si="0"/>
        <v>100</v>
      </c>
      <c r="T10" s="709" t="s">
        <v>17</v>
      </c>
      <c r="U10" s="710">
        <f t="shared" si="1"/>
        <v>100</v>
      </c>
      <c r="V10" s="709" t="s">
        <v>17</v>
      </c>
      <c r="W10" s="710">
        <f t="shared" si="2"/>
        <v>100</v>
      </c>
      <c r="X10" s="711"/>
      <c r="Y10" s="3232"/>
      <c r="Z10" s="55" t="str">
        <f t="shared" si="7"/>
        <v>土地使用年限（年）</v>
      </c>
      <c r="AA10" s="712">
        <f t="shared" si="3"/>
        <v>1</v>
      </c>
      <c r="AB10" s="712">
        <f t="shared" si="4"/>
        <v>1</v>
      </c>
      <c r="AC10" s="712">
        <f t="shared" si="5"/>
        <v>1</v>
      </c>
    </row>
    <row r="11" spans="1:29" ht="15.75" thickBot="1">
      <c r="A11" s="387"/>
      <c r="B11" s="381" t="s">
        <v>2380</v>
      </c>
      <c r="C11" s="388">
        <f>'数据-汇总表'!I6</f>
        <v>0.89</v>
      </c>
      <c r="D11" s="132">
        <v>100</v>
      </c>
      <c r="E11" s="389">
        <v>2.1</v>
      </c>
      <c r="F11" s="384">
        <f>LOOKUP(E11,68:68,69:69)-LOOKUP(C11,68:68,69:69)+100</f>
        <v>90</v>
      </c>
      <c r="G11" s="388">
        <v>2</v>
      </c>
      <c r="H11" s="132">
        <f>LOOKUP(G11,68:68,69:69)-LOOKUP(C11,68:68,69:69)+100</f>
        <v>90</v>
      </c>
      <c r="I11" s="388">
        <v>2</v>
      </c>
      <c r="J11" s="132">
        <f>LOOKUP(I11,68:68,69:69)-LOOKUP(C11,68:68,69:69)+100</f>
        <v>90</v>
      </c>
      <c r="K11" s="569">
        <v>5</v>
      </c>
      <c r="L11" s="2950"/>
      <c r="M11" s="2945"/>
      <c r="N11" s="2945"/>
      <c r="O11" s="2945"/>
      <c r="P11" s="3300"/>
      <c r="Q11" s="1527" t="str">
        <f t="shared" si="6"/>
        <v>容积率</v>
      </c>
      <c r="R11" s="709" t="s">
        <v>17</v>
      </c>
      <c r="S11" s="710">
        <f t="shared" si="0"/>
        <v>90</v>
      </c>
      <c r="T11" s="709" t="s">
        <v>17</v>
      </c>
      <c r="U11" s="710">
        <f t="shared" si="1"/>
        <v>90</v>
      </c>
      <c r="V11" s="709" t="s">
        <v>17</v>
      </c>
      <c r="W11" s="710">
        <f t="shared" si="2"/>
        <v>90</v>
      </c>
      <c r="X11" s="711"/>
      <c r="Y11" s="3232"/>
      <c r="Z11" s="55" t="str">
        <f t="shared" si="7"/>
        <v>容积率</v>
      </c>
      <c r="AA11" s="712">
        <f t="shared" si="3"/>
        <v>1.1111111111111112</v>
      </c>
      <c r="AB11" s="712">
        <f t="shared" si="4"/>
        <v>1.1111111111111112</v>
      </c>
      <c r="AC11" s="712">
        <f t="shared" si="5"/>
        <v>1.1111111111111112</v>
      </c>
    </row>
    <row r="12" spans="1:29" s="113" customFormat="1" ht="15" hidden="1">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300"/>
      <c r="Q12" s="1527">
        <f t="shared" si="6"/>
        <v>111</v>
      </c>
      <c r="R12" s="709" t="s">
        <v>17</v>
      </c>
      <c r="S12" s="710">
        <f t="shared" si="0"/>
        <v>100</v>
      </c>
      <c r="T12" s="709" t="s">
        <v>17</v>
      </c>
      <c r="U12" s="710">
        <f t="shared" si="1"/>
        <v>100</v>
      </c>
      <c r="V12" s="709" t="s">
        <v>17</v>
      </c>
      <c r="W12" s="710">
        <f t="shared" si="2"/>
        <v>100</v>
      </c>
      <c r="X12" s="711"/>
      <c r="Y12" s="3232"/>
      <c r="Z12" s="55">
        <f t="shared" si="7"/>
        <v>111</v>
      </c>
      <c r="AA12" s="712">
        <f>D12/F12</f>
        <v>1</v>
      </c>
      <c r="AB12" s="712">
        <f>D12/H12</f>
        <v>1</v>
      </c>
      <c r="AC12" s="712">
        <f>D12/J12</f>
        <v>1</v>
      </c>
    </row>
    <row r="13" spans="1:29" ht="15" hidden="1">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300"/>
      <c r="Q13" s="1527">
        <f t="shared" si="6"/>
        <v>111</v>
      </c>
      <c r="R13" s="709" t="s">
        <v>17</v>
      </c>
      <c r="S13" s="710">
        <f t="shared" si="0"/>
        <v>100</v>
      </c>
      <c r="T13" s="709" t="s">
        <v>17</v>
      </c>
      <c r="U13" s="710">
        <f t="shared" si="1"/>
        <v>100</v>
      </c>
      <c r="V13" s="709" t="s">
        <v>17</v>
      </c>
      <c r="W13" s="710">
        <f t="shared" si="2"/>
        <v>100</v>
      </c>
      <c r="X13" s="711"/>
      <c r="Y13" s="3232"/>
      <c r="Z13" s="55">
        <f t="shared" si="7"/>
        <v>111</v>
      </c>
      <c r="AA13" s="712">
        <f t="shared" si="3"/>
        <v>1</v>
      </c>
      <c r="AB13" s="712">
        <f t="shared" si="4"/>
        <v>1</v>
      </c>
      <c r="AC13" s="712">
        <f t="shared" si="5"/>
        <v>1</v>
      </c>
    </row>
    <row r="14" spans="1:29" ht="15.75" hidden="1"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300"/>
      <c r="Q14" s="1527">
        <f t="shared" si="6"/>
        <v>111</v>
      </c>
      <c r="R14" s="709" t="s">
        <v>17</v>
      </c>
      <c r="S14" s="710">
        <f t="shared" si="0"/>
        <v>100</v>
      </c>
      <c r="T14" s="709" t="s">
        <v>17</v>
      </c>
      <c r="U14" s="710">
        <f t="shared" si="1"/>
        <v>100</v>
      </c>
      <c r="V14" s="709" t="s">
        <v>17</v>
      </c>
      <c r="W14" s="710">
        <f t="shared" si="2"/>
        <v>100</v>
      </c>
      <c r="X14" s="711"/>
      <c r="Y14" s="3232"/>
      <c r="Z14" s="55">
        <f t="shared" si="7"/>
        <v>111</v>
      </c>
      <c r="AA14" s="712">
        <f t="shared" si="3"/>
        <v>1</v>
      </c>
      <c r="AB14" s="712">
        <f t="shared" si="4"/>
        <v>1</v>
      </c>
      <c r="AC14" s="712">
        <f t="shared" si="5"/>
        <v>1</v>
      </c>
    </row>
    <row r="15" spans="1:29" ht="15">
      <c r="A15" s="399" t="s">
        <v>2381</v>
      </c>
      <c r="B15" s="65" t="s">
        <v>2475</v>
      </c>
      <c r="C15" s="2082">
        <f>估价对象房地状况!C4</f>
        <v>0</v>
      </c>
      <c r="D15" s="400">
        <v>100</v>
      </c>
      <c r="E15" s="401"/>
      <c r="F15" s="402">
        <f>SUMIF(76:76,E16,77:77)-SUMIF(76:76,C16,77:77)+100</f>
        <v>100</v>
      </c>
      <c r="G15" s="403"/>
      <c r="H15" s="400">
        <f>SUMIF(76:76,G16,77:77)-SUMIF(76:76,C16,77:77)+100</f>
        <v>100</v>
      </c>
      <c r="I15" s="401"/>
      <c r="J15" s="400">
        <f>SUMIF(76:76,I16,77:77)-SUMIF(76:76,C16,77:77)+100</f>
        <v>104</v>
      </c>
      <c r="K15" s="571">
        <v>2</v>
      </c>
      <c r="L15" s="2951"/>
      <c r="M15" s="2945"/>
      <c r="N15" s="2945"/>
      <c r="O15" s="2945"/>
      <c r="P15" s="3330" t="s">
        <v>2382</v>
      </c>
      <c r="Q15" s="1536" t="str">
        <f t="shared" si="6"/>
        <v>商业繁华度</v>
      </c>
      <c r="R15" s="713" t="s">
        <v>17</v>
      </c>
      <c r="S15" s="714">
        <f t="shared" si="0"/>
        <v>100</v>
      </c>
      <c r="T15" s="713" t="s">
        <v>17</v>
      </c>
      <c r="U15" s="714">
        <f t="shared" si="1"/>
        <v>100</v>
      </c>
      <c r="V15" s="713" t="s">
        <v>17</v>
      </c>
      <c r="W15" s="714">
        <f t="shared" si="2"/>
        <v>104</v>
      </c>
      <c r="X15" s="1539"/>
      <c r="Y15" s="3291" t="s">
        <v>2382</v>
      </c>
      <c r="Z15" s="1540" t="str">
        <f t="shared" si="7"/>
        <v>商业繁华度</v>
      </c>
      <c r="AA15" s="1537">
        <f t="shared" si="3"/>
        <v>1</v>
      </c>
      <c r="AB15" s="1537">
        <f t="shared" si="4"/>
        <v>1</v>
      </c>
      <c r="AC15" s="1537">
        <f t="shared" si="5"/>
        <v>0.96153846153846156</v>
      </c>
    </row>
    <row r="16" spans="1:29" ht="15">
      <c r="A16" s="387"/>
      <c r="B16" s="405"/>
      <c r="C16" s="406" t="str">
        <f>'土地比较法-住宅、综合'!C18</f>
        <v>较差</v>
      </c>
      <c r="D16" s="407"/>
      <c r="E16" s="406" t="str">
        <f>'土地比较法-住宅、综合'!E18</f>
        <v>较差</v>
      </c>
      <c r="F16" s="408"/>
      <c r="G16" s="406" t="str">
        <f>'土地比较法-住宅、综合'!G18</f>
        <v>较差</v>
      </c>
      <c r="H16" s="409"/>
      <c r="I16" s="406" t="s">
        <v>3080</v>
      </c>
      <c r="J16" s="407"/>
      <c r="K16" s="572"/>
      <c r="L16" s="2951"/>
      <c r="M16" s="2945"/>
      <c r="N16" s="2945"/>
      <c r="O16" s="2945"/>
      <c r="P16" s="3331"/>
      <c r="Q16" s="1536"/>
      <c r="R16" s="713"/>
      <c r="S16" s="714"/>
      <c r="T16" s="713"/>
      <c r="U16" s="714"/>
      <c r="V16" s="713"/>
      <c r="W16" s="714"/>
      <c r="X16" s="1539"/>
      <c r="Y16" s="3292"/>
      <c r="Z16" s="1540"/>
      <c r="AA16" s="1537">
        <v>1</v>
      </c>
      <c r="AB16" s="1537">
        <v>1</v>
      </c>
      <c r="AC16" s="1537">
        <v>1</v>
      </c>
    </row>
    <row r="17" spans="1:29" ht="15">
      <c r="A17" s="387"/>
      <c r="B17" s="410" t="s">
        <v>1946</v>
      </c>
      <c r="C17" s="2086">
        <f>估价对象房地状况!C6</f>
        <v>0</v>
      </c>
      <c r="D17" s="409">
        <v>100</v>
      </c>
      <c r="E17" s="411"/>
      <c r="F17" s="412">
        <f>SUMIF(78:78,E18,79:79)-SUMIF(78:78,C18,79:79)+100</f>
        <v>100</v>
      </c>
      <c r="G17" s="413"/>
      <c r="H17" s="414">
        <f>SUMIF(78:78,G18,79:79)-SUMIF(78:78,C18,79:79)+100</f>
        <v>100</v>
      </c>
      <c r="I17" s="411"/>
      <c r="J17" s="414">
        <f>SUMIF(78:78,I18,79:79)-SUMIF(78:78,C18,79:79)+100</f>
        <v>100</v>
      </c>
      <c r="K17" s="571">
        <v>2</v>
      </c>
      <c r="L17" s="2951"/>
      <c r="M17" s="2945"/>
      <c r="N17" s="2945"/>
      <c r="O17" s="2945"/>
      <c r="P17" s="3331"/>
      <c r="Q17" s="1536" t="str">
        <f>B17</f>
        <v>交通便捷度</v>
      </c>
      <c r="R17" s="713" t="s">
        <v>17</v>
      </c>
      <c r="S17" s="714">
        <f>F17</f>
        <v>100</v>
      </c>
      <c r="T17" s="713" t="s">
        <v>17</v>
      </c>
      <c r="U17" s="714">
        <f>H17</f>
        <v>100</v>
      </c>
      <c r="V17" s="713" t="s">
        <v>17</v>
      </c>
      <c r="W17" s="714">
        <f>J17</f>
        <v>100</v>
      </c>
      <c r="X17" s="1539"/>
      <c r="Y17" s="3292"/>
      <c r="Z17" s="1540" t="str">
        <f>Q17</f>
        <v>交通便捷度</v>
      </c>
      <c r="AA17" s="1537">
        <f t="shared" si="3"/>
        <v>1</v>
      </c>
      <c r="AB17" s="1537">
        <f t="shared" si="4"/>
        <v>1</v>
      </c>
      <c r="AC17" s="1537">
        <f t="shared" si="5"/>
        <v>1</v>
      </c>
    </row>
    <row r="18" spans="1:29" ht="15">
      <c r="A18" s="387"/>
      <c r="B18" s="415"/>
      <c r="C18" s="2087" t="str">
        <f>'土地比较法-住宅、综合'!C22</f>
        <v>一般</v>
      </c>
      <c r="D18" s="409"/>
      <c r="E18" s="2087" t="str">
        <f>'土地比较法-住宅、综合'!E22</f>
        <v>一般</v>
      </c>
      <c r="F18" s="412"/>
      <c r="G18" s="2087" t="str">
        <f>'土地比较法-住宅、综合'!G22</f>
        <v>一般</v>
      </c>
      <c r="H18" s="407"/>
      <c r="I18" s="2087" t="str">
        <f>'土地比较法-住宅、综合'!I22</f>
        <v>一般</v>
      </c>
      <c r="J18" s="407"/>
      <c r="K18" s="572"/>
      <c r="L18" s="2951"/>
      <c r="M18" s="2945"/>
      <c r="N18" s="2945"/>
      <c r="O18" s="2945"/>
      <c r="P18" s="3331"/>
      <c r="Q18" s="1536"/>
      <c r="R18" s="713"/>
      <c r="S18" s="714"/>
      <c r="T18" s="713"/>
      <c r="U18" s="714"/>
      <c r="V18" s="713"/>
      <c r="W18" s="714"/>
      <c r="X18" s="1539"/>
      <c r="Y18" s="3292"/>
      <c r="Z18" s="1540"/>
      <c r="AA18" s="1537">
        <v>1</v>
      </c>
      <c r="AB18" s="1537">
        <v>1</v>
      </c>
      <c r="AC18" s="1537">
        <v>1</v>
      </c>
    </row>
    <row r="19" spans="1:29" ht="15">
      <c r="A19" s="387"/>
      <c r="B19" s="410" t="s">
        <v>2476</v>
      </c>
      <c r="C19" s="2086">
        <f>估价对象房地状况!C7</f>
        <v>0</v>
      </c>
      <c r="D19" s="414">
        <v>100</v>
      </c>
      <c r="E19" s="416"/>
      <c r="F19" s="417">
        <f>SUMIF(80:80,E20,81:81)-SUMIF(80:80,C20,81:81)+100</f>
        <v>100</v>
      </c>
      <c r="G19" s="418"/>
      <c r="H19" s="409">
        <f>SUMIF(80:80,G20,81:81)-SUMIF(80:80,C20,81:81)+100</f>
        <v>100</v>
      </c>
      <c r="I19" s="416"/>
      <c r="J19" s="409">
        <f>SUMIF(80:80,I20,81:81)-SUMIF(80:80,C20,81:81)+100</f>
        <v>100</v>
      </c>
      <c r="K19" s="571">
        <v>2</v>
      </c>
      <c r="L19" s="2951"/>
      <c r="M19" s="2945"/>
      <c r="N19" s="2945"/>
      <c r="O19" s="2945"/>
      <c r="P19" s="3331"/>
      <c r="Q19" s="1536" t="str">
        <f>B19</f>
        <v>公共配套设施</v>
      </c>
      <c r="R19" s="713" t="s">
        <v>17</v>
      </c>
      <c r="S19" s="714">
        <f>F19</f>
        <v>100</v>
      </c>
      <c r="T19" s="713" t="s">
        <v>17</v>
      </c>
      <c r="U19" s="714">
        <f>H19</f>
        <v>100</v>
      </c>
      <c r="V19" s="713" t="s">
        <v>17</v>
      </c>
      <c r="W19" s="714">
        <f>J19</f>
        <v>100</v>
      </c>
      <c r="X19" s="1539"/>
      <c r="Y19" s="3292"/>
      <c r="Z19" s="1540" t="str">
        <f>Q19</f>
        <v>公共配套设施</v>
      </c>
      <c r="AA19" s="1537">
        <f t="shared" si="3"/>
        <v>1</v>
      </c>
      <c r="AB19" s="1537">
        <f t="shared" si="4"/>
        <v>1</v>
      </c>
      <c r="AC19" s="1537">
        <f t="shared" si="5"/>
        <v>1</v>
      </c>
    </row>
    <row r="20" spans="1:29" ht="15">
      <c r="A20" s="387"/>
      <c r="B20" s="415"/>
      <c r="C20" s="406" t="str">
        <f>'土地比较法-住宅、综合'!C28</f>
        <v>较差</v>
      </c>
      <c r="D20" s="407"/>
      <c r="E20" s="406" t="str">
        <f>'土地比较法-住宅、综合'!E28</f>
        <v>较差</v>
      </c>
      <c r="F20" s="408"/>
      <c r="G20" s="406" t="str">
        <f>'土地比较法-住宅、综合'!G28</f>
        <v>较差</v>
      </c>
      <c r="H20" s="407"/>
      <c r="I20" s="406" t="str">
        <f>'土地比较法-住宅、综合'!I28</f>
        <v>较差</v>
      </c>
      <c r="J20" s="407"/>
      <c r="K20" s="572"/>
      <c r="L20" s="2951"/>
      <c r="M20" s="2945"/>
      <c r="N20" s="2945"/>
      <c r="O20" s="2945"/>
      <c r="P20" s="3331"/>
      <c r="Q20" s="1536"/>
      <c r="R20" s="713"/>
      <c r="S20" s="714"/>
      <c r="T20" s="713"/>
      <c r="U20" s="714"/>
      <c r="V20" s="713"/>
      <c r="W20" s="714"/>
      <c r="X20" s="1539"/>
      <c r="Y20" s="3292"/>
      <c r="Z20" s="1540"/>
      <c r="AA20" s="1537">
        <v>1</v>
      </c>
      <c r="AB20" s="1537">
        <v>1</v>
      </c>
      <c r="AC20" s="1537">
        <v>1</v>
      </c>
    </row>
    <row r="21" spans="1:29" ht="15">
      <c r="A21" s="387"/>
      <c r="B21" s="1291" t="s">
        <v>2477</v>
      </c>
      <c r="C21" s="2086">
        <f>估价对象房地状况!C8</f>
        <v>0</v>
      </c>
      <c r="D21" s="414">
        <v>100</v>
      </c>
      <c r="E21" s="416"/>
      <c r="F21" s="417">
        <f>SUMIF(82:82,E22,83:83)-SUMIF(82:82,C22,83:83)+100</f>
        <v>100</v>
      </c>
      <c r="G21" s="418"/>
      <c r="H21" s="409">
        <f>SUMIF(82:82,G22,83:83)-SUMIF(82:82,C22,83:83)+100</f>
        <v>100</v>
      </c>
      <c r="I21" s="416"/>
      <c r="J21" s="409">
        <f>SUMIF(82:82,I22,83:83)-SUMIF(82:82,C22,83:83)+100</f>
        <v>100</v>
      </c>
      <c r="K21" s="571">
        <v>2</v>
      </c>
      <c r="L21" s="2951"/>
      <c r="M21" s="2945"/>
      <c r="N21" s="2945"/>
      <c r="O21" s="2945"/>
      <c r="P21" s="3331"/>
      <c r="Q21" s="1536" t="str">
        <f>B21</f>
        <v>基础设施水平</v>
      </c>
      <c r="R21" s="713" t="s">
        <v>17</v>
      </c>
      <c r="S21" s="714">
        <f>F21</f>
        <v>100</v>
      </c>
      <c r="T21" s="713" t="s">
        <v>17</v>
      </c>
      <c r="U21" s="714">
        <f>H21</f>
        <v>100</v>
      </c>
      <c r="V21" s="713" t="s">
        <v>17</v>
      </c>
      <c r="W21" s="714">
        <f>J21</f>
        <v>100</v>
      </c>
      <c r="X21" s="1539"/>
      <c r="Y21" s="3292"/>
      <c r="Z21" s="1540" t="str">
        <f>Q21</f>
        <v>基础设施水平</v>
      </c>
      <c r="AA21" s="1537">
        <f t="shared" ref="AA21" si="8">D21/F21</f>
        <v>1</v>
      </c>
      <c r="AB21" s="1537">
        <f t="shared" ref="AB21" si="9">D21/H21</f>
        <v>1</v>
      </c>
      <c r="AC21" s="1537">
        <f t="shared" ref="AC21" si="10">D21/J21</f>
        <v>1</v>
      </c>
    </row>
    <row r="22" spans="1:29" ht="15">
      <c r="A22" s="387"/>
      <c r="B22" s="1291"/>
      <c r="C22" s="2087" t="str">
        <f>'土地比较法-住宅、综合'!C30</f>
        <v>五通</v>
      </c>
      <c r="D22" s="407"/>
      <c r="E22" s="2087" t="str">
        <f>'土地比较法-住宅、综合'!E30</f>
        <v>五通</v>
      </c>
      <c r="F22" s="408"/>
      <c r="G22" s="2087" t="str">
        <f>'土地比较法-住宅、综合'!G30</f>
        <v>五通</v>
      </c>
      <c r="H22" s="407"/>
      <c r="I22" s="2087" t="str">
        <f>'土地比较法-住宅、综合'!I30</f>
        <v>五通</v>
      </c>
      <c r="J22" s="407"/>
      <c r="K22" s="1290"/>
      <c r="L22" s="2951"/>
      <c r="M22" s="2945"/>
      <c r="N22" s="2945"/>
      <c r="O22" s="2945"/>
      <c r="P22" s="3331"/>
      <c r="Q22" s="1536"/>
      <c r="R22" s="713"/>
      <c r="S22" s="714"/>
      <c r="T22" s="713"/>
      <c r="U22" s="714"/>
      <c r="V22" s="713"/>
      <c r="W22" s="714"/>
      <c r="X22" s="1539"/>
      <c r="Y22" s="3292"/>
      <c r="Z22" s="1540"/>
      <c r="AA22" s="1537">
        <v>1</v>
      </c>
      <c r="AB22" s="1537">
        <v>1</v>
      </c>
      <c r="AC22" s="1537">
        <v>1</v>
      </c>
    </row>
    <row r="23" spans="1:29" ht="15">
      <c r="A23" s="387"/>
      <c r="B23" s="410" t="s">
        <v>1948</v>
      </c>
      <c r="C23" s="2141">
        <f>估价对象房地状况!C9</f>
        <v>0</v>
      </c>
      <c r="D23" s="409">
        <v>100</v>
      </c>
      <c r="E23" s="411"/>
      <c r="F23" s="412">
        <f>SUMIF(84:84,E24,85:85)-SUMIF(84:84,C24,85:85)+100</f>
        <v>100</v>
      </c>
      <c r="G23" s="413"/>
      <c r="H23" s="409">
        <f>SUMIF(84:84,G24,85:85)-SUMIF(84:84,C24,85:85)+100</f>
        <v>100</v>
      </c>
      <c r="I23" s="411"/>
      <c r="J23" s="409">
        <f>SUMIF(84:84,I24,85:85)-SUMIF(84:84,C24,85:85)+100</f>
        <v>100</v>
      </c>
      <c r="K23" s="571">
        <v>3</v>
      </c>
      <c r="L23" s="2951"/>
      <c r="M23" s="2945"/>
      <c r="N23" s="2945"/>
      <c r="O23" s="2945"/>
      <c r="P23" s="3331"/>
      <c r="Q23" s="1536" t="str">
        <f>B23</f>
        <v>自然及人文环境</v>
      </c>
      <c r="R23" s="713" t="s">
        <v>17</v>
      </c>
      <c r="S23" s="714">
        <f>F23</f>
        <v>100</v>
      </c>
      <c r="T23" s="713" t="s">
        <v>17</v>
      </c>
      <c r="U23" s="714">
        <f>H23</f>
        <v>100</v>
      </c>
      <c r="V23" s="713" t="s">
        <v>17</v>
      </c>
      <c r="W23" s="714">
        <f>J23</f>
        <v>100</v>
      </c>
      <c r="X23" s="1539"/>
      <c r="Y23" s="3292"/>
      <c r="Z23" s="1540" t="str">
        <f>Q23</f>
        <v>自然及人文环境</v>
      </c>
      <c r="AA23" s="1537">
        <f t="shared" si="3"/>
        <v>1</v>
      </c>
      <c r="AB23" s="1537">
        <f t="shared" si="4"/>
        <v>1</v>
      </c>
      <c r="AC23" s="1537">
        <f t="shared" si="5"/>
        <v>1</v>
      </c>
    </row>
    <row r="24" spans="1:29" ht="15">
      <c r="A24" s="387"/>
      <c r="B24" s="415"/>
      <c r="C24" s="406" t="str">
        <f>'土地比较法-住宅、综合'!C26</f>
        <v>一般</v>
      </c>
      <c r="D24" s="407"/>
      <c r="E24" s="406" t="str">
        <f>'土地比较法-住宅、综合'!E26</f>
        <v>一般</v>
      </c>
      <c r="F24" s="408"/>
      <c r="G24" s="406" t="str">
        <f>'土地比较法-住宅、综合'!G26</f>
        <v>一般</v>
      </c>
      <c r="H24" s="407"/>
      <c r="I24" s="406" t="str">
        <f>'土地比较法-住宅、综合'!I26</f>
        <v>一般</v>
      </c>
      <c r="J24" s="407"/>
      <c r="K24" s="572"/>
      <c r="L24" s="2951"/>
      <c r="M24" s="2945"/>
      <c r="N24" s="2945"/>
      <c r="O24" s="2945"/>
      <c r="P24" s="3331"/>
      <c r="Q24" s="1536"/>
      <c r="R24" s="713"/>
      <c r="S24" s="714"/>
      <c r="T24" s="713"/>
      <c r="U24" s="714"/>
      <c r="V24" s="713"/>
      <c r="W24" s="714"/>
      <c r="X24" s="1539"/>
      <c r="Y24" s="3292"/>
      <c r="Z24" s="1540"/>
      <c r="AA24" s="1537">
        <v>1</v>
      </c>
      <c r="AB24" s="1537">
        <v>1</v>
      </c>
      <c r="AC24" s="1537">
        <v>1</v>
      </c>
    </row>
    <row r="25" spans="1:29" ht="15" hidden="1">
      <c r="A25" s="387"/>
      <c r="B25" s="381" t="s">
        <v>2478</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331"/>
      <c r="Q25" s="1536" t="str">
        <f t="shared" ref="Q25:Q46" si="11">B25</f>
        <v>临街状况</v>
      </c>
      <c r="R25" s="713" t="s">
        <v>17</v>
      </c>
      <c r="S25" s="714">
        <f>F25</f>
        <v>100</v>
      </c>
      <c r="T25" s="713" t="s">
        <v>17</v>
      </c>
      <c r="U25" s="714">
        <f>H25</f>
        <v>100</v>
      </c>
      <c r="V25" s="713" t="s">
        <v>17</v>
      </c>
      <c r="W25" s="714">
        <f>J25</f>
        <v>100</v>
      </c>
      <c r="X25" s="1539"/>
      <c r="Y25" s="3292"/>
      <c r="Z25" s="1540" t="str">
        <f>Q25</f>
        <v>临街状况</v>
      </c>
      <c r="AA25" s="1537">
        <f t="shared" si="3"/>
        <v>1</v>
      </c>
      <c r="AB25" s="1537">
        <f t="shared" si="4"/>
        <v>1</v>
      </c>
      <c r="AC25" s="1537">
        <f t="shared" si="5"/>
        <v>1</v>
      </c>
    </row>
    <row r="26" spans="1:29" ht="15">
      <c r="A26" s="387"/>
      <c r="B26" s="1293" t="s">
        <v>2479</v>
      </c>
      <c r="C26" s="3062" t="s">
        <v>3177</v>
      </c>
      <c r="D26" s="394">
        <v>100</v>
      </c>
      <c r="E26" s="3062" t="s">
        <v>3148</v>
      </c>
      <c r="F26" s="420">
        <f>SUMIF(88:88,E26,89:89)-SUMIF(88:88,C26,89:89)+100</f>
        <v>100</v>
      </c>
      <c r="G26" s="3062" t="s">
        <v>3148</v>
      </c>
      <c r="H26" s="394">
        <f>SUMIF(88:88,G26,89:89)-SUMIF(88:88,C26,89:89)+100</f>
        <v>100</v>
      </c>
      <c r="I26" s="3062" t="s">
        <v>3148</v>
      </c>
      <c r="J26" s="394">
        <f>SUMIF(88:88,I26,89:89)-SUMIF(88:88,C26,89:89)+100</f>
        <v>100</v>
      </c>
      <c r="K26" s="570"/>
      <c r="L26" s="2951"/>
      <c r="M26" s="2945"/>
      <c r="N26" s="2945"/>
      <c r="O26" s="2945"/>
      <c r="P26" s="3331"/>
      <c r="Q26" s="1536" t="str">
        <f t="shared" si="11"/>
        <v>平面位置/可视性</v>
      </c>
      <c r="R26" s="713" t="s">
        <v>17</v>
      </c>
      <c r="S26" s="714">
        <f>F26</f>
        <v>100</v>
      </c>
      <c r="T26" s="713" t="s">
        <v>17</v>
      </c>
      <c r="U26" s="714">
        <f>H26</f>
        <v>100</v>
      </c>
      <c r="V26" s="713" t="s">
        <v>17</v>
      </c>
      <c r="W26" s="714">
        <f>J26</f>
        <v>100</v>
      </c>
      <c r="X26" s="1539"/>
      <c r="Y26" s="3292"/>
      <c r="Z26" s="1540" t="str">
        <f>Q26</f>
        <v>平面位置/可视性</v>
      </c>
      <c r="AA26" s="1537">
        <f t="shared" si="3"/>
        <v>1</v>
      </c>
      <c r="AB26" s="1537">
        <f t="shared" si="4"/>
        <v>1</v>
      </c>
      <c r="AC26" s="1537">
        <f t="shared" si="5"/>
        <v>1</v>
      </c>
    </row>
    <row r="27" spans="1:29" s="113" customFormat="1" ht="15">
      <c r="A27" s="390"/>
      <c r="B27" s="410" t="s">
        <v>2480</v>
      </c>
      <c r="C27" s="2142" t="s">
        <v>3172</v>
      </c>
      <c r="D27" s="421">
        <v>100</v>
      </c>
      <c r="E27" s="2142" t="s">
        <v>3172</v>
      </c>
      <c r="F27" s="423">
        <f>SUMIF(90:90,E27,91:91)-SUMIF(90:90,C27,91:91)+100</f>
        <v>100</v>
      </c>
      <c r="G27" s="2142" t="s">
        <v>3172</v>
      </c>
      <c r="H27" s="421">
        <f>SUMIF(90:90,G27,91:91)-SUMIF(90:90,C27,91:91)+100</f>
        <v>100</v>
      </c>
      <c r="I27" s="2142" t="s">
        <v>3081</v>
      </c>
      <c r="J27" s="421">
        <f>SUMIF(90:90,I27,91:91)-SUMIF(90:90,C27,91:91)+100</f>
        <v>102</v>
      </c>
      <c r="K27" s="569">
        <v>2</v>
      </c>
      <c r="L27" s="2946"/>
      <c r="M27" s="2947"/>
      <c r="N27" s="2947"/>
      <c r="O27" s="2947"/>
      <c r="P27" s="3331"/>
      <c r="Q27" s="1527" t="str">
        <f t="shared" si="11"/>
        <v>人流量</v>
      </c>
      <c r="R27" s="709" t="s">
        <v>17</v>
      </c>
      <c r="S27" s="710">
        <f>F27</f>
        <v>100</v>
      </c>
      <c r="T27" s="709" t="s">
        <v>17</v>
      </c>
      <c r="U27" s="710">
        <f>H27</f>
        <v>100</v>
      </c>
      <c r="V27" s="709" t="s">
        <v>17</v>
      </c>
      <c r="W27" s="710">
        <f>J27</f>
        <v>102</v>
      </c>
      <c r="X27" s="711"/>
      <c r="Y27" s="3292"/>
      <c r="Z27" s="55" t="str">
        <f>Q27</f>
        <v>人流量</v>
      </c>
      <c r="AA27" s="1537">
        <f>D27/F27</f>
        <v>1</v>
      </c>
      <c r="AB27" s="1537">
        <f>D27/H27</f>
        <v>1</v>
      </c>
      <c r="AC27" s="1537">
        <f>D27/J27</f>
        <v>0.98039215686274506</v>
      </c>
    </row>
    <row r="28" spans="1:29" ht="15.75" thickBot="1">
      <c r="A28" s="387"/>
      <c r="B28" s="381" t="s">
        <v>2481</v>
      </c>
      <c r="C28" s="573">
        <v>1</v>
      </c>
      <c r="D28" s="394">
        <v>100</v>
      </c>
      <c r="E28" s="573">
        <v>1</v>
      </c>
      <c r="F28" s="420">
        <f>SUMIF(92:92,E28,93:93)-SUMIF(92:92,C28,93:93)+100</f>
        <v>100</v>
      </c>
      <c r="G28" s="573">
        <v>1</v>
      </c>
      <c r="H28" s="394">
        <f>SUMIF(92:92,G28,93:93)-SUMIF(92:92,C28,93:93)+100</f>
        <v>100</v>
      </c>
      <c r="I28" s="573">
        <v>1</v>
      </c>
      <c r="J28" s="394">
        <f>SUMIF(92:92,I28,93:93)-SUMIF(92:92,C28,93:93)+100</f>
        <v>100</v>
      </c>
      <c r="K28" s="570"/>
      <c r="L28" s="2951"/>
      <c r="M28" s="2945"/>
      <c r="N28" s="2945"/>
      <c r="O28" s="2945"/>
      <c r="P28" s="3331"/>
      <c r="Q28" s="1536" t="str">
        <f t="shared" si="11"/>
        <v>楼层</v>
      </c>
      <c r="R28" s="713" t="s">
        <v>17</v>
      </c>
      <c r="S28" s="714">
        <f t="shared" ref="S28:S46" si="12">F28</f>
        <v>100</v>
      </c>
      <c r="T28" s="713" t="s">
        <v>17</v>
      </c>
      <c r="U28" s="714">
        <f t="shared" ref="U28:U46" si="13">H28</f>
        <v>100</v>
      </c>
      <c r="V28" s="713" t="s">
        <v>17</v>
      </c>
      <c r="W28" s="714">
        <f t="shared" ref="W28:W46" si="14">J28</f>
        <v>100</v>
      </c>
      <c r="X28" s="1539"/>
      <c r="Y28" s="3292"/>
      <c r="Z28" s="1540" t="str">
        <f t="shared" ref="Z28:Z46" si="15">Q28</f>
        <v>楼层</v>
      </c>
      <c r="AA28" s="1537">
        <f t="shared" si="3"/>
        <v>1</v>
      </c>
      <c r="AB28" s="1537">
        <f t="shared" si="4"/>
        <v>1</v>
      </c>
      <c r="AC28" s="1537">
        <f t="shared" si="5"/>
        <v>1</v>
      </c>
    </row>
    <row r="29" spans="1:29" ht="15" hidden="1">
      <c r="A29" s="387"/>
      <c r="B29" s="1293">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331"/>
      <c r="Q29" s="1536">
        <f t="shared" si="11"/>
        <v>111</v>
      </c>
      <c r="R29" s="713" t="s">
        <v>17</v>
      </c>
      <c r="S29" s="714">
        <f t="shared" si="12"/>
        <v>100</v>
      </c>
      <c r="T29" s="713" t="s">
        <v>17</v>
      </c>
      <c r="U29" s="714">
        <f t="shared" si="13"/>
        <v>100</v>
      </c>
      <c r="V29" s="713" t="s">
        <v>17</v>
      </c>
      <c r="W29" s="714">
        <f t="shared" si="14"/>
        <v>100</v>
      </c>
      <c r="X29" s="1539"/>
      <c r="Y29" s="3292"/>
      <c r="Z29" s="1540">
        <f t="shared" si="15"/>
        <v>111</v>
      </c>
      <c r="AA29" s="1537">
        <f t="shared" si="3"/>
        <v>1</v>
      </c>
      <c r="AB29" s="1537">
        <f t="shared" si="4"/>
        <v>1</v>
      </c>
      <c r="AC29" s="1537">
        <f t="shared" si="5"/>
        <v>1</v>
      </c>
    </row>
    <row r="30" spans="1:29" ht="15" hidden="1">
      <c r="A30" s="387"/>
      <c r="B30" s="1293">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331"/>
      <c r="Q30" s="1536">
        <f t="shared" si="11"/>
        <v>111</v>
      </c>
      <c r="R30" s="713" t="s">
        <v>17</v>
      </c>
      <c r="S30" s="714">
        <f t="shared" si="12"/>
        <v>100</v>
      </c>
      <c r="T30" s="713" t="s">
        <v>17</v>
      </c>
      <c r="U30" s="714">
        <f t="shared" si="13"/>
        <v>100</v>
      </c>
      <c r="V30" s="713" t="s">
        <v>17</v>
      </c>
      <c r="W30" s="714">
        <f t="shared" si="14"/>
        <v>100</v>
      </c>
      <c r="X30" s="1539"/>
      <c r="Y30" s="3292"/>
      <c r="Z30" s="1540">
        <f t="shared" si="15"/>
        <v>111</v>
      </c>
      <c r="AA30" s="1537">
        <f t="shared" si="3"/>
        <v>1</v>
      </c>
      <c r="AB30" s="1537">
        <f t="shared" si="4"/>
        <v>1</v>
      </c>
      <c r="AC30" s="1537">
        <f t="shared" si="5"/>
        <v>1</v>
      </c>
    </row>
    <row r="31" spans="1:29" ht="15.75" hidden="1" thickBot="1">
      <c r="A31" s="395"/>
      <c r="B31" s="1293">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331"/>
      <c r="Q31" s="1536">
        <f t="shared" si="11"/>
        <v>111</v>
      </c>
      <c r="R31" s="713" t="s">
        <v>17</v>
      </c>
      <c r="S31" s="714">
        <f t="shared" si="12"/>
        <v>100</v>
      </c>
      <c r="T31" s="713" t="s">
        <v>17</v>
      </c>
      <c r="U31" s="714">
        <f t="shared" si="13"/>
        <v>100</v>
      </c>
      <c r="V31" s="713" t="s">
        <v>17</v>
      </c>
      <c r="W31" s="714">
        <f t="shared" si="14"/>
        <v>100</v>
      </c>
      <c r="X31" s="1539"/>
      <c r="Y31" s="3292"/>
      <c r="Z31" s="1540">
        <f t="shared" si="15"/>
        <v>111</v>
      </c>
      <c r="AA31" s="1537">
        <f t="shared" si="3"/>
        <v>1</v>
      </c>
      <c r="AB31" s="1537">
        <f t="shared" si="4"/>
        <v>1</v>
      </c>
      <c r="AC31" s="1537">
        <f t="shared" si="5"/>
        <v>1</v>
      </c>
    </row>
    <row r="32" spans="1:29" ht="15">
      <c r="A32" s="399" t="s">
        <v>2385</v>
      </c>
      <c r="B32" s="67" t="s">
        <v>2482</v>
      </c>
      <c r="C32" s="2096" t="s">
        <v>3173</v>
      </c>
      <c r="D32" s="426">
        <v>100</v>
      </c>
      <c r="E32" s="2096" t="s">
        <v>3178</v>
      </c>
      <c r="F32" s="420">
        <f>SUMIF(100:100,E32,101:101)-SUMIF(100:100,C32,101:101)+100</f>
        <v>85</v>
      </c>
      <c r="G32" s="2096" t="s">
        <v>3178</v>
      </c>
      <c r="H32" s="394">
        <f>SUMIF(100:100,G32,101:101)-SUMIF(100:100,C32,101:101)+100</f>
        <v>85</v>
      </c>
      <c r="I32" s="2096" t="s">
        <v>3178</v>
      </c>
      <c r="J32" s="426">
        <f>SUMIF(100:100,I32,101:101)-SUMIF(100:100,C32,101:101)+100</f>
        <v>85</v>
      </c>
      <c r="K32" s="569">
        <v>15</v>
      </c>
      <c r="L32" s="2951"/>
      <c r="M32" s="2945"/>
      <c r="N32" s="2945"/>
      <c r="O32" s="2945"/>
      <c r="P32" s="3332" t="s">
        <v>2387</v>
      </c>
      <c r="Q32" s="1536" t="str">
        <f t="shared" si="11"/>
        <v>商业类型</v>
      </c>
      <c r="R32" s="713" t="s">
        <v>17</v>
      </c>
      <c r="S32" s="714">
        <f t="shared" si="12"/>
        <v>85</v>
      </c>
      <c r="T32" s="713" t="s">
        <v>17</v>
      </c>
      <c r="U32" s="714">
        <f t="shared" si="13"/>
        <v>85</v>
      </c>
      <c r="V32" s="713" t="s">
        <v>17</v>
      </c>
      <c r="W32" s="714">
        <f t="shared" si="14"/>
        <v>85</v>
      </c>
      <c r="X32" s="1539"/>
      <c r="Y32" s="3294" t="s">
        <v>2387</v>
      </c>
      <c r="Z32" s="1540" t="str">
        <f t="shared" si="15"/>
        <v>商业类型</v>
      </c>
      <c r="AA32" s="1537">
        <f t="shared" si="3"/>
        <v>1.1764705882352942</v>
      </c>
      <c r="AB32" s="1537">
        <f t="shared" si="4"/>
        <v>1.1764705882352942</v>
      </c>
      <c r="AC32" s="1537">
        <f t="shared" si="5"/>
        <v>1.1764705882352942</v>
      </c>
    </row>
    <row r="33" spans="1:29" s="430" customFormat="1" ht="15">
      <c r="A33" s="427"/>
      <c r="B33" s="381" t="s">
        <v>2388</v>
      </c>
      <c r="C33" s="428">
        <f>'数据-汇总表'!E3</f>
        <v>27960.83</v>
      </c>
      <c r="D33" s="132">
        <v>100</v>
      </c>
      <c r="E33" s="389">
        <v>2000000</v>
      </c>
      <c r="F33" s="384">
        <f>LOOKUP(E33,103:103,104:104)-LOOKUP(C33,103:103,104:104)+100</f>
        <v>104</v>
      </c>
      <c r="G33" s="388">
        <v>324303.81</v>
      </c>
      <c r="H33" s="132">
        <f>LOOKUP(G33,103:103,104:104)-LOOKUP(C33,103:103,104:104)+100</f>
        <v>100</v>
      </c>
      <c r="I33" s="388">
        <v>270000</v>
      </c>
      <c r="J33" s="132">
        <f>LOOKUP(I33,103:103,104:104)-LOOKUP(C33,103:103,104:104)+100</f>
        <v>100</v>
      </c>
      <c r="K33" s="570"/>
      <c r="L33" s="2950"/>
      <c r="M33" s="2952"/>
      <c r="N33" s="2952"/>
      <c r="O33" s="2952"/>
      <c r="P33" s="3333"/>
      <c r="Q33" s="715" t="str">
        <f t="shared" si="11"/>
        <v>项目建筑规模</v>
      </c>
      <c r="R33" s="716" t="s">
        <v>17</v>
      </c>
      <c r="S33" s="717">
        <f t="shared" si="12"/>
        <v>104</v>
      </c>
      <c r="T33" s="716" t="s">
        <v>17</v>
      </c>
      <c r="U33" s="717">
        <f t="shared" si="13"/>
        <v>100</v>
      </c>
      <c r="V33" s="716" t="s">
        <v>17</v>
      </c>
      <c r="W33" s="717">
        <f t="shared" si="14"/>
        <v>100</v>
      </c>
      <c r="X33" s="718"/>
      <c r="Y33" s="3294"/>
      <c r="Z33" s="719" t="str">
        <f t="shared" si="15"/>
        <v>项目建筑规模</v>
      </c>
      <c r="AA33" s="1537">
        <f t="shared" si="3"/>
        <v>0.96153846153846156</v>
      </c>
      <c r="AB33" s="1537">
        <f t="shared" si="4"/>
        <v>1</v>
      </c>
      <c r="AC33" s="1537">
        <f t="shared" si="5"/>
        <v>1</v>
      </c>
    </row>
    <row r="34" spans="1:29" ht="15">
      <c r="A34" s="431"/>
      <c r="B34" s="381" t="s">
        <v>2389</v>
      </c>
      <c r="C34" s="2098" t="s">
        <v>3152</v>
      </c>
      <c r="D34" s="394">
        <v>100</v>
      </c>
      <c r="E34" s="2098" t="s">
        <v>3152</v>
      </c>
      <c r="F34" s="420">
        <f>SUMIF(105:105,E34,106:106)-SUMIF(105:105,C34,106:106)+100</f>
        <v>100</v>
      </c>
      <c r="G34" s="2098" t="s">
        <v>3152</v>
      </c>
      <c r="H34" s="394">
        <f>SUMIF(105:105,G34,106:106)-SUMIF(105:105,C34,106:106)+100</f>
        <v>100</v>
      </c>
      <c r="I34" s="2098" t="s">
        <v>3152</v>
      </c>
      <c r="J34" s="394">
        <f>SUMIF(105:105,I34,106:106)-SUMIF(105:105,C34,106:106)+100</f>
        <v>100</v>
      </c>
      <c r="K34" s="569">
        <v>2</v>
      </c>
      <c r="L34" s="2951"/>
      <c r="M34" s="2945"/>
      <c r="N34" s="2945"/>
      <c r="O34" s="2945"/>
      <c r="P34" s="3333"/>
      <c r="Q34" s="1536" t="str">
        <f t="shared" si="11"/>
        <v>建筑结构</v>
      </c>
      <c r="R34" s="713" t="s">
        <v>17</v>
      </c>
      <c r="S34" s="714">
        <f t="shared" si="12"/>
        <v>100</v>
      </c>
      <c r="T34" s="713" t="s">
        <v>17</v>
      </c>
      <c r="U34" s="714">
        <f t="shared" si="13"/>
        <v>100</v>
      </c>
      <c r="V34" s="713" t="s">
        <v>17</v>
      </c>
      <c r="W34" s="714">
        <f t="shared" si="14"/>
        <v>100</v>
      </c>
      <c r="X34" s="1539"/>
      <c r="Y34" s="3294"/>
      <c r="Z34" s="1540" t="str">
        <f t="shared" si="15"/>
        <v>建筑结构</v>
      </c>
      <c r="AA34" s="1537">
        <f t="shared" si="3"/>
        <v>1</v>
      </c>
      <c r="AB34" s="1537">
        <f t="shared" si="4"/>
        <v>1</v>
      </c>
      <c r="AC34" s="1537">
        <f t="shared" si="5"/>
        <v>1</v>
      </c>
    </row>
    <row r="35" spans="1:29" ht="15">
      <c r="A35" s="431"/>
      <c r="B35" s="381" t="s">
        <v>2483</v>
      </c>
      <c r="C35" s="2092" t="s">
        <v>3174</v>
      </c>
      <c r="D35" s="394">
        <v>100</v>
      </c>
      <c r="E35" s="2092" t="s">
        <v>3174</v>
      </c>
      <c r="F35" s="420">
        <f>SUMIF(107:107,E35,108:108)-SUMIF(107:107,C35,108:108)+100</f>
        <v>100</v>
      </c>
      <c r="G35" s="2092" t="s">
        <v>3174</v>
      </c>
      <c r="H35" s="394">
        <f>SUMIF(107:107,G35,108:108)-SUMIF(107:107,C35,108:108)+100</f>
        <v>100</v>
      </c>
      <c r="I35" s="2092" t="s">
        <v>3174</v>
      </c>
      <c r="J35" s="394">
        <f>SUMIF(107:107,I35,108:108)-SUMIF(107:107,C35,108:108)+100</f>
        <v>100</v>
      </c>
      <c r="K35" s="569">
        <v>2</v>
      </c>
      <c r="L35" s="2951"/>
      <c r="M35" s="2945"/>
      <c r="N35" s="2945"/>
      <c r="O35" s="2945"/>
      <c r="P35" s="3333"/>
      <c r="Q35" s="1536" t="str">
        <f t="shared" si="11"/>
        <v>公共部分装修</v>
      </c>
      <c r="R35" s="713" t="s">
        <v>17</v>
      </c>
      <c r="S35" s="714">
        <f t="shared" si="12"/>
        <v>100</v>
      </c>
      <c r="T35" s="713" t="s">
        <v>17</v>
      </c>
      <c r="U35" s="714">
        <f t="shared" si="13"/>
        <v>100</v>
      </c>
      <c r="V35" s="713" t="s">
        <v>17</v>
      </c>
      <c r="W35" s="714">
        <f t="shared" si="14"/>
        <v>100</v>
      </c>
      <c r="X35" s="1539"/>
      <c r="Y35" s="3294"/>
      <c r="Z35" s="1540" t="str">
        <f t="shared" si="15"/>
        <v>公共部分装修</v>
      </c>
      <c r="AA35" s="1537">
        <f t="shared" si="3"/>
        <v>1</v>
      </c>
      <c r="AB35" s="1537">
        <f t="shared" si="4"/>
        <v>1</v>
      </c>
      <c r="AC35" s="1537">
        <f t="shared" si="5"/>
        <v>1</v>
      </c>
    </row>
    <row r="36" spans="1:29" ht="15">
      <c r="A36" s="431"/>
      <c r="B36" s="381" t="s">
        <v>2484</v>
      </c>
      <c r="C36" s="433">
        <f>'数据-取费表'!N6</f>
        <v>0.82</v>
      </c>
      <c r="D36" s="394">
        <v>100</v>
      </c>
      <c r="E36" s="433">
        <v>1</v>
      </c>
      <c r="F36" s="420">
        <f>LOOKUP(E36,110:110,111:111)-LOOKUP(C36,110:110,111:111)+100</f>
        <v>101</v>
      </c>
      <c r="G36" s="433">
        <v>1</v>
      </c>
      <c r="H36" s="420">
        <f>LOOKUP(G36,110:110,111:111)-LOOKUP(C36,110:110,111:111)+100</f>
        <v>101</v>
      </c>
      <c r="I36" s="433">
        <v>1</v>
      </c>
      <c r="J36" s="394">
        <f>LOOKUP(I36,110:110,111:111)-LOOKUP(C36,110:110,111:111)+100</f>
        <v>101</v>
      </c>
      <c r="K36" s="569">
        <v>1</v>
      </c>
      <c r="L36" s="2951"/>
      <c r="M36" s="2945"/>
      <c r="N36" s="2945"/>
      <c r="O36" s="2945"/>
      <c r="P36" s="3333"/>
      <c r="Q36" s="1536" t="str">
        <f t="shared" si="11"/>
        <v>成新度</v>
      </c>
      <c r="R36" s="713" t="s">
        <v>17</v>
      </c>
      <c r="S36" s="714">
        <f t="shared" si="12"/>
        <v>101</v>
      </c>
      <c r="T36" s="713" t="s">
        <v>17</v>
      </c>
      <c r="U36" s="714">
        <f t="shared" si="13"/>
        <v>101</v>
      </c>
      <c r="V36" s="713" t="s">
        <v>17</v>
      </c>
      <c r="W36" s="714">
        <f t="shared" si="14"/>
        <v>101</v>
      </c>
      <c r="X36" s="1539"/>
      <c r="Y36" s="3294"/>
      <c r="Z36" s="1540" t="str">
        <f t="shared" si="15"/>
        <v>成新度</v>
      </c>
      <c r="AA36" s="1537">
        <f t="shared" si="3"/>
        <v>0.99009900990099009</v>
      </c>
      <c r="AB36" s="1537">
        <f t="shared" si="4"/>
        <v>0.99009900990099009</v>
      </c>
      <c r="AC36" s="1537">
        <f t="shared" si="5"/>
        <v>0.99009900990099009</v>
      </c>
    </row>
    <row r="37" spans="1:29" s="113" customFormat="1" ht="15">
      <c r="A37" s="432"/>
      <c r="B37" s="381" t="s">
        <v>2485</v>
      </c>
      <c r="C37" s="2092" t="s">
        <v>3146</v>
      </c>
      <c r="D37" s="132">
        <v>100</v>
      </c>
      <c r="E37" s="2092" t="s">
        <v>3146</v>
      </c>
      <c r="F37" s="420">
        <f>SUMIF(112:112,E37,113:113)-SUMIF(112:112,C37,113:113)+100</f>
        <v>100</v>
      </c>
      <c r="G37" s="2092" t="s">
        <v>3146</v>
      </c>
      <c r="H37" s="394">
        <f>SUMIF(112:112,G37,113:113)-SUMIF(112:112,C37,113:113)+100</f>
        <v>100</v>
      </c>
      <c r="I37" s="2092" t="s">
        <v>3146</v>
      </c>
      <c r="J37" s="394">
        <f>SUMIF(112:112,I37,113:113)-SUMIF(112:112,C37,113:113)+100</f>
        <v>100</v>
      </c>
      <c r="K37" s="569">
        <v>2</v>
      </c>
      <c r="L37" s="2946"/>
      <c r="M37" s="2947"/>
      <c r="N37" s="2947"/>
      <c r="O37" s="2947"/>
      <c r="P37" s="3333"/>
      <c r="Q37" s="1527" t="str">
        <f t="shared" si="11"/>
        <v>市政基础设施</v>
      </c>
      <c r="R37" s="709" t="s">
        <v>17</v>
      </c>
      <c r="S37" s="710">
        <f t="shared" si="12"/>
        <v>100</v>
      </c>
      <c r="T37" s="709" t="s">
        <v>17</v>
      </c>
      <c r="U37" s="710">
        <f t="shared" si="13"/>
        <v>100</v>
      </c>
      <c r="V37" s="709" t="s">
        <v>17</v>
      </c>
      <c r="W37" s="710">
        <f t="shared" si="14"/>
        <v>100</v>
      </c>
      <c r="X37" s="711"/>
      <c r="Y37" s="3294"/>
      <c r="Z37" s="55" t="str">
        <f t="shared" si="15"/>
        <v>市政基础设施</v>
      </c>
      <c r="AA37" s="712">
        <f t="shared" si="3"/>
        <v>1</v>
      </c>
      <c r="AB37" s="712">
        <f t="shared" si="4"/>
        <v>1</v>
      </c>
      <c r="AC37" s="712">
        <f t="shared" si="5"/>
        <v>1</v>
      </c>
    </row>
    <row r="38" spans="1:29" ht="15">
      <c r="A38" s="431"/>
      <c r="B38" s="381" t="s">
        <v>2486</v>
      </c>
      <c r="C38" s="2092" t="s">
        <v>3175</v>
      </c>
      <c r="D38" s="394">
        <v>100</v>
      </c>
      <c r="E38" s="2092" t="s">
        <v>3175</v>
      </c>
      <c r="F38" s="420">
        <f>SUMIF(114:114,E38,115:115)-SUMIF(114:114,C38,115:115)+100</f>
        <v>100</v>
      </c>
      <c r="G38" s="2092" t="s">
        <v>3175</v>
      </c>
      <c r="H38" s="394">
        <f>SUMIF(114:114,G38,115:115)-SUMIF(114:114,C38,115:115)+100</f>
        <v>100</v>
      </c>
      <c r="I38" s="2092" t="s">
        <v>3175</v>
      </c>
      <c r="J38" s="394">
        <f>SUMIF(114:114,I38,115:115)-SUMIF(114:114,C38,115:115)+100</f>
        <v>100</v>
      </c>
      <c r="K38" s="569">
        <v>2</v>
      </c>
      <c r="L38" s="2951"/>
      <c r="M38" s="2945"/>
      <c r="N38" s="2945"/>
      <c r="O38" s="2945"/>
      <c r="P38" s="3333" t="s">
        <v>2387</v>
      </c>
      <c r="Q38" s="1536" t="str">
        <f t="shared" si="11"/>
        <v>业态</v>
      </c>
      <c r="R38" s="713" t="s">
        <v>17</v>
      </c>
      <c r="S38" s="714">
        <f t="shared" si="12"/>
        <v>100</v>
      </c>
      <c r="T38" s="713" t="s">
        <v>17</v>
      </c>
      <c r="U38" s="714">
        <f t="shared" si="13"/>
        <v>100</v>
      </c>
      <c r="V38" s="713" t="s">
        <v>17</v>
      </c>
      <c r="W38" s="714">
        <f t="shared" si="14"/>
        <v>100</v>
      </c>
      <c r="X38" s="1539"/>
      <c r="Y38" s="3294" t="s">
        <v>2387</v>
      </c>
      <c r="Z38" s="1540" t="str">
        <f t="shared" si="15"/>
        <v>业态</v>
      </c>
      <c r="AA38" s="1537">
        <f t="shared" si="3"/>
        <v>1</v>
      </c>
      <c r="AB38" s="1537">
        <f t="shared" si="4"/>
        <v>1</v>
      </c>
      <c r="AC38" s="1537">
        <f t="shared" si="5"/>
        <v>1</v>
      </c>
    </row>
    <row r="39" spans="1:29" ht="15" hidden="1">
      <c r="A39" s="431"/>
      <c r="B39" s="381" t="s">
        <v>2487</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333"/>
      <c r="Q39" s="1536" t="str">
        <f t="shared" si="11"/>
        <v>层高</v>
      </c>
      <c r="R39" s="713" t="s">
        <v>17</v>
      </c>
      <c r="S39" s="714">
        <f t="shared" si="12"/>
        <v>100</v>
      </c>
      <c r="T39" s="713" t="s">
        <v>17</v>
      </c>
      <c r="U39" s="714">
        <f t="shared" si="13"/>
        <v>100</v>
      </c>
      <c r="V39" s="713" t="s">
        <v>17</v>
      </c>
      <c r="W39" s="714">
        <f t="shared" si="14"/>
        <v>100</v>
      </c>
      <c r="X39" s="1539"/>
      <c r="Y39" s="3294"/>
      <c r="Z39" s="1540" t="str">
        <f t="shared" si="15"/>
        <v>层高</v>
      </c>
      <c r="AA39" s="1537">
        <f t="shared" si="3"/>
        <v>1</v>
      </c>
      <c r="AB39" s="1537">
        <f t="shared" si="4"/>
        <v>1</v>
      </c>
      <c r="AC39" s="1537">
        <f t="shared" si="5"/>
        <v>1</v>
      </c>
    </row>
    <row r="40" spans="1:29" ht="15">
      <c r="A40" s="431"/>
      <c r="B40" s="381" t="s">
        <v>2488</v>
      </c>
      <c r="C40" s="574">
        <f>'数据-基础表'!I14</f>
        <v>7639.66</v>
      </c>
      <c r="D40" s="394">
        <v>100</v>
      </c>
      <c r="E40" s="574" t="s">
        <v>3179</v>
      </c>
      <c r="F40" s="420">
        <f>SUMIF(118:118,E40,119:119)-SUMIF(118:118,C40,119:119)+100</f>
        <v>105</v>
      </c>
      <c r="G40" s="574" t="s">
        <v>3179</v>
      </c>
      <c r="H40" s="394">
        <f>SUMIF(118:118,G40,119:119)-SUMIF(118:118,C40,119:119)+100</f>
        <v>105</v>
      </c>
      <c r="I40" s="574" t="s">
        <v>3179</v>
      </c>
      <c r="J40" s="394">
        <f>SUMIF(118:118,I40,119:119)-SUMIF(118:118,C40,119:119)+100</f>
        <v>105</v>
      </c>
      <c r="K40" s="570"/>
      <c r="L40" s="2951"/>
      <c r="M40" s="2945"/>
      <c r="N40" s="2945"/>
      <c r="O40" s="2945"/>
      <c r="P40" s="3333"/>
      <c r="Q40" s="1536" t="str">
        <f t="shared" si="11"/>
        <v>单套建筑面积</v>
      </c>
      <c r="R40" s="713" t="s">
        <v>17</v>
      </c>
      <c r="S40" s="714">
        <f t="shared" si="12"/>
        <v>105</v>
      </c>
      <c r="T40" s="713" t="s">
        <v>17</v>
      </c>
      <c r="U40" s="714">
        <f t="shared" si="13"/>
        <v>105</v>
      </c>
      <c r="V40" s="713" t="s">
        <v>17</v>
      </c>
      <c r="W40" s="714">
        <f t="shared" si="14"/>
        <v>105</v>
      </c>
      <c r="X40" s="1539"/>
      <c r="Y40" s="3294"/>
      <c r="Z40" s="1540" t="str">
        <f t="shared" si="15"/>
        <v>单套建筑面积</v>
      </c>
      <c r="AA40" s="1537">
        <f t="shared" si="3"/>
        <v>0.95238095238095233</v>
      </c>
      <c r="AB40" s="1537">
        <f t="shared" si="4"/>
        <v>0.95238095238095233</v>
      </c>
      <c r="AC40" s="1537">
        <f t="shared" si="5"/>
        <v>0.95238095238095233</v>
      </c>
    </row>
    <row r="41" spans="1:29" s="430" customFormat="1" ht="15" hidden="1">
      <c r="A41" s="427"/>
      <c r="B41" s="1538" t="s">
        <v>2489</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333"/>
      <c r="Q41" s="715" t="str">
        <f t="shared" si="11"/>
        <v>进深比</v>
      </c>
      <c r="R41" s="716" t="s">
        <v>17</v>
      </c>
      <c r="S41" s="717">
        <f t="shared" si="12"/>
        <v>100</v>
      </c>
      <c r="T41" s="716" t="s">
        <v>17</v>
      </c>
      <c r="U41" s="717">
        <f t="shared" si="13"/>
        <v>100</v>
      </c>
      <c r="V41" s="716" t="s">
        <v>17</v>
      </c>
      <c r="W41" s="717">
        <f t="shared" si="14"/>
        <v>100</v>
      </c>
      <c r="X41" s="718"/>
      <c r="Y41" s="3294"/>
      <c r="Z41" s="719" t="str">
        <f t="shared" si="15"/>
        <v>进深比</v>
      </c>
      <c r="AA41" s="1537">
        <f t="shared" si="3"/>
        <v>1</v>
      </c>
      <c r="AB41" s="1537">
        <f t="shared" si="4"/>
        <v>1</v>
      </c>
      <c r="AC41" s="1537">
        <f t="shared" si="5"/>
        <v>1</v>
      </c>
    </row>
    <row r="42" spans="1:29" ht="15">
      <c r="A42" s="431"/>
      <c r="B42" s="381" t="s">
        <v>2490</v>
      </c>
      <c r="C42" s="2092" t="s">
        <v>3176</v>
      </c>
      <c r="D42" s="394">
        <v>100</v>
      </c>
      <c r="E42" s="2092" t="s">
        <v>3176</v>
      </c>
      <c r="F42" s="420">
        <f>SUMIF(122:122,E42,123:123)-SUMIF(122:122,C42,123:123)+100</f>
        <v>100</v>
      </c>
      <c r="G42" s="2092" t="s">
        <v>3176</v>
      </c>
      <c r="H42" s="394">
        <f>SUMIF(122:122,G42,123:123)-SUMIF(122:122,C42,123:123)+100</f>
        <v>100</v>
      </c>
      <c r="I42" s="2092" t="s">
        <v>3176</v>
      </c>
      <c r="J42" s="394">
        <f>SUMIF(122:122,I42,123:123)-SUMIF(122:122,C42,123:123)+100</f>
        <v>100</v>
      </c>
      <c r="K42" s="569">
        <v>2</v>
      </c>
      <c r="L42" s="2951"/>
      <c r="M42" s="2945"/>
      <c r="N42" s="2945"/>
      <c r="O42" s="2945"/>
      <c r="P42" s="3333"/>
      <c r="Q42" s="1536" t="str">
        <f t="shared" si="11"/>
        <v>内部装修</v>
      </c>
      <c r="R42" s="713" t="s">
        <v>17</v>
      </c>
      <c r="S42" s="714">
        <f t="shared" si="12"/>
        <v>100</v>
      </c>
      <c r="T42" s="713" t="s">
        <v>17</v>
      </c>
      <c r="U42" s="714">
        <f t="shared" si="13"/>
        <v>100</v>
      </c>
      <c r="V42" s="713" t="s">
        <v>17</v>
      </c>
      <c r="W42" s="714">
        <f t="shared" si="14"/>
        <v>100</v>
      </c>
      <c r="X42" s="1539"/>
      <c r="Y42" s="3294"/>
      <c r="Z42" s="1540" t="str">
        <f t="shared" si="15"/>
        <v>内部装修</v>
      </c>
      <c r="AA42" s="1537">
        <f t="shared" si="3"/>
        <v>1</v>
      </c>
      <c r="AB42" s="1537">
        <f t="shared" si="4"/>
        <v>1</v>
      </c>
      <c r="AC42" s="1537">
        <f t="shared" si="5"/>
        <v>1</v>
      </c>
    </row>
    <row r="43" spans="1:29" ht="15.75" thickBot="1">
      <c r="A43" s="431"/>
      <c r="B43" s="381" t="s">
        <v>2398</v>
      </c>
      <c r="C43" s="2092" t="s">
        <v>3080</v>
      </c>
      <c r="D43" s="394">
        <v>100</v>
      </c>
      <c r="E43" s="2092" t="s">
        <v>3080</v>
      </c>
      <c r="F43" s="420">
        <f>SUMIF(124:124,E43,125:125)-SUMIF(124:124,C43,125:125)+100</f>
        <v>100</v>
      </c>
      <c r="G43" s="2092" t="s">
        <v>3080</v>
      </c>
      <c r="H43" s="394">
        <f>SUMIF(124:124,G43,125:125)-SUMIF(124:124,C43,125:125)+100</f>
        <v>100</v>
      </c>
      <c r="I43" s="2092" t="s">
        <v>3080</v>
      </c>
      <c r="J43" s="394">
        <f>SUMIF(124:124,I43,125:125)-SUMIF(124:124,C43,125:125)+100</f>
        <v>100</v>
      </c>
      <c r="K43" s="569">
        <v>2</v>
      </c>
      <c r="L43" s="2951"/>
      <c r="M43" s="2945"/>
      <c r="N43" s="2945"/>
      <c r="O43" s="2945"/>
      <c r="P43" s="3333"/>
      <c r="Q43" s="1536" t="str">
        <f t="shared" si="11"/>
        <v>内部装修维护情况</v>
      </c>
      <c r="R43" s="713" t="s">
        <v>17</v>
      </c>
      <c r="S43" s="714">
        <f t="shared" si="12"/>
        <v>100</v>
      </c>
      <c r="T43" s="713" t="s">
        <v>17</v>
      </c>
      <c r="U43" s="714">
        <f t="shared" si="13"/>
        <v>100</v>
      </c>
      <c r="V43" s="713" t="s">
        <v>17</v>
      </c>
      <c r="W43" s="714">
        <f t="shared" si="14"/>
        <v>100</v>
      </c>
      <c r="X43" s="1539"/>
      <c r="Y43" s="3294"/>
      <c r="Z43" s="1540" t="str">
        <f t="shared" si="15"/>
        <v>内部装修维护情况</v>
      </c>
      <c r="AA43" s="1537">
        <f t="shared" si="3"/>
        <v>1</v>
      </c>
      <c r="AB43" s="1537">
        <f t="shared" si="4"/>
        <v>1</v>
      </c>
      <c r="AC43" s="1537">
        <f t="shared" si="5"/>
        <v>1</v>
      </c>
    </row>
    <row r="44" spans="1:29" s="113" customFormat="1" ht="15" hidden="1">
      <c r="A44" s="432"/>
      <c r="B44" s="1293">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333"/>
      <c r="Q44" s="1527">
        <f t="shared" si="11"/>
        <v>111</v>
      </c>
      <c r="R44" s="709" t="s">
        <v>17</v>
      </c>
      <c r="S44" s="710">
        <f t="shared" si="12"/>
        <v>100</v>
      </c>
      <c r="T44" s="709" t="s">
        <v>17</v>
      </c>
      <c r="U44" s="710">
        <f t="shared" si="13"/>
        <v>100</v>
      </c>
      <c r="V44" s="709" t="s">
        <v>17</v>
      </c>
      <c r="W44" s="710">
        <f t="shared" si="14"/>
        <v>100</v>
      </c>
      <c r="X44" s="711"/>
      <c r="Y44" s="3294"/>
      <c r="Z44" s="55">
        <f t="shared" si="15"/>
        <v>111</v>
      </c>
      <c r="AA44" s="712">
        <f t="shared" si="3"/>
        <v>1</v>
      </c>
      <c r="AB44" s="712">
        <f t="shared" si="4"/>
        <v>1</v>
      </c>
      <c r="AC44" s="712">
        <f t="shared" si="5"/>
        <v>1</v>
      </c>
    </row>
    <row r="45" spans="1:29" ht="15" hidden="1">
      <c r="A45" s="431"/>
      <c r="B45" s="1293">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333"/>
      <c r="Q45" s="1536">
        <f t="shared" si="11"/>
        <v>111</v>
      </c>
      <c r="R45" s="713" t="s">
        <v>17</v>
      </c>
      <c r="S45" s="714">
        <f t="shared" si="12"/>
        <v>100</v>
      </c>
      <c r="T45" s="713" t="s">
        <v>17</v>
      </c>
      <c r="U45" s="714">
        <f t="shared" si="13"/>
        <v>100</v>
      </c>
      <c r="V45" s="713" t="s">
        <v>17</v>
      </c>
      <c r="W45" s="714">
        <f t="shared" si="14"/>
        <v>100</v>
      </c>
      <c r="X45" s="1539"/>
      <c r="Y45" s="3294"/>
      <c r="Z45" s="1540">
        <f t="shared" si="15"/>
        <v>111</v>
      </c>
      <c r="AA45" s="1537">
        <f t="shared" si="3"/>
        <v>1</v>
      </c>
      <c r="AB45" s="1537">
        <f t="shared" si="4"/>
        <v>1</v>
      </c>
      <c r="AC45" s="1537">
        <f t="shared" si="5"/>
        <v>1</v>
      </c>
    </row>
    <row r="46" spans="1:29" ht="15.75" hidden="1"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334"/>
      <c r="Q46" s="1536">
        <f t="shared" si="11"/>
        <v>111</v>
      </c>
      <c r="R46" s="713" t="s">
        <v>17</v>
      </c>
      <c r="S46" s="714">
        <f t="shared" si="12"/>
        <v>100</v>
      </c>
      <c r="T46" s="713" t="s">
        <v>17</v>
      </c>
      <c r="U46" s="714">
        <f t="shared" si="13"/>
        <v>100</v>
      </c>
      <c r="V46" s="713" t="s">
        <v>17</v>
      </c>
      <c r="W46" s="714">
        <f t="shared" si="14"/>
        <v>100</v>
      </c>
      <c r="X46" s="1539"/>
      <c r="Y46" s="3335"/>
      <c r="Z46" s="1540">
        <f t="shared" si="15"/>
        <v>111</v>
      </c>
      <c r="AA46" s="1537">
        <f t="shared" si="3"/>
        <v>1</v>
      </c>
      <c r="AB46" s="1537">
        <f t="shared" si="4"/>
        <v>1</v>
      </c>
      <c r="AC46" s="1537">
        <f t="shared" si="5"/>
        <v>1</v>
      </c>
    </row>
    <row r="47" spans="1:29" ht="15">
      <c r="A47" s="438" t="s">
        <v>2399</v>
      </c>
      <c r="B47" s="439"/>
      <c r="C47" s="1314" t="s">
        <v>1</v>
      </c>
      <c r="D47" s="1315"/>
      <c r="E47" s="1316">
        <v>14000</v>
      </c>
      <c r="F47" s="1317"/>
      <c r="G47" s="1318">
        <v>14000</v>
      </c>
      <c r="H47" s="1319"/>
      <c r="I47" s="1316">
        <v>13000</v>
      </c>
      <c r="J47" s="1319"/>
      <c r="K47" s="722"/>
      <c r="L47" s="2953"/>
      <c r="M47" s="2954"/>
      <c r="N47" s="2945"/>
      <c r="O47" s="2954"/>
      <c r="P47" s="3276" t="str">
        <f>A47</f>
        <v>成交单价（元/平方米）</v>
      </c>
      <c r="Q47" s="3276"/>
      <c r="R47" s="3289">
        <f>E47</f>
        <v>14000</v>
      </c>
      <c r="S47" s="3289"/>
      <c r="T47" s="3289">
        <f>G47</f>
        <v>14000</v>
      </c>
      <c r="U47" s="3289"/>
      <c r="V47" s="3289">
        <f>I47</f>
        <v>13000</v>
      </c>
      <c r="W47" s="3289"/>
      <c r="X47" s="698"/>
      <c r="Y47" s="720"/>
      <c r="Z47" s="698"/>
      <c r="AA47" s="698"/>
      <c r="AB47" s="698"/>
      <c r="AC47" s="698"/>
    </row>
    <row r="48" spans="1:29" ht="15.75" thickBot="1">
      <c r="A48" s="445" t="s">
        <v>2491</v>
      </c>
      <c r="B48" s="446"/>
      <c r="C48" s="1320">
        <f>R49</f>
        <v>16319</v>
      </c>
      <c r="D48" s="2538" t="s">
        <v>2879</v>
      </c>
      <c r="E48" s="1321">
        <f>R48</f>
        <v>16593</v>
      </c>
      <c r="F48" s="2539"/>
      <c r="G48" s="1320">
        <f>T48</f>
        <v>17257</v>
      </c>
      <c r="H48" s="2539"/>
      <c r="I48" s="1321">
        <f>V48</f>
        <v>15106</v>
      </c>
      <c r="J48" s="2539"/>
      <c r="K48" s="2541">
        <f>F48+H48+J48</f>
        <v>0</v>
      </c>
      <c r="L48" s="2953"/>
      <c r="M48" s="2954"/>
      <c r="N48" s="2945"/>
      <c r="O48" s="2954"/>
      <c r="P48" s="3276" t="str">
        <f>A48</f>
        <v>比较价值（元/平方米）</v>
      </c>
      <c r="Q48" s="3276"/>
      <c r="R48" s="3336">
        <f>IF(F1="售价",ROUND(PRODUCT(R47,AA7:AA46),0),ROUND(PRODUCT(R47,AA7:AA46),1))</f>
        <v>16593</v>
      </c>
      <c r="S48" s="3336"/>
      <c r="T48" s="3336">
        <f>IF(F1="售价",ROUND(PRODUCT(T47,AB7:AB46),0),ROUND(PRODUCT(T47,AB7:AB46),1))</f>
        <v>17257</v>
      </c>
      <c r="U48" s="3336"/>
      <c r="V48" s="3336">
        <f>IF(F1="售价",ROUND(PRODUCT(V47,AC7:AC46),0),ROUND(PRODUCT(V47,AC7:AC46),1))</f>
        <v>15106</v>
      </c>
      <c r="W48" s="3336"/>
      <c r="X48" s="698"/>
      <c r="Y48" s="698"/>
      <c r="Z48" s="698"/>
      <c r="AA48" s="698"/>
      <c r="AB48" s="698"/>
      <c r="AC48" s="698"/>
    </row>
    <row r="49" spans="1:29" ht="15.75" thickBot="1">
      <c r="A49" s="449" t="s">
        <v>2492</v>
      </c>
      <c r="B49" s="450"/>
      <c r="C49" s="1323">
        <f>R49</f>
        <v>16319</v>
      </c>
      <c r="D49" s="1323"/>
      <c r="E49" s="1323"/>
      <c r="F49" s="1323"/>
      <c r="G49" s="1323"/>
      <c r="H49" s="1323"/>
      <c r="I49" s="1323"/>
      <c r="J49" s="1323"/>
      <c r="K49" s="723"/>
      <c r="L49" s="2953"/>
      <c r="M49" s="2954"/>
      <c r="N49" s="2945"/>
      <c r="O49" s="2954"/>
      <c r="P49" s="3296" t="str">
        <f>A49</f>
        <v>估价对象XX用房的比较价值（楼面单价，元/平方米）</v>
      </c>
      <c r="Q49" s="3297"/>
      <c r="R49" s="3337">
        <f>IF(F1="售价",ROUND(IF(D48="简单平均",AVERAGE(R48:V48),R48*F48+T48*H48+V48*J48),0),ROUND(IF(D48="简单平均",AVERAGE(R48:V48),R48*F48+T48*H48+V48*J48),1))</f>
        <v>16319</v>
      </c>
      <c r="S49" s="3337"/>
      <c r="T49" s="3337"/>
      <c r="U49" s="3337"/>
      <c r="V49" s="3337"/>
      <c r="W49" s="3337"/>
      <c r="X49" s="698"/>
      <c r="Y49" s="698"/>
      <c r="Z49" s="698"/>
      <c r="AA49" s="698"/>
      <c r="AB49" s="698"/>
      <c r="AC49" s="698"/>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2493</v>
      </c>
      <c r="D52" s="455"/>
      <c r="E52" s="456">
        <f>IF(E47&lt;E48,E48/E47-1,E47/E48-1)</f>
        <v>0.18521428571428578</v>
      </c>
      <c r="F52" s="457" t="str">
        <f>IF(OR(E52&gt;=0.3,E52&lt;=-0.3),"超过30%","")</f>
        <v/>
      </c>
      <c r="G52" s="456">
        <f>IF(G47&lt;G48,G48/G47-1,G47/G48-1)</f>
        <v>0.23264285714285715</v>
      </c>
      <c r="H52" s="457" t="str">
        <f>IF(OR(G52&gt;=0.3,G52&lt;=-0.3),"超过30%","")</f>
        <v/>
      </c>
      <c r="I52" s="456">
        <f>IF(I47&lt;I48,I48/I47-1,I47/I48-1)</f>
        <v>0.16199999999999992</v>
      </c>
      <c r="J52" s="457" t="str">
        <f>IF(OR(I52&gt;=0.3,I52&lt;=-0.3),"超过30%","")</f>
        <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2494</v>
      </c>
      <c r="D53" s="458"/>
      <c r="E53" s="456">
        <f>IF(E48&lt;G48,G48/E48-1,E48/G48-1)</f>
        <v>4.0016874585668605E-2</v>
      </c>
      <c r="F53" s="457" t="str">
        <f>IF(OR(E53&gt;=0.2,E53&lt;=-0.2),"超过20%","")</f>
        <v/>
      </c>
      <c r="G53" s="456">
        <f>IF(G48&lt;I48,I48/G48-1,G48/I48-1)</f>
        <v>0.14239375082748573</v>
      </c>
      <c r="H53" s="457" t="str">
        <f>IF(OR(G53&gt;=0.2,G53&lt;=-0.2),"超过20%","")</f>
        <v/>
      </c>
      <c r="I53" s="456">
        <f>IF(I48&lt;E48,E48/I48-1,I48/E48-1)</f>
        <v>9.843770687144171E-2</v>
      </c>
      <c r="J53" s="457" t="str">
        <f>IF(OR(I53&gt;=0.2,I53&lt;=-0.2),"超过20%","")</f>
        <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2495</v>
      </c>
      <c r="D54" s="458"/>
      <c r="E54" s="456">
        <f>IF(E47&lt;G47,G47/E47-1,E47/G47-1)</f>
        <v>0</v>
      </c>
      <c r="F54" s="457" t="str">
        <f>IF(OR(E54&gt;=0.3,E54&lt;=-0.3),"超过30%","")</f>
        <v/>
      </c>
      <c r="G54" s="456">
        <f>IF(G47&lt;I47,I47/G47-1,G47/I47-1)</f>
        <v>7.6923076923076872E-2</v>
      </c>
      <c r="H54" s="457" t="str">
        <f>IF(OR(G54&gt;=0.3,G54&lt;=-0.3),"超过30%","")</f>
        <v/>
      </c>
      <c r="I54" s="456">
        <f>IF(I47&lt;E47,E47/I47-1,I47/E47-1)</f>
        <v>7.6923076923076872E-2</v>
      </c>
      <c r="J54" s="457" t="str">
        <f>IF(OR(I54&gt;=0.3,I54&lt;=-0.3),"超过30%","")</f>
        <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2" t="s">
        <v>2496</v>
      </c>
      <c r="B57" s="698"/>
      <c r="C57" s="703"/>
      <c r="D57" s="703"/>
      <c r="E57" s="703"/>
      <c r="F57" s="704"/>
      <c r="G57" s="704"/>
      <c r="H57" s="703"/>
      <c r="I57" s="703"/>
      <c r="J57" s="703"/>
      <c r="K57" s="705"/>
      <c r="L57" s="1072"/>
      <c r="M57" s="1070"/>
      <c r="N57" s="1070"/>
      <c r="O57" s="1070"/>
      <c r="P57" s="2967"/>
      <c r="Q57" s="2968"/>
      <c r="R57" s="2954"/>
      <c r="S57" s="2954"/>
      <c r="T57" s="2954"/>
      <c r="U57" s="2954"/>
      <c r="V57" s="2954"/>
      <c r="W57" s="2954"/>
      <c r="X57" s="2954"/>
      <c r="Y57" s="2954"/>
      <c r="Z57" s="2954"/>
      <c r="AA57" s="2954"/>
      <c r="AB57" s="2954"/>
      <c r="AC57" s="2954"/>
    </row>
    <row r="58" spans="1:29" s="465" customFormat="1" ht="15">
      <c r="A58" s="462" t="s">
        <v>2370</v>
      </c>
      <c r="B58" s="463"/>
      <c r="C58" s="1344" t="str">
        <f>YEAR(C7)&amp;"-"&amp;MONTH(C7)</f>
        <v>2021-1</v>
      </c>
      <c r="D58" s="1345">
        <f>EDATE(C58,-1)</f>
        <v>44166</v>
      </c>
      <c r="E58" s="1345">
        <f t="shared" ref="E58:N58" si="16">EDATE(D58,-1)</f>
        <v>44136</v>
      </c>
      <c r="F58" s="1345">
        <f t="shared" si="16"/>
        <v>44105</v>
      </c>
      <c r="G58" s="1345">
        <f t="shared" si="16"/>
        <v>44075</v>
      </c>
      <c r="H58" s="1345">
        <f t="shared" si="16"/>
        <v>44044</v>
      </c>
      <c r="I58" s="1345">
        <f t="shared" si="16"/>
        <v>44013</v>
      </c>
      <c r="J58" s="1345">
        <f t="shared" si="16"/>
        <v>43983</v>
      </c>
      <c r="K58" s="1345">
        <f t="shared" si="16"/>
        <v>43952</v>
      </c>
      <c r="L58" s="1345">
        <f t="shared" si="16"/>
        <v>43922</v>
      </c>
      <c r="M58" s="1345">
        <f t="shared" si="16"/>
        <v>43891</v>
      </c>
      <c r="N58" s="1345">
        <f t="shared" si="16"/>
        <v>43862</v>
      </c>
      <c r="O58" s="1345">
        <f>EDATE(N58,-1)</f>
        <v>43831</v>
      </c>
      <c r="P58" s="2969"/>
      <c r="Q58" s="2970"/>
      <c r="R58" s="2970"/>
      <c r="S58" s="2970"/>
      <c r="T58" s="2970"/>
      <c r="U58" s="2970"/>
      <c r="V58" s="2970"/>
      <c r="W58" s="2970"/>
      <c r="X58" s="2970"/>
      <c r="Y58" s="2970"/>
      <c r="Z58" s="2970"/>
      <c r="AA58" s="2970"/>
      <c r="AB58" s="2970"/>
      <c r="AC58" s="2970"/>
    </row>
    <row r="59" spans="1:29" s="113" customFormat="1" ht="15">
      <c r="A59" s="466"/>
      <c r="B59" s="467"/>
      <c r="C59" s="1343">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2407</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2372</v>
      </c>
      <c r="B61" s="467"/>
      <c r="C61" s="479" t="s">
        <v>2474</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2410</v>
      </c>
      <c r="B63" s="485" t="s">
        <v>2376</v>
      </c>
      <c r="C63" s="486" t="str">
        <f>C9</f>
        <v>商业</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2379</v>
      </c>
      <c r="C65" s="496" t="s">
        <v>2411</v>
      </c>
      <c r="D65" s="496" t="s">
        <v>2412</v>
      </c>
      <c r="E65" s="496" t="s">
        <v>2413</v>
      </c>
      <c r="F65" s="496" t="s">
        <v>2414</v>
      </c>
      <c r="G65" s="496" t="s">
        <v>2415</v>
      </c>
      <c r="H65" s="496" t="s">
        <v>2416</v>
      </c>
      <c r="I65" s="496" t="s">
        <v>2417</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2380</v>
      </c>
      <c r="C67" s="504" t="str">
        <f>C68&amp;"（含）"&amp;"-"&amp;D68</f>
        <v>0（含）-1</v>
      </c>
      <c r="D67" s="504" t="str">
        <f t="shared" ref="D67:L67" si="17">D68&amp;"（含）"&amp;"-"&amp;E68</f>
        <v>1（含）-2</v>
      </c>
      <c r="E67" s="504" t="str">
        <f t="shared" si="17"/>
        <v>2（含）-3</v>
      </c>
      <c r="F67" s="504" t="str">
        <f t="shared" si="17"/>
        <v>3（含）-4</v>
      </c>
      <c r="G67" s="504" t="str">
        <f t="shared" si="17"/>
        <v>4（含）-5</v>
      </c>
      <c r="H67" s="504" t="str">
        <f t="shared" si="17"/>
        <v>5（含）-6</v>
      </c>
      <c r="I67" s="504" t="str">
        <f t="shared" si="17"/>
        <v>6（含）-7</v>
      </c>
      <c r="J67" s="504" t="str">
        <f t="shared" si="17"/>
        <v>7（含）-8</v>
      </c>
      <c r="K67" s="504" t="str">
        <f t="shared" si="17"/>
        <v>8（含）-9</v>
      </c>
      <c r="L67" s="504" t="str">
        <f t="shared" si="17"/>
        <v>9（含）-10</v>
      </c>
      <c r="M67" s="407" t="str">
        <f>M68&amp;"（含）"&amp;"-"&amp;P68</f>
        <v>10（含）-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v>0</v>
      </c>
      <c r="D68" s="506">
        <v>1</v>
      </c>
      <c r="E68" s="506">
        <v>2</v>
      </c>
      <c r="F68" s="506">
        <v>3</v>
      </c>
      <c r="G68" s="506">
        <v>4</v>
      </c>
      <c r="H68" s="506">
        <v>5</v>
      </c>
      <c r="I68" s="506">
        <v>6</v>
      </c>
      <c r="J68" s="506">
        <v>7</v>
      </c>
      <c r="K68" s="507">
        <v>8</v>
      </c>
      <c r="L68" s="508">
        <v>9</v>
      </c>
      <c r="M68" s="509">
        <v>10</v>
      </c>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95</v>
      </c>
      <c r="E69" s="501">
        <f t="shared" si="18"/>
        <v>90</v>
      </c>
      <c r="F69" s="501">
        <f t="shared" si="18"/>
        <v>85</v>
      </c>
      <c r="G69" s="501">
        <f t="shared" si="18"/>
        <v>80</v>
      </c>
      <c r="H69" s="501">
        <f t="shared" si="18"/>
        <v>75</v>
      </c>
      <c r="I69" s="501">
        <f t="shared" si="18"/>
        <v>70</v>
      </c>
      <c r="J69" s="501">
        <f t="shared" si="18"/>
        <v>65</v>
      </c>
      <c r="K69" s="501">
        <f t="shared" si="18"/>
        <v>60</v>
      </c>
      <c r="L69" s="501">
        <f t="shared" si="18"/>
        <v>55</v>
      </c>
      <c r="M69" s="502">
        <f t="shared" si="18"/>
        <v>50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2381</v>
      </c>
      <c r="B76" s="485" t="s">
        <v>2418</v>
      </c>
      <c r="C76" s="530" t="s">
        <v>2419</v>
      </c>
      <c r="D76" s="530" t="s">
        <v>2420</v>
      </c>
      <c r="E76" s="530" t="s">
        <v>2421</v>
      </c>
      <c r="F76" s="530" t="s">
        <v>2422</v>
      </c>
      <c r="G76" s="530" t="s">
        <v>2423</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98</v>
      </c>
      <c r="E77" s="501">
        <f>D77-$K15</f>
        <v>96</v>
      </c>
      <c r="F77" s="501">
        <f>E77-$K15</f>
        <v>94</v>
      </c>
      <c r="G77" s="501">
        <f>F77-$K15</f>
        <v>92</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2424</v>
      </c>
      <c r="C78" s="535" t="s">
        <v>2419</v>
      </c>
      <c r="D78" s="535" t="s">
        <v>2420</v>
      </c>
      <c r="E78" s="535" t="s">
        <v>2421</v>
      </c>
      <c r="F78" s="535" t="s">
        <v>2422</v>
      </c>
      <c r="G78" s="535" t="s">
        <v>2423</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98</v>
      </c>
      <c r="E79" s="501">
        <f>D79-$K17</f>
        <v>96</v>
      </c>
      <c r="F79" s="501">
        <f>E79-$K17</f>
        <v>94</v>
      </c>
      <c r="G79" s="501">
        <f>F79-$K17</f>
        <v>92</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2425</v>
      </c>
      <c r="C80" s="535" t="s">
        <v>2419</v>
      </c>
      <c r="D80" s="535" t="s">
        <v>2420</v>
      </c>
      <c r="E80" s="535" t="s">
        <v>2421</v>
      </c>
      <c r="F80" s="535" t="s">
        <v>2422</v>
      </c>
      <c r="G80" s="535" t="s">
        <v>2423</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98</v>
      </c>
      <c r="E81" s="501">
        <f>D81-$K19</f>
        <v>96</v>
      </c>
      <c r="F81" s="501">
        <f>E81-$K19</f>
        <v>94</v>
      </c>
      <c r="G81" s="501">
        <f>F81-$K19</f>
        <v>92</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2477</v>
      </c>
      <c r="C82" s="615" t="s">
        <v>2497</v>
      </c>
      <c r="D82" s="615" t="s">
        <v>2498</v>
      </c>
      <c r="E82" s="615" t="s">
        <v>2499</v>
      </c>
      <c r="F82" s="615" t="s">
        <v>2500</v>
      </c>
      <c r="G82" s="615" t="s">
        <v>2501</v>
      </c>
      <c r="H82" s="496"/>
      <c r="I82" s="496"/>
      <c r="J82" s="496"/>
      <c r="K82" s="496"/>
      <c r="L82" s="496"/>
      <c r="M82" s="1289"/>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98</v>
      </c>
      <c r="E83" s="501">
        <f t="shared" ref="E83:G83" si="19">D83-$K21</f>
        <v>96</v>
      </c>
      <c r="F83" s="501">
        <f t="shared" si="19"/>
        <v>94</v>
      </c>
      <c r="G83" s="501">
        <f t="shared" si="19"/>
        <v>92</v>
      </c>
      <c r="H83" s="615"/>
      <c r="I83" s="615"/>
      <c r="J83" s="615"/>
      <c r="K83" s="615"/>
      <c r="L83" s="615"/>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2431</v>
      </c>
      <c r="C84" s="535" t="s">
        <v>2419</v>
      </c>
      <c r="D84" s="535" t="s">
        <v>2420</v>
      </c>
      <c r="E84" s="535" t="s">
        <v>2421</v>
      </c>
      <c r="F84" s="535" t="s">
        <v>2422</v>
      </c>
      <c r="G84" s="535" t="s">
        <v>2423</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97</v>
      </c>
      <c r="E85" s="501">
        <f>D85-$K23</f>
        <v>94</v>
      </c>
      <c r="F85" s="501">
        <f>E85-$K23</f>
        <v>91</v>
      </c>
      <c r="G85" s="501">
        <f>F85-$K23</f>
        <v>88</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2502</v>
      </c>
      <c r="C86" s="3055" t="s">
        <v>3154</v>
      </c>
      <c r="D86" s="3055" t="s">
        <v>3155</v>
      </c>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3055" t="s">
        <v>3156</v>
      </c>
      <c r="D88" s="3055" t="s">
        <v>3157</v>
      </c>
      <c r="E88" s="3055" t="s">
        <v>3158</v>
      </c>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v>100</v>
      </c>
      <c r="D89" s="493">
        <v>97</v>
      </c>
      <c r="E89" s="493">
        <v>94</v>
      </c>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3055" t="s">
        <v>3159</v>
      </c>
      <c r="D90" s="3055" t="s">
        <v>3157</v>
      </c>
      <c r="E90" s="3055" t="s">
        <v>3160</v>
      </c>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98</v>
      </c>
      <c r="E91" s="501">
        <f t="shared" ref="E91:M91" si="21">D91-$K27</f>
        <v>96</v>
      </c>
      <c r="F91" s="501">
        <f t="shared" si="21"/>
        <v>94</v>
      </c>
      <c r="G91" s="501">
        <f t="shared" si="21"/>
        <v>92</v>
      </c>
      <c r="H91" s="501">
        <f t="shared" si="21"/>
        <v>90</v>
      </c>
      <c r="I91" s="501">
        <f t="shared" si="21"/>
        <v>88</v>
      </c>
      <c r="J91" s="501">
        <f t="shared" si="21"/>
        <v>86</v>
      </c>
      <c r="K91" s="501">
        <f t="shared" si="21"/>
        <v>84</v>
      </c>
      <c r="L91" s="501">
        <f t="shared" si="21"/>
        <v>82</v>
      </c>
      <c r="M91" s="501">
        <f t="shared" si="21"/>
        <v>80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v>1</v>
      </c>
      <c r="D92" s="511">
        <v>2</v>
      </c>
      <c r="E92" s="3056" t="s">
        <v>3161</v>
      </c>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v>100</v>
      </c>
      <c r="D93" s="493">
        <v>65</v>
      </c>
      <c r="E93" s="3057">
        <v>30</v>
      </c>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2385</v>
      </c>
      <c r="B100" s="485" t="s">
        <v>2503</v>
      </c>
      <c r="C100" s="3053" t="s">
        <v>3162</v>
      </c>
      <c r="D100" s="3053" t="s">
        <v>3163</v>
      </c>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85</v>
      </c>
      <c r="E101" s="501">
        <f t="shared" si="22"/>
        <v>70</v>
      </c>
      <c r="F101" s="501">
        <f t="shared" si="22"/>
        <v>55</v>
      </c>
      <c r="G101" s="501">
        <f t="shared" si="22"/>
        <v>40</v>
      </c>
      <c r="H101" s="501">
        <f t="shared" si="22"/>
        <v>25</v>
      </c>
      <c r="I101" s="501">
        <f t="shared" si="22"/>
        <v>10</v>
      </c>
      <c r="J101" s="501">
        <f t="shared" si="22"/>
        <v>-5</v>
      </c>
      <c r="K101" s="501">
        <f t="shared" si="22"/>
        <v>-20</v>
      </c>
      <c r="L101" s="501">
        <f t="shared" si="22"/>
        <v>-35</v>
      </c>
      <c r="M101" s="502">
        <f t="shared" si="22"/>
        <v>-50</v>
      </c>
      <c r="N101" s="2983"/>
      <c r="O101" s="2983"/>
      <c r="P101" s="2973"/>
      <c r="Q101" s="2968"/>
      <c r="R101" s="2954"/>
      <c r="S101" s="2954"/>
      <c r="T101" s="2954"/>
      <c r="U101" s="2954"/>
      <c r="V101" s="2954"/>
      <c r="W101" s="2954"/>
      <c r="X101" s="2954"/>
      <c r="Y101" s="2954"/>
      <c r="Z101" s="2954"/>
      <c r="AA101" s="2954"/>
      <c r="AB101" s="2954"/>
      <c r="AC101" s="2954"/>
    </row>
    <row r="102" spans="1:29" ht="29.25" thickTop="1">
      <c r="A102" s="491"/>
      <c r="B102" s="495" t="s">
        <v>2435</v>
      </c>
      <c r="C102" s="535" t="str">
        <f>C103&amp;"(含)"&amp;"-"&amp;D103</f>
        <v>0(含)-500000</v>
      </c>
      <c r="D102" s="535" t="str">
        <f t="shared" ref="D102:L102" si="23">D103&amp;"(含)"&amp;"-"&amp;E103</f>
        <v>500000(含)-1000000</v>
      </c>
      <c r="E102" s="535" t="str">
        <f t="shared" si="23"/>
        <v>1000000(含)-1500000</v>
      </c>
      <c r="F102" s="535" t="str">
        <f t="shared" si="23"/>
        <v>1500000(含)-200000</v>
      </c>
      <c r="G102" s="535" t="str">
        <f t="shared" si="23"/>
        <v>200000(含)-</v>
      </c>
      <c r="H102" s="535" t="str">
        <f t="shared" si="23"/>
        <v>(含)-</v>
      </c>
      <c r="I102" s="535" t="str">
        <f t="shared" si="23"/>
        <v>(含)-</v>
      </c>
      <c r="J102" s="535" t="str">
        <f t="shared" si="23"/>
        <v>(含)-</v>
      </c>
      <c r="K102" s="535" t="str">
        <f t="shared" si="23"/>
        <v>(含)-</v>
      </c>
      <c r="L102" s="535" t="str">
        <f t="shared" si="23"/>
        <v>(含)-</v>
      </c>
      <c r="M102" s="577"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v>0</v>
      </c>
      <c r="D103" s="552">
        <v>500000</v>
      </c>
      <c r="E103" s="552">
        <v>1000000</v>
      </c>
      <c r="F103" s="552">
        <v>1500000</v>
      </c>
      <c r="G103" s="552">
        <v>200000</v>
      </c>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v>100</v>
      </c>
      <c r="D104" s="493">
        <v>101</v>
      </c>
      <c r="E104" s="493">
        <v>102</v>
      </c>
      <c r="F104" s="493">
        <v>103</v>
      </c>
      <c r="G104" s="493">
        <v>104</v>
      </c>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2436</v>
      </c>
      <c r="C105" s="3055" t="s">
        <v>3164</v>
      </c>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98</v>
      </c>
      <c r="E106" s="501">
        <f t="shared" si="24"/>
        <v>96</v>
      </c>
      <c r="F106" s="501">
        <f t="shared" si="24"/>
        <v>94</v>
      </c>
      <c r="G106" s="501">
        <f t="shared" si="24"/>
        <v>92</v>
      </c>
      <c r="H106" s="501">
        <f t="shared" si="24"/>
        <v>90</v>
      </c>
      <c r="I106" s="501">
        <f t="shared" si="24"/>
        <v>88</v>
      </c>
      <c r="J106" s="501">
        <f t="shared" si="24"/>
        <v>86</v>
      </c>
      <c r="K106" s="501">
        <f t="shared" si="24"/>
        <v>84</v>
      </c>
      <c r="L106" s="501">
        <f t="shared" si="24"/>
        <v>82</v>
      </c>
      <c r="M106" s="502">
        <f t="shared" si="24"/>
        <v>80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2438</v>
      </c>
      <c r="C107" s="3055" t="s">
        <v>3165</v>
      </c>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98</v>
      </c>
      <c r="E108" s="501">
        <f t="shared" si="25"/>
        <v>96</v>
      </c>
      <c r="F108" s="501">
        <f t="shared" si="25"/>
        <v>94</v>
      </c>
      <c r="G108" s="501">
        <f t="shared" si="25"/>
        <v>92</v>
      </c>
      <c r="H108" s="501">
        <f t="shared" si="25"/>
        <v>90</v>
      </c>
      <c r="I108" s="501">
        <f t="shared" si="25"/>
        <v>88</v>
      </c>
      <c r="J108" s="501">
        <f t="shared" si="25"/>
        <v>86</v>
      </c>
      <c r="K108" s="501">
        <f t="shared" si="25"/>
        <v>84</v>
      </c>
      <c r="L108" s="501">
        <f t="shared" si="25"/>
        <v>82</v>
      </c>
      <c r="M108" s="502">
        <f t="shared" si="25"/>
        <v>80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8"/>
      <c r="J110" s="578"/>
      <c r="K110" s="579"/>
      <c r="L110" s="580"/>
      <c r="M110" s="581"/>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101</v>
      </c>
      <c r="E111" s="501">
        <f t="shared" ref="E111:M111" si="26">D111+$K36</f>
        <v>102</v>
      </c>
      <c r="F111" s="501">
        <f t="shared" si="26"/>
        <v>103</v>
      </c>
      <c r="G111" s="501">
        <f t="shared" si="26"/>
        <v>104</v>
      </c>
      <c r="H111" s="501">
        <f t="shared" si="26"/>
        <v>105</v>
      </c>
      <c r="I111" s="501">
        <f t="shared" si="26"/>
        <v>106</v>
      </c>
      <c r="J111" s="501">
        <f t="shared" si="26"/>
        <v>107</v>
      </c>
      <c r="K111" s="501">
        <f t="shared" si="26"/>
        <v>108</v>
      </c>
      <c r="L111" s="501">
        <f t="shared" si="26"/>
        <v>109</v>
      </c>
      <c r="M111" s="501">
        <f t="shared" si="26"/>
        <v>110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2440</v>
      </c>
      <c r="C112" s="3055" t="s">
        <v>3166</v>
      </c>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98</v>
      </c>
      <c r="E113" s="501">
        <f t="shared" ref="E113:M113" si="27">D113-$K37</f>
        <v>96</v>
      </c>
      <c r="F113" s="501">
        <f t="shared" si="27"/>
        <v>94</v>
      </c>
      <c r="G113" s="501">
        <f t="shared" si="27"/>
        <v>92</v>
      </c>
      <c r="H113" s="501">
        <f t="shared" si="27"/>
        <v>90</v>
      </c>
      <c r="I113" s="501">
        <f t="shared" si="27"/>
        <v>88</v>
      </c>
      <c r="J113" s="501">
        <f t="shared" si="27"/>
        <v>86</v>
      </c>
      <c r="K113" s="501">
        <f t="shared" si="27"/>
        <v>84</v>
      </c>
      <c r="L113" s="501">
        <f t="shared" si="27"/>
        <v>82</v>
      </c>
      <c r="M113" s="501">
        <f t="shared" si="27"/>
        <v>80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2504</v>
      </c>
      <c r="C114" s="3055" t="s">
        <v>3167</v>
      </c>
      <c r="D114" s="3055" t="s">
        <v>3168</v>
      </c>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98</v>
      </c>
      <c r="E115" s="501">
        <f t="shared" si="28"/>
        <v>96</v>
      </c>
      <c r="F115" s="501">
        <f t="shared" si="28"/>
        <v>94</v>
      </c>
      <c r="G115" s="501">
        <f t="shared" si="28"/>
        <v>92</v>
      </c>
      <c r="H115" s="501">
        <f t="shared" si="28"/>
        <v>90</v>
      </c>
      <c r="I115" s="501">
        <f t="shared" si="28"/>
        <v>88</v>
      </c>
      <c r="J115" s="501">
        <f t="shared" si="28"/>
        <v>86</v>
      </c>
      <c r="K115" s="501">
        <f t="shared" si="28"/>
        <v>84</v>
      </c>
      <c r="L115" s="501">
        <f t="shared" si="28"/>
        <v>82</v>
      </c>
      <c r="M115" s="502">
        <f t="shared" si="28"/>
        <v>80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2505</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2506</v>
      </c>
      <c r="C118" s="582"/>
      <c r="D118" s="3058" t="str">
        <f>E40</f>
        <v>50-100</v>
      </c>
      <c r="E118" s="3058" t="s">
        <v>3169</v>
      </c>
      <c r="F118" s="3059">
        <v>7639.66</v>
      </c>
      <c r="G118" s="582"/>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3060">
        <f>E119+2.5</f>
        <v>105</v>
      </c>
      <c r="E119" s="3060">
        <f>F119+2.5</f>
        <v>102.5</v>
      </c>
      <c r="F119" s="3060">
        <v>100</v>
      </c>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2507</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2442</v>
      </c>
      <c r="C122" s="3055" t="s">
        <v>3170</v>
      </c>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98</v>
      </c>
      <c r="E123" s="501">
        <f t="shared" si="30"/>
        <v>96</v>
      </c>
      <c r="F123" s="501">
        <f t="shared" si="30"/>
        <v>94</v>
      </c>
      <c r="G123" s="501">
        <f t="shared" si="30"/>
        <v>92</v>
      </c>
      <c r="H123" s="501">
        <f t="shared" si="30"/>
        <v>90</v>
      </c>
      <c r="I123" s="501">
        <f t="shared" si="30"/>
        <v>88</v>
      </c>
      <c r="J123" s="501">
        <f t="shared" si="30"/>
        <v>86</v>
      </c>
      <c r="K123" s="501">
        <f t="shared" si="30"/>
        <v>84</v>
      </c>
      <c r="L123" s="501">
        <f t="shared" si="30"/>
        <v>82</v>
      </c>
      <c r="M123" s="502">
        <f t="shared" si="30"/>
        <v>80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2443</v>
      </c>
      <c r="C124" s="535" t="s">
        <v>2419</v>
      </c>
      <c r="D124" s="535" t="s">
        <v>2420</v>
      </c>
      <c r="E124" s="535" t="s">
        <v>2421</v>
      </c>
      <c r="F124" s="535" t="s">
        <v>2422</v>
      </c>
      <c r="G124" s="535" t="s">
        <v>2423</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50" sqref="J50"/>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1"/>
      <c r="C1" s="1563" t="s">
        <v>48</v>
      </c>
      <c r="D1" s="1546" t="s">
        <v>70</v>
      </c>
      <c r="E1" s="1547" t="s">
        <v>1352</v>
      </c>
      <c r="F1" s="1191">
        <f ca="1">J53</f>
        <v>32.770000000000003</v>
      </c>
      <c r="G1" s="1562">
        <f>MATCH(C1,'数据-取费表'!A6:A16,0)+5</f>
        <v>7</v>
      </c>
      <c r="H1" s="2921"/>
      <c r="I1" s="2922"/>
      <c r="J1" s="2922"/>
      <c r="K1" s="2923"/>
      <c r="L1" s="2922"/>
      <c r="M1" s="2922"/>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9" t="s">
        <v>1480</v>
      </c>
      <c r="B2" s="1570">
        <f ca="1">C40+J29+L46</f>
        <v>1059</v>
      </c>
      <c r="C2" s="1571" t="s">
        <v>1481</v>
      </c>
      <c r="D2" s="1571"/>
      <c r="E2" s="1572"/>
      <c r="F2" s="1573"/>
      <c r="G2" s="2935"/>
      <c r="H2" s="2924"/>
      <c r="I2" s="2924"/>
      <c r="J2" s="2924"/>
      <c r="K2" s="2925"/>
      <c r="L2" s="2924"/>
      <c r="M2" s="2924"/>
    </row>
    <row r="3" spans="1:37" ht="18" customHeight="1" thickBot="1">
      <c r="A3" s="1574" t="s">
        <v>1482</v>
      </c>
      <c r="B3" s="1575">
        <f ca="1">IF(ISERROR(B2*10000/F43),0,ROUND(B2*10000/F43,0))</f>
        <v>1636</v>
      </c>
      <c r="C3" s="1571" t="s">
        <v>1483</v>
      </c>
      <c r="D3" s="1571"/>
      <c r="E3" s="1572"/>
      <c r="F3" s="1573"/>
      <c r="G3" s="2935"/>
      <c r="H3" s="691"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0">
        <f ca="1">C6+C10+C12</f>
        <v>100</v>
      </c>
      <c r="D5" s="1548" t="s">
        <v>1367</v>
      </c>
      <c r="E5" s="1201"/>
      <c r="F5" s="1202"/>
      <c r="G5" s="1568"/>
      <c r="H5" s="305">
        <v>1</v>
      </c>
      <c r="I5" s="306" t="s">
        <v>1366</v>
      </c>
      <c r="J5" s="1200">
        <f ca="1">J6+J10+J12</f>
        <v>0</v>
      </c>
      <c r="K5" s="1548" t="s">
        <v>1367</v>
      </c>
      <c r="L5" s="1201"/>
      <c r="M5" s="1202"/>
    </row>
    <row r="6" spans="1:37" ht="18" customHeight="1">
      <c r="A6" s="1199" t="s">
        <v>1003</v>
      </c>
      <c r="B6" s="3340" t="s">
        <v>1368</v>
      </c>
      <c r="C6" s="1204">
        <f ca="1">ROUND(F6*F8*F7*(1-F9)/10000,0)</f>
        <v>100</v>
      </c>
      <c r="D6" s="160" t="s">
        <v>2849</v>
      </c>
      <c r="E6" s="308" t="s">
        <v>1370</v>
      </c>
      <c r="F6" s="309">
        <f ca="1">INDIRECT("'数据-取费表'!u"&amp;$G$1)</f>
        <v>0.5</v>
      </c>
      <c r="G6" s="1568"/>
      <c r="H6" s="1199" t="s">
        <v>1003</v>
      </c>
      <c r="I6" s="3340" t="s">
        <v>1368</v>
      </c>
      <c r="J6" s="307">
        <f ca="1">ROUND(M6*M8*M7*(1-M9)/10000,0)</f>
        <v>0</v>
      </c>
      <c r="K6" s="160" t="s">
        <v>2848</v>
      </c>
      <c r="L6" s="308" t="s">
        <v>1370</v>
      </c>
      <c r="M6" s="309">
        <f ca="1">INDIRECT("'数据-取费表'!z"&amp;$G$1)</f>
        <v>0</v>
      </c>
    </row>
    <row r="7" spans="1:37" ht="18" customHeight="1">
      <c r="A7" s="1203"/>
      <c r="B7" s="3341"/>
      <c r="C7" s="1205"/>
      <c r="D7" s="313"/>
      <c r="E7" s="1206" t="s">
        <v>1371</v>
      </c>
      <c r="F7" s="309">
        <f ca="1">IF(INDIRECT("'数据-取费表'!ah"&amp;$G$1)="",INDIRECT("'数据-取费表'!k"&amp;$G$1),INDIRECT("'数据-取费表'!ah"&amp;$G$1))</f>
        <v>6471.53</v>
      </c>
      <c r="G7" s="1568"/>
      <c r="H7" s="310"/>
      <c r="I7" s="3341"/>
      <c r="J7" s="312"/>
      <c r="K7" s="313"/>
      <c r="L7" s="308" t="s">
        <v>1371</v>
      </c>
      <c r="M7" s="309">
        <f ca="1">F7</f>
        <v>6471.53</v>
      </c>
    </row>
    <row r="8" spans="1:37" ht="18" customHeight="1">
      <c r="A8" s="310"/>
      <c r="B8" s="3341"/>
      <c r="C8" s="312"/>
      <c r="D8" s="313"/>
      <c r="E8" s="308" t="s">
        <v>1372</v>
      </c>
      <c r="F8" s="309">
        <f ca="1">INDIRECT("'数据-取费表'!ai"&amp;$G$1)</f>
        <v>365</v>
      </c>
      <c r="G8" s="1568"/>
      <c r="H8" s="310"/>
      <c r="I8" s="3341"/>
      <c r="J8" s="312"/>
      <c r="K8" s="313"/>
      <c r="L8" s="308" t="s">
        <v>1372</v>
      </c>
      <c r="M8" s="309">
        <f ca="1">INDIRECT("'数据-取费表'!ai"&amp;$G$1)</f>
        <v>365</v>
      </c>
    </row>
    <row r="9" spans="1:37" ht="18" customHeight="1">
      <c r="A9" s="310"/>
      <c r="B9" s="3342"/>
      <c r="C9" s="312"/>
      <c r="D9" s="313"/>
      <c r="E9" s="308" t="s">
        <v>1373</v>
      </c>
      <c r="F9" s="318">
        <f ca="1">INDIRECT("'数据-取费表'!w"&amp;$G$1)</f>
        <v>0.15</v>
      </c>
      <c r="G9" s="1568"/>
      <c r="H9" s="310"/>
      <c r="I9" s="3342"/>
      <c r="J9" s="312"/>
      <c r="K9" s="313"/>
      <c r="L9" s="319" t="s">
        <v>1373</v>
      </c>
      <c r="M9" s="320">
        <f ca="1">INDIRECT("'数据-取费表'!ab"&amp;$G$1)</f>
        <v>0</v>
      </c>
    </row>
    <row r="10" spans="1:37" ht="18" customHeight="1">
      <c r="A10" s="1199" t="s">
        <v>1007</v>
      </c>
      <c r="B10" s="1549" t="s">
        <v>1374</v>
      </c>
      <c r="C10" s="322">
        <f ca="1">ROUND(IF(F10="押一",C6/12*F11,IF(F10="押二",C6/12*2*F11,IF(F10="押三",C6/12*3*F11,C11*F11))),0)</f>
        <v>0</v>
      </c>
      <c r="D10" s="1550" t="s">
        <v>2857</v>
      </c>
      <c r="E10" s="319" t="s">
        <v>1375</v>
      </c>
      <c r="F10" s="1274" t="s">
        <v>3057</v>
      </c>
      <c r="G10" s="1568"/>
      <c r="H10" s="1199" t="s">
        <v>1007</v>
      </c>
      <c r="I10" s="1549" t="s">
        <v>1374</v>
      </c>
      <c r="J10" s="307">
        <f ca="1">ROUND(IF(M10="押一",J6/12*M11,IF(M10="押二",J6/12*2*M11,IF(M10="押三",J6/12*3*M11,J11*M11))),0)</f>
        <v>0</v>
      </c>
      <c r="K10" s="1550" t="s">
        <v>2856</v>
      </c>
      <c r="L10" s="319" t="s">
        <v>1375</v>
      </c>
      <c r="M10" s="1274" t="s">
        <v>1376</v>
      </c>
    </row>
    <row r="11" spans="1:37" ht="18" customHeight="1">
      <c r="A11" s="314"/>
      <c r="B11" s="1551" t="s">
        <v>1353</v>
      </c>
      <c r="C11" s="1089"/>
      <c r="D11" s="1552"/>
      <c r="E11" s="319" t="s">
        <v>1377</v>
      </c>
      <c r="F11" s="320">
        <f ca="1">'数据-取费表'!B39</f>
        <v>1.4999999999999999E-2</v>
      </c>
      <c r="G11" s="1568"/>
      <c r="H11" s="1207"/>
      <c r="I11" s="1551" t="s">
        <v>1353</v>
      </c>
      <c r="J11" s="1089"/>
      <c r="K11" s="692"/>
      <c r="L11" s="319" t="s">
        <v>1377</v>
      </c>
      <c r="M11" s="970">
        <f ca="1">'数据-取费表'!B39</f>
        <v>1.4999999999999999E-2</v>
      </c>
    </row>
    <row r="12" spans="1:37" ht="18" customHeight="1" thickBot="1">
      <c r="A12" s="1241" t="s">
        <v>1043</v>
      </c>
      <c r="B12" s="1553" t="s">
        <v>1378</v>
      </c>
      <c r="C12" s="1242"/>
      <c r="D12" s="1243"/>
      <c r="E12" s="1248"/>
      <c r="F12" s="1244"/>
      <c r="G12" s="1568"/>
      <c r="H12" s="1241" t="s">
        <v>1043</v>
      </c>
      <c r="I12" s="1553" t="s">
        <v>1378</v>
      </c>
      <c r="J12" s="1242"/>
      <c r="K12" s="1256"/>
      <c r="L12" s="1248"/>
      <c r="M12" s="1257"/>
    </row>
    <row r="13" spans="1:37" ht="18" customHeight="1" thickTop="1">
      <c r="A13" s="1237">
        <v>2</v>
      </c>
      <c r="B13" s="1238" t="s">
        <v>1379</v>
      </c>
      <c r="C13" s="316">
        <f ca="1">ROUND(C29*F13,0)</f>
        <v>1823</v>
      </c>
      <c r="D13" s="1239" t="s">
        <v>1380</v>
      </c>
      <c r="E13" s="1239" t="s">
        <v>1381</v>
      </c>
      <c r="F13" s="1240">
        <f ca="1">INDIRECT("'数据-取费表'!y"&amp;$G$1)</f>
        <v>0.82</v>
      </c>
      <c r="G13" s="1568"/>
      <c r="H13" s="1237">
        <v>2</v>
      </c>
      <c r="I13" s="1238" t="s">
        <v>1379</v>
      </c>
      <c r="J13" s="1198">
        <f ca="1">ROUND(J14*J15,0)</f>
        <v>0</v>
      </c>
      <c r="K13" s="1245" t="s">
        <v>1380</v>
      </c>
      <c r="L13" s="1576"/>
      <c r="M13" s="1577"/>
    </row>
    <row r="14" spans="1:37" ht="18" customHeight="1">
      <c r="A14" s="1112" t="s">
        <v>1002</v>
      </c>
      <c r="B14" s="308" t="s">
        <v>1382</v>
      </c>
      <c r="C14" s="324">
        <f ca="1">INDIRECT("'数据-取费表'!m"&amp;$G$1)+INDIRECT("'数据-取费表'!t"&amp;$G$1)</f>
        <v>1618</v>
      </c>
      <c r="D14" s="1529" t="s">
        <v>1383</v>
      </c>
      <c r="E14" s="1526"/>
      <c r="F14" s="325"/>
      <c r="G14" s="1568"/>
      <c r="H14" s="1112" t="s">
        <v>1003</v>
      </c>
      <c r="I14" s="308" t="s">
        <v>1384</v>
      </c>
      <c r="J14" s="24">
        <f ca="1">C29</f>
        <v>2223</v>
      </c>
      <c r="K14" s="15"/>
      <c r="L14" s="915"/>
      <c r="M14" s="916"/>
    </row>
    <row r="15" spans="1:37" s="1581" customFormat="1" ht="18" customHeight="1" thickBot="1">
      <c r="A15" s="1112" t="s">
        <v>1004</v>
      </c>
      <c r="B15" s="308" t="s">
        <v>1385</v>
      </c>
      <c r="C15" s="24">
        <f ca="1">ROUND(C14*F15,0)</f>
        <v>81</v>
      </c>
      <c r="D15" s="326" t="s">
        <v>1386</v>
      </c>
      <c r="E15" s="326" t="s">
        <v>1387</v>
      </c>
      <c r="F15" s="327">
        <f>'数据-取费表'!B33</f>
        <v>0.05</v>
      </c>
      <c r="G15" s="1580"/>
      <c r="H15" s="1247" t="s">
        <v>1007</v>
      </c>
      <c r="I15" s="1248" t="s">
        <v>1381</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2" t="s">
        <v>1354</v>
      </c>
      <c r="B16" s="308" t="s">
        <v>1388</v>
      </c>
      <c r="C16" s="24">
        <f ca="1">ROUND(INDIRECT("'数据-取费表'!m"&amp;$G$1)*F16,0)</f>
        <v>0</v>
      </c>
      <c r="D16" s="308" t="s">
        <v>1386</v>
      </c>
      <c r="E16" s="308" t="s">
        <v>1387</v>
      </c>
      <c r="F16" s="328">
        <f ca="1">IF(INDIRECT("'数据-取费表'!c"&amp;$G$1)="住宅",'数据-取费表'!B34,0)</f>
        <v>0</v>
      </c>
      <c r="G16" s="1568"/>
      <c r="H16" s="1237" t="s">
        <v>998</v>
      </c>
      <c r="I16" s="1238" t="s">
        <v>1389</v>
      </c>
      <c r="J16" s="316">
        <f ca="1">ROUND(J17+J22+J23+J24,0)</f>
        <v>39</v>
      </c>
      <c r="K16" s="1245" t="s">
        <v>1390</v>
      </c>
      <c r="L16" s="1246"/>
      <c r="M16" s="1202"/>
    </row>
    <row r="17" spans="1:37" s="1581" customFormat="1" ht="18" customHeight="1">
      <c r="A17" s="1112" t="s">
        <v>1355</v>
      </c>
      <c r="B17" s="308" t="s">
        <v>1391</v>
      </c>
      <c r="C17" s="24">
        <f ca="1">ROUND(F17*(F43+INDIRECT("'数据-取费表'!S"&amp;$G$1))/10000,0)</f>
        <v>129</v>
      </c>
      <c r="D17" s="308" t="s">
        <v>1392</v>
      </c>
      <c r="E17" s="308" t="s">
        <v>1393</v>
      </c>
      <c r="F17" s="26">
        <f>'数据-取费表'!B35</f>
        <v>200</v>
      </c>
      <c r="G17" s="1580"/>
      <c r="H17" s="1112" t="s">
        <v>1003</v>
      </c>
      <c r="I17" s="308" t="s">
        <v>1394</v>
      </c>
      <c r="J17" s="2534">
        <f ca="1">ROUND(IF(AND(项目基本情况!B11="自然人",项目基本情况!B10="北京市"),J6*M17/(1+'数据-取费表'!C42),J18+J19+J20),0)</f>
        <v>6</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2" t="s">
        <v>1356</v>
      </c>
      <c r="B18" s="308" t="s">
        <v>1397</v>
      </c>
      <c r="C18" s="24">
        <f ca="1">ROUND(C14*F18,0)</f>
        <v>24</v>
      </c>
      <c r="D18" s="308" t="s">
        <v>1386</v>
      </c>
      <c r="E18" s="308" t="s">
        <v>1387</v>
      </c>
      <c r="F18" s="328">
        <f>'数据-取费表'!B36</f>
        <v>1.4999999999999999E-2</v>
      </c>
      <c r="G18" s="1580"/>
      <c r="H18" s="1112" t="s">
        <v>1002</v>
      </c>
      <c r="I18" s="308" t="s">
        <v>1398</v>
      </c>
      <c r="J18" s="24">
        <f ca="1">ROUND(J6*M18/(1+'数据-取费表'!C42),2)</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2" t="s">
        <v>1003</v>
      </c>
      <c r="B19" s="308" t="s">
        <v>1400</v>
      </c>
      <c r="C19" s="24">
        <f ca="1">SUM(C14:C18)</f>
        <v>1852</v>
      </c>
      <c r="D19" s="136" t="s">
        <v>1401</v>
      </c>
      <c r="E19" s="1544"/>
      <c r="F19" s="26"/>
      <c r="G19" s="1568"/>
      <c r="H19" s="1112" t="s">
        <v>1004</v>
      </c>
      <c r="I19" s="308" t="s">
        <v>1402</v>
      </c>
      <c r="J19" s="24">
        <f ca="1">IF(K19="按租金收入计税",ROUND(J6*M19/(1+'数据-取费表'!C42),2),ROUND(C29*M19*0.7,2))</f>
        <v>0</v>
      </c>
      <c r="K19" s="1554" t="s">
        <v>3058</v>
      </c>
      <c r="L19" s="308" t="s">
        <v>1387</v>
      </c>
      <c r="M19" s="328">
        <f>IF(K19="按租金收入计税",'数据-取费表'!B51,'数据-取费表'!B50)</f>
        <v>0.12</v>
      </c>
    </row>
    <row r="20" spans="1:37" s="1581" customFormat="1" ht="18" customHeight="1">
      <c r="A20" s="1112" t="s">
        <v>1007</v>
      </c>
      <c r="B20" s="308" t="s">
        <v>1404</v>
      </c>
      <c r="C20" s="24">
        <f ca="1">ROUND(C19*F20,0)</f>
        <v>56</v>
      </c>
      <c r="D20" s="329" t="s">
        <v>1405</v>
      </c>
      <c r="E20" s="308" t="s">
        <v>1387</v>
      </c>
      <c r="F20" s="328">
        <f>'数据-取费表'!B37</f>
        <v>0.03</v>
      </c>
      <c r="G20" s="1580"/>
      <c r="H20" s="1112" t="s">
        <v>1354</v>
      </c>
      <c r="I20" s="160" t="s">
        <v>1406</v>
      </c>
      <c r="J20" s="25">
        <f ca="1">ROUND(M20*M21/10000,2)</f>
        <v>6.15</v>
      </c>
      <c r="K20" s="330" t="s">
        <v>1407</v>
      </c>
      <c r="L20" s="308" t="s">
        <v>1408</v>
      </c>
      <c r="M20" s="331">
        <f>'数据-取费表'!B52</f>
        <v>11</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2" t="s">
        <v>1043</v>
      </c>
      <c r="B21" s="308" t="s">
        <v>1409</v>
      </c>
      <c r="C21" s="24" t="s">
        <v>18</v>
      </c>
      <c r="D21" s="329" t="s">
        <v>1410</v>
      </c>
      <c r="E21" s="308" t="s">
        <v>1411</v>
      </c>
      <c r="F21" s="328">
        <f>'数据-取费表'!B38</f>
        <v>0.03</v>
      </c>
      <c r="G21" s="1580"/>
      <c r="H21" s="332"/>
      <c r="I21" s="317"/>
      <c r="J21" s="29"/>
      <c r="K21" s="333"/>
      <c r="L21" s="308" t="s">
        <v>1412</v>
      </c>
      <c r="M21" s="309">
        <f ca="1">INDIRECT("'数据-取费表'!r"&amp;$G$1)</f>
        <v>5594.63</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2" t="s">
        <v>1357</v>
      </c>
      <c r="B22" s="308" t="s">
        <v>1413</v>
      </c>
      <c r="C22" s="24"/>
      <c r="D22" s="136" t="str">
        <f>IF(F23&lt;=1,"单利计息。","复利计息。")&amp;"建造成本、管理费用、销售费用产生的利息。"</f>
        <v>复利计息。建造成本、管理费用、销售费用产生的利息。</v>
      </c>
      <c r="E22" s="1544"/>
      <c r="F22" s="26"/>
      <c r="G22" s="1568"/>
      <c r="H22" s="1112" t="s">
        <v>1007</v>
      </c>
      <c r="I22" s="308" t="s">
        <v>1414</v>
      </c>
      <c r="J22" s="24">
        <f ca="1">ROUND(J14*M22,1)</f>
        <v>33.299999999999997</v>
      </c>
      <c r="K22" s="1528" t="s">
        <v>1415</v>
      </c>
      <c r="L22" s="308" t="s">
        <v>1387</v>
      </c>
      <c r="M22" s="334">
        <f ca="1">INDIRECT("'数据-取费表'!Ak"&amp;$G$1)</f>
        <v>1.4999999999999999E-2</v>
      </c>
    </row>
    <row r="23" spans="1:37" s="1581" customFormat="1" ht="18" customHeight="1">
      <c r="A23" s="1112" t="s">
        <v>1002</v>
      </c>
      <c r="B23" s="308" t="s">
        <v>1416</v>
      </c>
      <c r="C23" s="24">
        <f ca="1">IF('数据-取费表'!B22&lt;=1,ROUND(C19*F24*F23/2,0)+ROUND(C20*F24*F23/2,0),ROUND(C19*(POWER((1+F24),F23/2)-1),0)+ROUND(C20*(POWER((1+F24),F23/2)-1),0))</f>
        <v>68</v>
      </c>
      <c r="D23" s="335" t="str">
        <f>IF(F23&lt;=1,"(建造成本+管理费用)×利率×(建设周期÷2)","(建造成本+管理费用)×((1+利率)^(建设周期÷2)-1)")</f>
        <v>(建造成本+管理费用)×((1+利率)^(建设周期÷2)-1)</v>
      </c>
      <c r="E23" s="308" t="s">
        <v>1417</v>
      </c>
      <c r="F23" s="331">
        <f>'数据-取费表'!B20</f>
        <v>1.5</v>
      </c>
      <c r="G23" s="1580"/>
      <c r="H23" s="1112" t="s">
        <v>1043</v>
      </c>
      <c r="I23" s="308" t="s">
        <v>1418</v>
      </c>
      <c r="J23" s="24">
        <f ca="1">ROUND(J13*M23,1)</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2" t="s">
        <v>1421</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4.7500000000000001E-2</v>
      </c>
      <c r="G24" s="1580"/>
      <c r="H24" s="1247" t="s">
        <v>1358</v>
      </c>
      <c r="I24" s="1248" t="s">
        <v>1404</v>
      </c>
      <c r="J24" s="1249">
        <f ca="1">ROUND(J5*M24,1)</f>
        <v>0</v>
      </c>
      <c r="K24" s="1250" t="s">
        <v>1424</v>
      </c>
      <c r="L24" s="1248" t="s">
        <v>1420</v>
      </c>
      <c r="M24" s="1244">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2" t="s">
        <v>1425</v>
      </c>
      <c r="B25" s="308" t="s">
        <v>1426</v>
      </c>
      <c r="C25" s="24"/>
      <c r="D25" s="136" t="s">
        <v>1427</v>
      </c>
      <c r="E25" s="1544"/>
      <c r="F25" s="26"/>
      <c r="G25" s="1568"/>
      <c r="H25" s="1237" t="s">
        <v>999</v>
      </c>
      <c r="I25" s="1252" t="s">
        <v>1428</v>
      </c>
      <c r="J25" s="316">
        <f ca="1">J5-J16</f>
        <v>-39</v>
      </c>
      <c r="K25" s="1253" t="s">
        <v>1429</v>
      </c>
      <c r="L25" s="1254"/>
      <c r="M25" s="1255"/>
    </row>
    <row r="26" spans="1:37">
      <c r="A26" s="1112" t="s">
        <v>1002</v>
      </c>
      <c r="B26" s="308" t="s">
        <v>1430</v>
      </c>
      <c r="C26" s="24">
        <f ca="1">ROUND((C19+C20)*F26,0)</f>
        <v>57</v>
      </c>
      <c r="D26" s="329" t="s">
        <v>1431</v>
      </c>
      <c r="E26" s="319" t="s">
        <v>1432</v>
      </c>
      <c r="F26" s="318">
        <f ca="1">INDIRECT("'数据-取费表'!q"&amp;$G$1)</f>
        <v>0.03</v>
      </c>
      <c r="G26" s="1568"/>
      <c r="H26" s="305" t="s">
        <v>1000</v>
      </c>
      <c r="I26" s="306" t="s">
        <v>1433</v>
      </c>
      <c r="J26" s="307">
        <f ca="1">IF(J5&lt;&gt;0,ROUND(J25*(1-((1+M28)/(1+M26))^M27)/(M26-M28),0),0)</f>
        <v>0</v>
      </c>
      <c r="K26" s="330" t="s">
        <v>1434</v>
      </c>
      <c r="L26" s="308" t="s">
        <v>1435</v>
      </c>
      <c r="M26" s="318">
        <f ca="1">INDIRECT("'数据-取费表'!I"&amp;$G$1)</f>
        <v>4.4999999999999998E-2</v>
      </c>
    </row>
    <row r="27" spans="1:37" ht="18" customHeight="1">
      <c r="A27" s="1112" t="s">
        <v>1004</v>
      </c>
      <c r="B27" s="308" t="s">
        <v>1436</v>
      </c>
      <c r="C27" s="24">
        <f ca="1">ROUND(F21*F26,4)</f>
        <v>8.9999999999999998E-4</v>
      </c>
      <c r="D27" s="329" t="s">
        <v>1437</v>
      </c>
      <c r="E27" s="326"/>
      <c r="F27" s="327"/>
      <c r="G27" s="1568"/>
      <c r="H27" s="310"/>
      <c r="I27" s="311"/>
      <c r="J27" s="312"/>
      <c r="K27" s="338" t="s">
        <v>1438</v>
      </c>
      <c r="L27" s="308" t="s">
        <v>1439</v>
      </c>
      <c r="M27" s="339">
        <f ca="1">INDIRECT("'数据-取费表'!ag"&amp;$G$1)</f>
        <v>0</v>
      </c>
    </row>
    <row r="28" spans="1:37" s="1581" customFormat="1" ht="18" customHeight="1">
      <c r="A28" s="1112"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1443</v>
      </c>
      <c r="C29" s="1249">
        <f ca="1">ROUND((C19+C20+C23+C26)/(1-F21-C24-C27-C28),0)</f>
        <v>2223</v>
      </c>
      <c r="D29" s="1250"/>
      <c r="E29" s="1248"/>
      <c r="F29" s="1251"/>
      <c r="G29" s="1580"/>
      <c r="H29" s="340" t="s">
        <v>1001</v>
      </c>
      <c r="I29" s="341" t="s">
        <v>1444</v>
      </c>
      <c r="J29" s="342">
        <f ca="1">ROUND(J26/(1+F40)^F41,0)</f>
        <v>0</v>
      </c>
      <c r="K29" s="343" t="s">
        <v>1445</v>
      </c>
      <c r="L29" s="344"/>
      <c r="M29" s="345">
        <f ca="1">INDIRECT("'数据-取费表'!k"&amp;$G$1)</f>
        <v>6471.53</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1389</v>
      </c>
      <c r="C30" s="316">
        <f ca="1">ROUND(C31+C36+C37+C38,0)</f>
        <v>60</v>
      </c>
      <c r="D30" s="1245" t="s">
        <v>1390</v>
      </c>
      <c r="E30" s="1246"/>
      <c r="F30" s="1202"/>
      <c r="G30" s="1568"/>
      <c r="H30" s="2926"/>
      <c r="I30" s="1582"/>
      <c r="J30" s="1583"/>
      <c r="K30" s="2701"/>
      <c r="L30" s="2927"/>
      <c r="M30" s="2928"/>
    </row>
    <row r="31" spans="1:37" ht="18" customHeight="1">
      <c r="A31" s="1112" t="s">
        <v>1003</v>
      </c>
      <c r="B31" s="308" t="s">
        <v>1394</v>
      </c>
      <c r="C31" s="2534">
        <f ca="1">ROUND(IF(AND(项目基本情况!B11="自然人",项目基本情况!B10="北京市"),C6*F31/(1+'数据-取费表'!C42),C32+C33+C34),0)</f>
        <v>23</v>
      </c>
      <c r="D31" s="1529" t="s">
        <v>1395</v>
      </c>
      <c r="E31" s="1528" t="s">
        <v>1446</v>
      </c>
      <c r="F31" s="2533" t="str">
        <f>IF(项目基本情况!B11="企业","——",IF('数据-取费表'!B10="住宅",IF(F6*F7*F8/12/(1+'数据-取费表'!F30)&gt;100000,4%,2.5%),IF(F6*F7*F8/12/(1+'数据-取费表'!F30)&gt;100000,12%,7%)))</f>
        <v>——</v>
      </c>
      <c r="G31" s="1568"/>
      <c r="H31" s="3039" t="s">
        <v>3048</v>
      </c>
      <c r="I31" s="1582"/>
      <c r="J31" s="1583"/>
      <c r="K31" s="2701"/>
      <c r="L31" s="2927"/>
      <c r="M31" s="2928"/>
    </row>
    <row r="32" spans="1:37" ht="18" customHeight="1">
      <c r="A32" s="1112" t="s">
        <v>1002</v>
      </c>
      <c r="B32" s="308" t="s">
        <v>1398</v>
      </c>
      <c r="C32" s="24">
        <f ca="1">IF(项目基本情况!B11="自然人","——",ROUND(C6*F32/(1+'数据-取费表'!C42),2))</f>
        <v>5.33</v>
      </c>
      <c r="D32" s="1528" t="s">
        <v>1399</v>
      </c>
      <c r="E32" s="308" t="s">
        <v>1387</v>
      </c>
      <c r="F32" s="337">
        <f>'数据-取费表'!B41</f>
        <v>5.6000000000000001E-2</v>
      </c>
      <c r="G32" s="1568"/>
      <c r="H32" s="2926"/>
      <c r="I32" s="1582"/>
      <c r="J32" s="1583"/>
      <c r="K32" s="2701"/>
      <c r="L32" s="2927"/>
      <c r="M32" s="2928"/>
    </row>
    <row r="33" spans="1:18" ht="18" customHeight="1">
      <c r="A33" s="1112" t="s">
        <v>1004</v>
      </c>
      <c r="B33" s="308" t="s">
        <v>1402</v>
      </c>
      <c r="C33" s="24">
        <f ca="1">IF(项目基本情况!B11="自然人","——",IF(D33="按租金收入计税",ROUND(C6*F33/(1+'数据-取费表'!C42),2),IF(D33="按房产原值计税",ROUND(C29*F33*0.7,2),INDIRECT("'数据-取费表'!Aj"&amp;$G$1))))</f>
        <v>11.43</v>
      </c>
      <c r="D33" s="1554" t="s">
        <v>3058</v>
      </c>
      <c r="E33" s="308" t="s">
        <v>1387</v>
      </c>
      <c r="F33" s="328">
        <f>IF(D33="按票据","——",IF(D33="按租金收入计税",'数据-取费表'!B51,'数据-取费表'!B50))</f>
        <v>0.12</v>
      </c>
      <c r="G33" s="1568"/>
      <c r="H33" s="2929"/>
      <c r="I33" s="1582"/>
      <c r="J33" s="1583"/>
      <c r="K33" s="2930"/>
      <c r="L33" s="2929"/>
      <c r="M33" s="2929"/>
    </row>
    <row r="34" spans="1:18" ht="18" customHeight="1">
      <c r="A34" s="1199" t="s">
        <v>1354</v>
      </c>
      <c r="B34" s="160" t="s">
        <v>1406</v>
      </c>
      <c r="C34" s="25">
        <f ca="1">IF(项目基本情况!B11="自然人","——",ROUND(F34*F35/10000,2))</f>
        <v>6.15</v>
      </c>
      <c r="D34" s="330" t="s">
        <v>1407</v>
      </c>
      <c r="E34" s="308" t="s">
        <v>1408</v>
      </c>
      <c r="F34" s="331">
        <f>'数据-取费表'!B52</f>
        <v>11</v>
      </c>
      <c r="G34" s="1568"/>
      <c r="H34" s="2926"/>
      <c r="I34" s="1582"/>
      <c r="J34" s="1583"/>
      <c r="K34" s="2931"/>
      <c r="L34" s="2932"/>
      <c r="M34" s="2932"/>
    </row>
    <row r="35" spans="1:18" ht="18" customHeight="1">
      <c r="A35" s="1261"/>
      <c r="B35" s="1259"/>
      <c r="C35" s="29"/>
      <c r="D35" s="333"/>
      <c r="E35" s="308" t="s">
        <v>1412</v>
      </c>
      <c r="F35" s="309">
        <f ca="1">INDIRECT("'数据-取费表'!r"&amp;$G$1)</f>
        <v>5594.63</v>
      </c>
      <c r="G35" s="1568"/>
      <c r="H35" s="2926"/>
      <c r="I35" s="1582"/>
      <c r="J35" s="1583"/>
      <c r="K35" s="2930"/>
      <c r="L35" s="2929"/>
      <c r="M35" s="2929"/>
    </row>
    <row r="36" spans="1:18" ht="18" customHeight="1">
      <c r="A36" s="1260" t="s">
        <v>1007</v>
      </c>
      <c r="B36" s="308" t="s">
        <v>1414</v>
      </c>
      <c r="C36" s="24">
        <f ca="1">ROUND(C29*F36,1)</f>
        <v>33.299999999999997</v>
      </c>
      <c r="D36" s="1528" t="s">
        <v>1447</v>
      </c>
      <c r="E36" s="308" t="s">
        <v>1387</v>
      </c>
      <c r="F36" s="334">
        <f ca="1">INDIRECT("'数据-取费表'!Ak"&amp;$G$1)</f>
        <v>1.4999999999999999E-2</v>
      </c>
      <c r="G36" s="1568"/>
      <c r="H36" s="2929"/>
      <c r="I36" s="1582"/>
      <c r="J36" s="1583"/>
      <c r="K36" s="2770"/>
      <c r="L36" s="2929"/>
      <c r="M36" s="2929"/>
    </row>
    <row r="37" spans="1:18" ht="18" customHeight="1">
      <c r="A37" s="1112" t="s">
        <v>1043</v>
      </c>
      <c r="B37" s="308" t="s">
        <v>1418</v>
      </c>
      <c r="C37" s="24">
        <f ca="1">ROUND(C13*F37,1)</f>
        <v>2.7</v>
      </c>
      <c r="D37" s="1528" t="s">
        <v>1419</v>
      </c>
      <c r="E37" s="308" t="s">
        <v>1420</v>
      </c>
      <c r="F37" s="336">
        <f ca="1">INDIRECT("'数据-取费表'!Al"&amp;$G$1)</f>
        <v>1.5E-3</v>
      </c>
      <c r="G37" s="1568"/>
      <c r="H37" s="2929"/>
      <c r="I37" s="1582"/>
      <c r="J37" s="1583"/>
      <c r="K37" s="2770"/>
      <c r="L37" s="2929"/>
      <c r="M37" s="2929"/>
    </row>
    <row r="38" spans="1:18" ht="18" customHeight="1" thickBot="1">
      <c r="A38" s="1247" t="s">
        <v>1358</v>
      </c>
      <c r="B38" s="1248" t="s">
        <v>1404</v>
      </c>
      <c r="C38" s="1249">
        <f ca="1">ROUND(C5*F38,1)</f>
        <v>1</v>
      </c>
      <c r="D38" s="1250" t="s">
        <v>1424</v>
      </c>
      <c r="E38" s="1248" t="s">
        <v>1420</v>
      </c>
      <c r="F38" s="1244">
        <f ca="1">INDIRECT("'数据-取费表'!Am"&amp;$G$1)</f>
        <v>0.01</v>
      </c>
      <c r="G38" s="1568"/>
      <c r="H38" s="2929"/>
      <c r="I38" s="1582"/>
      <c r="J38" s="1583"/>
      <c r="K38" s="2933"/>
      <c r="L38" s="2929"/>
      <c r="M38" s="2929"/>
    </row>
    <row r="39" spans="1:18" ht="24.6" customHeight="1" thickTop="1">
      <c r="A39" s="1237" t="s">
        <v>999</v>
      </c>
      <c r="B39" s="1252" t="s">
        <v>1448</v>
      </c>
      <c r="C39" s="316">
        <f ca="1">C5-C30</f>
        <v>40</v>
      </c>
      <c r="D39" s="1253" t="s">
        <v>1449</v>
      </c>
      <c r="E39" s="1254"/>
      <c r="F39" s="1255"/>
      <c r="G39" s="1568"/>
      <c r="H39" s="2929"/>
      <c r="I39" s="1582"/>
      <c r="J39" s="1583"/>
      <c r="K39" s="2933"/>
      <c r="L39" s="2929"/>
      <c r="M39" s="2929"/>
    </row>
    <row r="40" spans="1:18" ht="18" customHeight="1">
      <c r="A40" s="305" t="s">
        <v>1000</v>
      </c>
      <c r="B40" s="306" t="s">
        <v>1450</v>
      </c>
      <c r="C40" s="307">
        <f ca="1">ROUND(C39*(1-((1+F42)/(1+F40))^F41)/(F40-F42),0)</f>
        <v>1006</v>
      </c>
      <c r="D40" s="330" t="s">
        <v>1434</v>
      </c>
      <c r="E40" s="308" t="s">
        <v>1435</v>
      </c>
      <c r="F40" s="318">
        <f ca="1">INDIRECT("'数据-取费表'!I"&amp;$G$1)</f>
        <v>4.4999999999999998E-2</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32.770000000000003</v>
      </c>
      <c r="G41" s="1568"/>
      <c r="H41" s="1351"/>
      <c r="I41" s="1582"/>
      <c r="J41" s="1583"/>
      <c r="K41" s="2770"/>
      <c r="L41" s="1351"/>
      <c r="M41" s="1351"/>
    </row>
    <row r="42" spans="1:18" ht="18" customHeight="1">
      <c r="A42" s="314"/>
      <c r="B42" s="315"/>
      <c r="C42" s="316"/>
      <c r="D42" s="333"/>
      <c r="E42" s="308" t="s">
        <v>1442</v>
      </c>
      <c r="F42" s="318">
        <f ca="1">INDIRECT("'数据-取费表'!v"&amp;$G$1)</f>
        <v>0.03</v>
      </c>
      <c r="G42" s="1568"/>
      <c r="H42" s="1351"/>
      <c r="I42" s="1582"/>
      <c r="J42" s="1583"/>
      <c r="K42" s="2770"/>
      <c r="L42" s="1351"/>
      <c r="M42" s="1351"/>
    </row>
    <row r="43" spans="1:18" ht="18" customHeight="1" thickBot="1">
      <c r="A43" s="340" t="s">
        <v>1001</v>
      </c>
      <c r="B43" s="341" t="s">
        <v>1452</v>
      </c>
      <c r="C43" s="342">
        <f ca="1">ROUND(C40*10000/F43,0)</f>
        <v>1555</v>
      </c>
      <c r="D43" s="343" t="s">
        <v>1453</v>
      </c>
      <c r="E43" s="344" t="s">
        <v>1454</v>
      </c>
      <c r="F43" s="345">
        <f ca="1">INDIRECT("'数据-取费表'!k"&amp;$G$1)</f>
        <v>6471.53</v>
      </c>
      <c r="G43" s="1568"/>
      <c r="H43" s="1351"/>
      <c r="I43" s="1351"/>
      <c r="J43" s="1351"/>
      <c r="K43" s="2770"/>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4"/>
      <c r="O45" s="2934" t="s">
        <v>1484</v>
      </c>
      <c r="P45" s="1645"/>
      <c r="Q45" s="1645"/>
      <c r="R45" s="1645"/>
    </row>
    <row r="46" spans="1:18" s="1568" customFormat="1" ht="13.5" thickBot="1">
      <c r="A46" s="1588" t="s">
        <v>1485</v>
      </c>
      <c r="C46" s="1589">
        <f ca="1">C68-C40</f>
        <v>-4892</v>
      </c>
      <c r="D46" s="1590" t="str">
        <f>C2</f>
        <v>万元</v>
      </c>
      <c r="E46" s="1584"/>
      <c r="F46" s="1584"/>
      <c r="I46" s="1591" t="s">
        <v>1486</v>
      </c>
      <c r="J46" s="1592"/>
      <c r="K46" s="1593"/>
      <c r="L46" s="1594">
        <f ca="1">IF(M47="住宅",0,IF(L48&gt;J51,L60,J60))</f>
        <v>53</v>
      </c>
      <c r="O46" s="1595" t="s">
        <v>1487</v>
      </c>
      <c r="P46" s="1596" t="s">
        <v>1488</v>
      </c>
      <c r="Q46" s="1597" t="s">
        <v>1489</v>
      </c>
      <c r="R46" s="1597" t="s">
        <v>1490</v>
      </c>
    </row>
    <row r="47" spans="1:18" s="1568" customFormat="1" ht="13.5" thickBot="1">
      <c r="A47" s="1076" t="s">
        <v>1361</v>
      </c>
      <c r="B47" s="1108" t="s">
        <v>1362</v>
      </c>
      <c r="C47" s="1275" t="s">
        <v>1363</v>
      </c>
      <c r="D47" s="1108" t="s">
        <v>1364</v>
      </c>
      <c r="E47" s="1187" t="s">
        <v>1365</v>
      </c>
      <c r="F47" s="1188"/>
      <c r="G47" s="730"/>
      <c r="I47" s="1598" t="s">
        <v>1491</v>
      </c>
      <c r="J47" s="1599" t="s">
        <v>3152</v>
      </c>
      <c r="K47" s="1600" t="s">
        <v>1492</v>
      </c>
      <c r="L47" s="1601">
        <f ca="1">INDIRECT("'数据-取费表'!d"&amp;$G$1)</f>
        <v>40</v>
      </c>
      <c r="M47" s="1564" t="str">
        <f>IF(ISNUMBER(FIND("住宅",C1)),"住宅","非住宅")</f>
        <v>非住宅</v>
      </c>
      <c r="O47" s="1602" t="s">
        <v>1008</v>
      </c>
      <c r="P47" s="1603" t="s">
        <v>1493</v>
      </c>
      <c r="Q47" s="1604">
        <f ca="1">C40+J29</f>
        <v>1006</v>
      </c>
      <c r="R47" s="1604" t="s">
        <v>1494</v>
      </c>
    </row>
    <row r="48" spans="1:18" s="1568" customFormat="1" ht="28.5" thickBot="1">
      <c r="A48" s="1268" t="s">
        <v>1103</v>
      </c>
      <c r="B48" s="306" t="s">
        <v>1366</v>
      </c>
      <c r="C48" s="1543">
        <f ca="1">C49+C53+C55</f>
        <v>0</v>
      </c>
      <c r="D48" s="1270"/>
      <c r="E48" s="1271"/>
      <c r="F48" s="1092"/>
      <c r="G48" s="730"/>
      <c r="H48" s="731"/>
      <c r="I48" s="1605" t="s">
        <v>1495</v>
      </c>
      <c r="J48" s="1606" t="s">
        <v>3153</v>
      </c>
      <c r="K48" s="1607" t="s">
        <v>1496</v>
      </c>
      <c r="L48" s="1608">
        <f ca="1">INDIRECT("'数据-取费表'!f"&amp;$G$1)</f>
        <v>32.770000000000003</v>
      </c>
      <c r="O48" s="1602" t="s">
        <v>1009</v>
      </c>
      <c r="P48" s="1603" t="s">
        <v>1497</v>
      </c>
      <c r="Q48" s="1604">
        <f ca="1">J60</f>
        <v>53</v>
      </c>
      <c r="R48" s="1604" t="s">
        <v>1498</v>
      </c>
    </row>
    <row r="49" spans="1:18" s="1568" customFormat="1" ht="13.5" thickBot="1">
      <c r="A49" s="1105" t="s">
        <v>1104</v>
      </c>
      <c r="B49" s="1555" t="s">
        <v>1455</v>
      </c>
      <c r="C49" s="1272">
        <f ca="1">ROUND(F49*F51*F50*(1-F52)/10000,0)</f>
        <v>0</v>
      </c>
      <c r="D49" s="1184" t="s">
        <v>2850</v>
      </c>
      <c r="E49" s="1556" t="s">
        <v>1456</v>
      </c>
      <c r="F49" s="1189"/>
      <c r="G49" s="1609"/>
      <c r="H49" s="731"/>
      <c r="I49" s="1605" t="s">
        <v>1499</v>
      </c>
      <c r="J49" s="1610">
        <v>2010</v>
      </c>
      <c r="K49" s="1607" t="s">
        <v>1500</v>
      </c>
      <c r="L49" s="1611"/>
      <c r="O49" s="1612" t="s">
        <v>1010</v>
      </c>
      <c r="P49" s="1603" t="s">
        <v>1501</v>
      </c>
      <c r="Q49" s="1604">
        <f ca="1">C29</f>
        <v>2223</v>
      </c>
      <c r="R49" s="1604" t="s">
        <v>1494</v>
      </c>
    </row>
    <row r="50" spans="1:18" s="1568" customFormat="1" ht="13.5" thickBot="1">
      <c r="A50" s="1106"/>
      <c r="B50" s="1109"/>
      <c r="C50" s="1276"/>
      <c r="D50" s="1083"/>
      <c r="E50" s="1185" t="s">
        <v>1371</v>
      </c>
      <c r="F50" s="1186">
        <f ca="1">F7</f>
        <v>6471.53</v>
      </c>
      <c r="H50" s="731"/>
      <c r="I50" s="1605" t="s">
        <v>1502</v>
      </c>
      <c r="J50" s="1613">
        <f>SUMPRODUCT((I63:I65=J47)*(J62:L62=J48)*(J63:L65))</f>
        <v>60</v>
      </c>
      <c r="K50" s="1607" t="s">
        <v>1503</v>
      </c>
      <c r="L50" s="1611"/>
      <c r="M50" s="1614"/>
      <c r="O50" s="1612" t="s">
        <v>1011</v>
      </c>
      <c r="P50" s="1603" t="s">
        <v>1504</v>
      </c>
      <c r="Q50" s="1615">
        <f ca="1">J58</f>
        <v>0.4</v>
      </c>
      <c r="R50" s="1604"/>
    </row>
    <row r="51" spans="1:18" s="1568" customFormat="1" ht="13.5" thickBot="1">
      <c r="A51" s="1107"/>
      <c r="B51" s="1109"/>
      <c r="C51" s="1110"/>
      <c r="D51" s="1083"/>
      <c r="E51" s="1111" t="s">
        <v>1372</v>
      </c>
      <c r="F51" s="309">
        <f ca="1">F8</f>
        <v>365</v>
      </c>
      <c r="I51" s="1616" t="s">
        <v>1505</v>
      </c>
      <c r="J51" s="1617">
        <f>IF(J49="",J50,J49+J50-YEAR('数据-取费表'!B2))</f>
        <v>49</v>
      </c>
      <c r="K51" s="1618" t="s">
        <v>1506</v>
      </c>
      <c r="L51" s="1619">
        <f ca="1">ROUND(-PV(INDIRECT("'数据-取费表'!h"&amp;$G$1),J51,(C39-C13*C76),0),0)</f>
        <v>-2453</v>
      </c>
      <c r="M51" s="1620"/>
      <c r="O51" s="1612" t="s">
        <v>1012</v>
      </c>
      <c r="P51" s="1603" t="s">
        <v>1507</v>
      </c>
      <c r="Q51" s="1615">
        <f>J52</f>
        <v>0.09</v>
      </c>
      <c r="R51" s="1604"/>
    </row>
    <row r="52" spans="1:18" s="1568" customFormat="1" ht="13.5" thickBot="1">
      <c r="A52" s="1107"/>
      <c r="B52" s="1109"/>
      <c r="C52" s="1110"/>
      <c r="D52" s="1083"/>
      <c r="E52" s="1111" t="s">
        <v>1373</v>
      </c>
      <c r="F52" s="1183"/>
      <c r="I52" s="1621" t="s">
        <v>1508</v>
      </c>
      <c r="J52" s="1622">
        <v>0.09</v>
      </c>
      <c r="K52" s="1621" t="s">
        <v>1509</v>
      </c>
      <c r="L52" s="1622"/>
      <c r="O52" s="1612" t="s">
        <v>1013</v>
      </c>
      <c r="P52" s="1603" t="s">
        <v>1510</v>
      </c>
      <c r="Q52" s="1604">
        <f ca="1">J53</f>
        <v>32.770000000000003</v>
      </c>
      <c r="R52" s="1604" t="s">
        <v>1511</v>
      </c>
    </row>
    <row r="53" spans="1:18" s="1568" customFormat="1" ht="24.75" thickBot="1">
      <c r="A53" s="1312" t="s">
        <v>1105</v>
      </c>
      <c r="B53" s="1557" t="s">
        <v>1374</v>
      </c>
      <c r="C53" s="322">
        <f ca="1">ROUND(IF(F53="押一",C49/12*F11,IF(F53="押二",C49/12*2*F11,IF(F53="押三",C49/12*3*F11,C54*F11))),0)</f>
        <v>0</v>
      </c>
      <c r="D53" s="1550" t="s">
        <v>2856</v>
      </c>
      <c r="E53" s="319" t="s">
        <v>1375</v>
      </c>
      <c r="F53" s="1274"/>
      <c r="I53" s="1623" t="s">
        <v>1512</v>
      </c>
      <c r="J53" s="2386">
        <f ca="1">IF(M47="住宅",IF(D1="——",MAX(J51,L48),MAX(J51,L48-'数据-取费表'!B24)),IF(D1="——",MIN(J51,L48),MIN(J51,L48-'数据-取费表'!B24)))</f>
        <v>32.770000000000003</v>
      </c>
      <c r="K53" s="3338" t="s">
        <v>1513</v>
      </c>
      <c r="L53" s="3339"/>
      <c r="O53" s="1602" t="s">
        <v>1014</v>
      </c>
      <c r="P53" s="1603" t="s">
        <v>1514</v>
      </c>
      <c r="Q53" s="1604">
        <f ca="1">Q47+Q48</f>
        <v>1059</v>
      </c>
      <c r="R53" s="1604" t="s">
        <v>1015</v>
      </c>
    </row>
    <row r="54" spans="1:18" s="1568" customFormat="1" ht="13.5" thickBot="1">
      <c r="A54" s="1313"/>
      <c r="B54" s="1551" t="s">
        <v>1353</v>
      </c>
      <c r="C54" s="1089"/>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1" t="s">
        <v>1043</v>
      </c>
      <c r="B55" s="1553" t="s">
        <v>1378</v>
      </c>
      <c r="C55" s="1242"/>
      <c r="D55" s="1550"/>
      <c r="E55" s="1558"/>
      <c r="F55" s="1624"/>
      <c r="I55" s="1627" t="s">
        <v>1516</v>
      </c>
      <c r="J55" s="1628">
        <f ca="1">ROUND(IF(J47="钢混",J57/J50,1-(1-2%)*(J50-J57)/J50),3)</f>
        <v>0.27100000000000002</v>
      </c>
      <c r="K55" s="1629" t="s">
        <v>1517</v>
      </c>
      <c r="L55" s="1630" t="s">
        <v>1518</v>
      </c>
      <c r="O55" s="1595" t="s">
        <v>1487</v>
      </c>
      <c r="P55" s="1596" t="s">
        <v>1488</v>
      </c>
      <c r="Q55" s="1597" t="s">
        <v>1489</v>
      </c>
      <c r="R55" s="1597" t="s">
        <v>1490</v>
      </c>
    </row>
    <row r="56" spans="1:18" s="1568" customFormat="1" ht="25.5" thickTop="1" thickBot="1">
      <c r="A56" s="1087">
        <v>2</v>
      </c>
      <c r="B56" s="1088" t="s">
        <v>1379</v>
      </c>
      <c r="C56" s="238">
        <f ca="1">C13</f>
        <v>1823</v>
      </c>
      <c r="D56" s="1631"/>
      <c r="E56" s="1632"/>
      <c r="F56" s="1624"/>
      <c r="I56" s="1633" t="s">
        <v>1519</v>
      </c>
      <c r="J56" s="1634" t="s">
        <v>70</v>
      </c>
      <c r="K56" s="1605" t="s">
        <v>1520</v>
      </c>
      <c r="L56" s="1608" t="str">
        <f ca="1">IF(L48&lt;J51,"——",L48-J53)</f>
        <v>——</v>
      </c>
      <c r="O56" s="1602" t="s">
        <v>1008</v>
      </c>
      <c r="P56" s="1603" t="s">
        <v>1493</v>
      </c>
      <c r="Q56" s="1604">
        <f ca="1">C40+J29</f>
        <v>1006</v>
      </c>
      <c r="R56" s="1604" t="s">
        <v>1494</v>
      </c>
    </row>
    <row r="57" spans="1:18" s="1568" customFormat="1" ht="24.75" thickBot="1">
      <c r="A57" s="1635"/>
      <c r="B57" s="1080" t="s">
        <v>1443</v>
      </c>
      <c r="C57" s="244">
        <f ca="1">C29</f>
        <v>2223</v>
      </c>
      <c r="D57" s="1636"/>
      <c r="E57" s="1637"/>
      <c r="F57" s="1638"/>
      <c r="I57" s="1639" t="s">
        <v>1521</v>
      </c>
      <c r="J57" s="1640">
        <f ca="1">IF(OR(M47="住宅",J51&lt;L48,J56="是"),"——",J51-L48)</f>
        <v>16.229999999999997</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1" t="s">
        <v>998</v>
      </c>
      <c r="B58" s="1088" t="s">
        <v>1389</v>
      </c>
      <c r="C58" s="322">
        <f ca="1">ROUND(C59+C64+C65+C66,0)</f>
        <v>229</v>
      </c>
      <c r="D58" s="1090" t="s">
        <v>1390</v>
      </c>
      <c r="E58" s="1091"/>
      <c r="F58" s="1092"/>
      <c r="I58" s="1639" t="s">
        <v>1525</v>
      </c>
      <c r="J58" s="1641">
        <f ca="1">IF(J55&lt;0.4,0.4,J55)</f>
        <v>0.4</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2" t="s">
        <v>1003</v>
      </c>
      <c r="B59" s="1080" t="s">
        <v>1394</v>
      </c>
      <c r="C59" s="2534">
        <f ca="1">ROUND(IF(AND(项目基本情况!B11="自然人",项目基本情况!B10="北京市"),C49*F59/(1+'数据-取费表'!C42),C60+C61+C62),0)</f>
        <v>193</v>
      </c>
      <c r="D59" s="1093" t="s">
        <v>1395</v>
      </c>
      <c r="E59" s="1094" t="s">
        <v>1396</v>
      </c>
      <c r="F59" s="2533" t="str">
        <f>IF(项目基本情况!B11="企业","——",IF('数据-取费表'!B10="住宅",IF(F49*F50*F51/12/(1+'数据-取费表'!F30)&gt;100000,4%,2.5%),IF(F49*F50*F51/12/(1+'数据-取费表'!F30)&gt;100000,12%,7%)))</f>
        <v>——</v>
      </c>
      <c r="I59" s="1639" t="s">
        <v>1528</v>
      </c>
      <c r="J59" s="1640">
        <f ca="1">IF(OR(M47="住宅",J51&lt;L48,J56="是"),"——",ROUND(C29*J58,0))</f>
        <v>889</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2" t="s">
        <v>1002</v>
      </c>
      <c r="B60" s="1080" t="s">
        <v>1398</v>
      </c>
      <c r="C60" s="24">
        <f ca="1">IF(项目基本情况!B11="自然人","——",ROUND(C48*F60/(1+'数据-取费表'!C42),2))</f>
        <v>0</v>
      </c>
      <c r="D60" s="1094" t="s">
        <v>1399</v>
      </c>
      <c r="E60" s="1080" t="s">
        <v>1387</v>
      </c>
      <c r="F60" s="337">
        <f t="shared" ref="F60:F66" si="0">F32</f>
        <v>5.6000000000000001E-2</v>
      </c>
      <c r="I60" s="1642" t="s">
        <v>1530</v>
      </c>
      <c r="J60" s="1643">
        <f ca="1">IF(OR(M47="住宅",J51&lt;L48,J56="是"),"0",ROUND(J59/(1+J52)^J53,0))</f>
        <v>53</v>
      </c>
      <c r="K60" s="1644" t="s">
        <v>1531</v>
      </c>
      <c r="L60" s="1643">
        <f ca="1">IF(OR(M47="住宅",L48&lt;J51),0,ROUND(L57*(L58/L59-1),0))</f>
        <v>0</v>
      </c>
      <c r="O60" s="1612" t="s">
        <v>1012</v>
      </c>
      <c r="P60" s="1603" t="s">
        <v>1532</v>
      </c>
      <c r="Q60" s="1604" t="e">
        <f ca="1">L58</f>
        <v>#DIV/0!</v>
      </c>
      <c r="R60" s="1604" t="s">
        <v>1533</v>
      </c>
    </row>
    <row r="61" spans="1:18" s="1568" customFormat="1" ht="13.5" thickBot="1">
      <c r="A61" s="1112" t="s">
        <v>1457</v>
      </c>
      <c r="B61" s="1080" t="s">
        <v>1458</v>
      </c>
      <c r="C61" s="24">
        <f ca="1">IF(项目基本情况!B11="自然人","——",IF(D61="按租金收入计税",ROUND(C48*F61,2),IF(D61="按房产原值计税",ROUND(C57*F61*0.7,2),INDIRECT("'数据-取费表'!Aj"&amp;$G$1))))</f>
        <v>186.73</v>
      </c>
      <c r="D61" s="1554" t="s">
        <v>1403</v>
      </c>
      <c r="E61" s="1080"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2" t="s">
        <v>1460</v>
      </c>
      <c r="B62" s="1079" t="s">
        <v>1461</v>
      </c>
      <c r="C62" s="25">
        <f ca="1">IF(项目基本情况!B11="自然人","——",ROUND(F62*F63/10000,2))</f>
        <v>6.15</v>
      </c>
      <c r="D62" s="1095" t="s">
        <v>1462</v>
      </c>
      <c r="E62" s="1080" t="s">
        <v>1463</v>
      </c>
      <c r="F62" s="331">
        <f t="shared" si="0"/>
        <v>11</v>
      </c>
      <c r="I62" s="1646" t="s">
        <v>1535</v>
      </c>
      <c r="J62" s="1647" t="s">
        <v>1536</v>
      </c>
      <c r="K62" s="1647" t="s">
        <v>1537</v>
      </c>
      <c r="L62" s="1647" t="s">
        <v>1538</v>
      </c>
      <c r="M62" s="1648" t="s">
        <v>1539</v>
      </c>
      <c r="O62" s="1602" t="s">
        <v>1014</v>
      </c>
      <c r="P62" s="1603" t="s">
        <v>1540</v>
      </c>
      <c r="Q62" s="1604">
        <f ca="1">Q56+Q57</f>
        <v>1006</v>
      </c>
      <c r="R62" s="1604" t="s">
        <v>1015</v>
      </c>
    </row>
    <row r="63" spans="1:18" s="1568" customFormat="1" ht="13.5" thickBot="1">
      <c r="A63" s="332"/>
      <c r="B63" s="1086"/>
      <c r="C63" s="29"/>
      <c r="D63" s="1096"/>
      <c r="E63" s="1080" t="s">
        <v>1464</v>
      </c>
      <c r="F63" s="309">
        <f t="shared" ca="1" si="0"/>
        <v>5594.63</v>
      </c>
      <c r="I63" s="1646" t="s">
        <v>1541</v>
      </c>
      <c r="J63" s="1647">
        <v>70</v>
      </c>
      <c r="K63" s="1647">
        <v>50</v>
      </c>
      <c r="L63" s="1647">
        <v>80</v>
      </c>
      <c r="M63" s="1649">
        <v>0.02</v>
      </c>
      <c r="O63" s="1587" t="s">
        <v>1542</v>
      </c>
      <c r="P63" s="1565"/>
      <c r="Q63" s="1565"/>
      <c r="R63" s="1565"/>
    </row>
    <row r="64" spans="1:18" s="1568" customFormat="1" ht="13.5" thickBot="1">
      <c r="A64" s="1112" t="s">
        <v>1465</v>
      </c>
      <c r="B64" s="1080" t="s">
        <v>1466</v>
      </c>
      <c r="C64" s="24">
        <f ca="1">ROUND(C57*F64,1)</f>
        <v>33.299999999999997</v>
      </c>
      <c r="D64" s="1094" t="s">
        <v>1467</v>
      </c>
      <c r="E64" s="1080"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2" t="s">
        <v>1468</v>
      </c>
      <c r="B65" s="1080" t="s">
        <v>1418</v>
      </c>
      <c r="C65" s="24">
        <f ca="1">ROUND(C56*F65,1)</f>
        <v>2.7</v>
      </c>
      <c r="D65" s="1094" t="s">
        <v>1419</v>
      </c>
      <c r="E65" s="1080" t="s">
        <v>1420</v>
      </c>
      <c r="F65" s="336">
        <f t="shared" ca="1" si="0"/>
        <v>1.5E-3</v>
      </c>
      <c r="I65" s="1646" t="s">
        <v>1544</v>
      </c>
      <c r="J65" s="1647">
        <v>40</v>
      </c>
      <c r="K65" s="1647">
        <v>30</v>
      </c>
      <c r="L65" s="1647">
        <v>50</v>
      </c>
      <c r="M65" s="1649">
        <v>0.02</v>
      </c>
      <c r="O65" s="1602" t="s">
        <v>1008</v>
      </c>
      <c r="P65" s="1603" t="s">
        <v>1545</v>
      </c>
      <c r="Q65" s="1604">
        <f ca="1">C40+J29</f>
        <v>1006</v>
      </c>
      <c r="R65" s="1604" t="s">
        <v>1494</v>
      </c>
    </row>
    <row r="66" spans="1:18" s="1568" customFormat="1" ht="16.5" thickBot="1">
      <c r="A66" s="1112" t="s">
        <v>1469</v>
      </c>
      <c r="B66" s="1080" t="s">
        <v>1404</v>
      </c>
      <c r="C66" s="24">
        <f ca="1">ROUND(C48*F66,1)</f>
        <v>0</v>
      </c>
      <c r="D66" s="1094" t="s">
        <v>1470</v>
      </c>
      <c r="E66" s="1080" t="s">
        <v>1387</v>
      </c>
      <c r="F66" s="318">
        <f t="shared" ca="1" si="0"/>
        <v>0.01</v>
      </c>
      <c r="O66" s="1602" t="s">
        <v>1009</v>
      </c>
      <c r="P66" s="1603" t="s">
        <v>1523</v>
      </c>
      <c r="Q66" s="1604">
        <f ca="1">L60</f>
        <v>0</v>
      </c>
      <c r="R66" s="1604" t="s">
        <v>1546</v>
      </c>
    </row>
    <row r="67" spans="1:18" s="1568" customFormat="1" ht="16.5" thickBot="1">
      <c r="A67" s="1087" t="s">
        <v>999</v>
      </c>
      <c r="B67" s="1097" t="s">
        <v>1428</v>
      </c>
      <c r="C67" s="322">
        <f ca="1">C48-C58</f>
        <v>-229</v>
      </c>
      <c r="D67" s="1093" t="s">
        <v>1429</v>
      </c>
      <c r="E67" s="1098"/>
      <c r="F67" s="1099"/>
      <c r="O67" s="1612" t="s">
        <v>1010</v>
      </c>
      <c r="P67" s="1603" t="s">
        <v>1527</v>
      </c>
      <c r="Q67" s="1650">
        <f ca="1">L51</f>
        <v>-2453</v>
      </c>
      <c r="R67" s="1604" t="s">
        <v>1547</v>
      </c>
    </row>
    <row r="68" spans="1:18" s="1568" customFormat="1" ht="16.5" thickBot="1">
      <c r="A68" s="1077" t="s">
        <v>1000</v>
      </c>
      <c r="B68" s="1078" t="s">
        <v>1450</v>
      </c>
      <c r="C68" s="307">
        <f ca="1">ROUND(C67*(1-((1+F70)/(1+F68))^F69)/(F68-F70),0)</f>
        <v>-3886</v>
      </c>
      <c r="D68" s="1095" t="s">
        <v>1434</v>
      </c>
      <c r="E68" s="1080" t="s">
        <v>1435</v>
      </c>
      <c r="F68" s="318">
        <f ca="1">F40</f>
        <v>4.4999999999999998E-2</v>
      </c>
      <c r="O68" s="1612" t="s">
        <v>1011</v>
      </c>
      <c r="P68" s="1651" t="s">
        <v>1548</v>
      </c>
      <c r="Q68" s="1604">
        <f ca="1">ROUND(Q69-Q70*Q71,0)</f>
        <v>-115</v>
      </c>
      <c r="R68" s="1604" t="s">
        <v>1019</v>
      </c>
    </row>
    <row r="69" spans="1:18" s="1568" customFormat="1" ht="13.5" thickBot="1">
      <c r="A69" s="1081"/>
      <c r="B69" s="1082"/>
      <c r="C69" s="312"/>
      <c r="D69" s="1100" t="s">
        <v>1438</v>
      </c>
      <c r="E69" s="1080" t="s">
        <v>1439</v>
      </c>
      <c r="F69" s="339">
        <f ca="1">F41</f>
        <v>32.770000000000003</v>
      </c>
      <c r="O69" s="1612" t="s">
        <v>1016</v>
      </c>
      <c r="P69" s="1651" t="s">
        <v>1549</v>
      </c>
      <c r="Q69" s="1604">
        <f ca="1">C39</f>
        <v>40</v>
      </c>
      <c r="R69" s="1604" t="s">
        <v>1494</v>
      </c>
    </row>
    <row r="70" spans="1:18" s="1568" customFormat="1" ht="13.5" thickBot="1">
      <c r="A70" s="1084"/>
      <c r="B70" s="1085"/>
      <c r="C70" s="316"/>
      <c r="D70" s="1096"/>
      <c r="E70" s="1080" t="s">
        <v>1442</v>
      </c>
      <c r="F70" s="1183"/>
      <c r="O70" s="1612" t="s">
        <v>1017</v>
      </c>
      <c r="P70" s="1651" t="s">
        <v>1550</v>
      </c>
      <c r="Q70" s="1604">
        <f ca="1">C13</f>
        <v>1823</v>
      </c>
      <c r="R70" s="1604" t="s">
        <v>1494</v>
      </c>
    </row>
    <row r="71" spans="1:18" s="1568" customFormat="1" ht="13.5" thickBot="1">
      <c r="A71" s="1101" t="s">
        <v>1001</v>
      </c>
      <c r="B71" s="1102" t="s">
        <v>1452</v>
      </c>
      <c r="C71" s="342">
        <f ca="1">ROUND(C68*10000/F71,0)</f>
        <v>-6005</v>
      </c>
      <c r="D71" s="1103" t="s">
        <v>1453</v>
      </c>
      <c r="E71" s="1104" t="s">
        <v>1454</v>
      </c>
      <c r="F71" s="345">
        <f ca="1">F43</f>
        <v>6471.53</v>
      </c>
      <c r="O71" s="1612" t="s">
        <v>1018</v>
      </c>
      <c r="P71" s="1651" t="s">
        <v>1551</v>
      </c>
      <c r="Q71" s="1615">
        <f ca="1">C76</f>
        <v>8.5000000000000006E-2</v>
      </c>
      <c r="R71" s="1604"/>
    </row>
    <row r="72" spans="1:18" s="1568" customFormat="1" ht="13.5" thickBot="1">
      <c r="B72" s="734"/>
      <c r="C72" s="734"/>
      <c r="O72" s="1612" t="s">
        <v>1012</v>
      </c>
      <c r="P72" s="1603" t="s">
        <v>1529</v>
      </c>
      <c r="Q72" s="1615">
        <f>L52</f>
        <v>0</v>
      </c>
      <c r="R72" s="1604"/>
    </row>
    <row r="73" spans="1:18" ht="16.5" thickBot="1">
      <c r="A73" s="1568"/>
      <c r="B73" s="734"/>
      <c r="C73" s="734"/>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155</v>
      </c>
      <c r="D75" s="1568"/>
      <c r="E75" s="1568"/>
      <c r="F75" s="1568"/>
      <c r="K75" s="1586"/>
      <c r="L75" s="1568"/>
      <c r="O75" s="1602" t="s">
        <v>1014</v>
      </c>
      <c r="P75" s="1603" t="s">
        <v>1514</v>
      </c>
      <c r="Q75" s="1604">
        <f ca="1">Q65+Q66</f>
        <v>1006</v>
      </c>
      <c r="R75" s="1604" t="s">
        <v>1015</v>
      </c>
    </row>
    <row r="76" spans="1:18">
      <c r="B76" s="348" t="s">
        <v>1472</v>
      </c>
      <c r="C76" s="349">
        <f ca="1">INDIRECT("'数据-取费表'!j"&amp;$G$1)</f>
        <v>8.5000000000000006E-2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-2.875</v>
      </c>
    </row>
    <row r="80" spans="1:18">
      <c r="B80" s="346" t="s">
        <v>1476</v>
      </c>
      <c r="C80" s="280">
        <f ca="1">ROUND(C75/C39,3)</f>
        <v>3.875</v>
      </c>
    </row>
    <row r="81" spans="2:3">
      <c r="B81" s="276" t="s">
        <v>1477</v>
      </c>
      <c r="C81" s="244"/>
    </row>
    <row r="82" spans="2:3">
      <c r="B82" s="279" t="s">
        <v>1478</v>
      </c>
      <c r="C82" s="281">
        <f ca="1">1-C83</f>
        <v>-0.81200000000000006</v>
      </c>
    </row>
    <row r="83" spans="2:3">
      <c r="B83" s="279" t="s">
        <v>1479</v>
      </c>
      <c r="C83" s="280">
        <f ca="1">ROUND(C13/C40,3)</f>
        <v>1.8120000000000001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22" priority="56">
      <formula>$L$48&gt;$J$51</formula>
    </cfRule>
  </conditionalFormatting>
  <conditionalFormatting sqref="I55 I60">
    <cfRule type="expression" dxfId="121" priority="57">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3" sqref="F13"/>
    </sheetView>
  </sheetViews>
  <sheetFormatPr defaultColWidth="9" defaultRowHeight="12.75"/>
  <cols>
    <col min="1" max="1" width="9" style="264" customWidth="1"/>
    <col min="2" max="2" width="20.625" style="662" customWidth="1"/>
    <col min="3" max="3" width="11.875" style="662"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1"/>
      <c r="C1" s="1563"/>
      <c r="D1" s="1546"/>
      <c r="E1" s="1547" t="s">
        <v>1352</v>
      </c>
      <c r="F1" s="1191">
        <f ca="1">J53</f>
        <v>0</v>
      </c>
      <c r="G1" s="1562">
        <f>MATCH(C1,'数据-取费表'!A6:A16,0)+5</f>
        <v>8</v>
      </c>
      <c r="H1" s="2921"/>
      <c r="I1" s="2922"/>
      <c r="J1" s="2922"/>
      <c r="K1" s="2923"/>
      <c r="L1" s="2922"/>
      <c r="M1" s="2922"/>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9" t="s">
        <v>1555</v>
      </c>
      <c r="B2" s="1570" t="e">
        <f ca="1">ROUND(D2/10000,0)</f>
        <v>#DIV/0!</v>
      </c>
      <c r="C2" s="1571" t="s">
        <v>1556</v>
      </c>
      <c r="D2" s="1655" t="e">
        <f ca="1">C40+J29+L46</f>
        <v>#DIV/0!</v>
      </c>
      <c r="E2" s="1572" t="s">
        <v>1557</v>
      </c>
      <c r="F2" s="1573"/>
      <c r="G2" s="2935"/>
      <c r="H2" s="2924"/>
      <c r="I2" s="2924"/>
      <c r="J2" s="2924"/>
      <c r="K2" s="2925"/>
      <c r="L2" s="2924"/>
      <c r="M2" s="2924"/>
    </row>
    <row r="3" spans="1:37" ht="18" customHeight="1" thickBot="1">
      <c r="A3" s="1574" t="s">
        <v>1558</v>
      </c>
      <c r="B3" s="1575">
        <f ca="1">IF(ISERROR(D2/F43),0,ROUND(D2/F43,0))</f>
        <v>0</v>
      </c>
      <c r="C3" s="1571" t="s">
        <v>1559</v>
      </c>
      <c r="D3" s="1571"/>
      <c r="E3" s="1572"/>
      <c r="F3" s="1573"/>
      <c r="G3" s="2935"/>
      <c r="H3" s="691" t="s">
        <v>1553</v>
      </c>
      <c r="I3" s="1566"/>
      <c r="J3" s="1566"/>
      <c r="K3" s="1567"/>
      <c r="L3" s="1566"/>
      <c r="M3" s="1566"/>
    </row>
    <row r="4" spans="1:37" ht="18" customHeight="1">
      <c r="A4" s="301" t="s">
        <v>1560</v>
      </c>
      <c r="B4" s="302" t="s">
        <v>1561</v>
      </c>
      <c r="C4" s="302" t="s">
        <v>1562</v>
      </c>
      <c r="D4" s="302" t="s">
        <v>1563</v>
      </c>
      <c r="E4" s="303" t="s">
        <v>1564</v>
      </c>
      <c r="F4" s="304"/>
      <c r="G4" s="1568"/>
      <c r="H4" s="301" t="s">
        <v>1560</v>
      </c>
      <c r="I4" s="302" t="s">
        <v>1561</v>
      </c>
      <c r="J4" s="302" t="s">
        <v>1562</v>
      </c>
      <c r="K4" s="302" t="s">
        <v>1563</v>
      </c>
      <c r="L4" s="303" t="s">
        <v>1564</v>
      </c>
      <c r="M4" s="304"/>
    </row>
    <row r="5" spans="1:37" ht="18" customHeight="1">
      <c r="A5" s="305">
        <v>1</v>
      </c>
      <c r="B5" s="306" t="s">
        <v>1565</v>
      </c>
      <c r="C5" s="1200">
        <f ca="1">C6+C10+C12</f>
        <v>0</v>
      </c>
      <c r="D5" s="1548" t="s">
        <v>1566</v>
      </c>
      <c r="E5" s="1201"/>
      <c r="F5" s="1202"/>
      <c r="G5" s="1568"/>
      <c r="H5" s="305">
        <v>1</v>
      </c>
      <c r="I5" s="306" t="s">
        <v>1565</v>
      </c>
      <c r="J5" s="1200">
        <f ca="1">J6+J10+J12</f>
        <v>0</v>
      </c>
      <c r="K5" s="1548" t="s">
        <v>1566</v>
      </c>
      <c r="L5" s="1201"/>
      <c r="M5" s="1202"/>
    </row>
    <row r="6" spans="1:37" ht="18" customHeight="1">
      <c r="A6" s="1199" t="s">
        <v>1003</v>
      </c>
      <c r="B6" s="3340" t="s">
        <v>1368</v>
      </c>
      <c r="C6" s="1204">
        <f ca="1">ROUND(F6*F8*F7*(1-F9),0)</f>
        <v>0</v>
      </c>
      <c r="D6" s="160" t="s">
        <v>2846</v>
      </c>
      <c r="E6" s="308" t="s">
        <v>1370</v>
      </c>
      <c r="F6" s="309">
        <f ca="1">INDIRECT("'数据-取费表'!u"&amp;$G$1)</f>
        <v>0</v>
      </c>
      <c r="G6" s="1568"/>
      <c r="H6" s="1199" t="s">
        <v>1003</v>
      </c>
      <c r="I6" s="3340" t="s">
        <v>1368</v>
      </c>
      <c r="J6" s="307">
        <f ca="1">ROUND(M6*M8*M7*(1-M9),0)</f>
        <v>0</v>
      </c>
      <c r="K6" s="1560" t="s">
        <v>2847</v>
      </c>
      <c r="L6" s="308" t="s">
        <v>1370</v>
      </c>
      <c r="M6" s="309">
        <f ca="1">INDIRECT("'数据-取费表'!z"&amp;$G$1)</f>
        <v>0</v>
      </c>
    </row>
    <row r="7" spans="1:37" ht="18" customHeight="1">
      <c r="A7" s="1203"/>
      <c r="B7" s="3341"/>
      <c r="C7" s="1205"/>
      <c r="D7" s="313"/>
      <c r="E7" s="1206" t="s">
        <v>1371</v>
      </c>
      <c r="F7" s="309">
        <f ca="1">IF(INDIRECT("'数据-取费表'!ah"&amp;$G$1)="",INDIRECT("'数据-取费表'!k"&amp;$G$1),INDIRECT("'数据-取费表'!ah"&amp;$G$1))</f>
        <v>0</v>
      </c>
      <c r="G7" s="1568"/>
      <c r="H7" s="310"/>
      <c r="I7" s="3341"/>
      <c r="J7" s="312"/>
      <c r="K7" s="313"/>
      <c r="L7" s="308" t="s">
        <v>1371</v>
      </c>
      <c r="M7" s="309">
        <f ca="1">F7</f>
        <v>0</v>
      </c>
    </row>
    <row r="8" spans="1:37" ht="18" customHeight="1">
      <c r="A8" s="310"/>
      <c r="B8" s="3341"/>
      <c r="C8" s="312"/>
      <c r="D8" s="313"/>
      <c r="E8" s="308" t="s">
        <v>1372</v>
      </c>
      <c r="F8" s="309">
        <f ca="1">INDIRECT("'数据-取费表'!ai"&amp;$G$1)</f>
        <v>0</v>
      </c>
      <c r="G8" s="1568"/>
      <c r="H8" s="310"/>
      <c r="I8" s="3341"/>
      <c r="J8" s="312"/>
      <c r="K8" s="313"/>
      <c r="L8" s="308" t="s">
        <v>1372</v>
      </c>
      <c r="M8" s="309">
        <f ca="1">INDIRECT("'数据-取费表'!ai"&amp;$G$1)</f>
        <v>0</v>
      </c>
    </row>
    <row r="9" spans="1:37" ht="18" customHeight="1">
      <c r="A9" s="310"/>
      <c r="B9" s="3342"/>
      <c r="C9" s="312"/>
      <c r="D9" s="313"/>
      <c r="E9" s="308" t="s">
        <v>1373</v>
      </c>
      <c r="F9" s="318">
        <f ca="1">INDIRECT("'数据-取费表'!w"&amp;$G$1)</f>
        <v>0</v>
      </c>
      <c r="G9" s="1568"/>
      <c r="H9" s="310"/>
      <c r="I9" s="3342"/>
      <c r="J9" s="312"/>
      <c r="K9" s="313"/>
      <c r="L9" s="319" t="s">
        <v>1373</v>
      </c>
      <c r="M9" s="320">
        <f ca="1">INDIRECT("'数据-取费表'!ab"&amp;$G$1)</f>
        <v>0</v>
      </c>
    </row>
    <row r="10" spans="1:37" ht="18" customHeight="1">
      <c r="A10" s="1199" t="s">
        <v>1007</v>
      </c>
      <c r="B10" s="1549" t="s">
        <v>1374</v>
      </c>
      <c r="C10" s="322">
        <f ca="1">ROUND(IF(F10="押一",C6/12*F11,IF(F10="押二",C6/12*2*F11,IF(F10="押三",C6/12*3*F11,C11*F11))),0)</f>
        <v>0</v>
      </c>
      <c r="D10" s="1550" t="s">
        <v>2856</v>
      </c>
      <c r="E10" s="319" t="s">
        <v>1375</v>
      </c>
      <c r="F10" s="1274"/>
      <c r="G10" s="1568"/>
      <c r="H10" s="1199" t="s">
        <v>1007</v>
      </c>
      <c r="I10" s="1549" t="s">
        <v>1374</v>
      </c>
      <c r="J10" s="307">
        <f ca="1">ROUND(IF(M10="押一",J6/12*M11,IF(M10="押二",J6/12*2*M11,IF(M10="押三",J6/12*3*M11,J11*M11))),0)</f>
        <v>0</v>
      </c>
      <c r="K10" s="1561" t="s">
        <v>2858</v>
      </c>
      <c r="L10" s="319" t="s">
        <v>1375</v>
      </c>
      <c r="M10" s="1274"/>
    </row>
    <row r="11" spans="1:37" ht="18" customHeight="1">
      <c r="A11" s="314"/>
      <c r="B11" s="1551" t="s">
        <v>1567</v>
      </c>
      <c r="C11" s="1089"/>
      <c r="D11" s="313"/>
      <c r="E11" s="319" t="s">
        <v>1377</v>
      </c>
      <c r="F11" s="320">
        <f ca="1">'数据-取费表'!B39</f>
        <v>1.4999999999999999E-2</v>
      </c>
      <c r="G11" s="1568"/>
      <c r="H11" s="1207"/>
      <c r="I11" s="1551" t="s">
        <v>1568</v>
      </c>
      <c r="J11" s="1089"/>
      <c r="K11" s="692"/>
      <c r="L11" s="319" t="s">
        <v>1377</v>
      </c>
      <c r="M11" s="970">
        <f ca="1">'数据-取费表'!B39</f>
        <v>1.4999999999999999E-2</v>
      </c>
    </row>
    <row r="12" spans="1:37" ht="18" customHeight="1" thickBot="1">
      <c r="A12" s="1241" t="s">
        <v>1043</v>
      </c>
      <c r="B12" s="1553" t="s">
        <v>1378</v>
      </c>
      <c r="C12" s="1242"/>
      <c r="D12" s="1243"/>
      <c r="E12" s="1248"/>
      <c r="F12" s="1244"/>
      <c r="G12" s="1568"/>
      <c r="H12" s="1241" t="s">
        <v>1043</v>
      </c>
      <c r="I12" s="1553" t="s">
        <v>1378</v>
      </c>
      <c r="J12" s="1242"/>
      <c r="K12" s="1256"/>
      <c r="L12" s="1248"/>
      <c r="M12" s="1257"/>
    </row>
    <row r="13" spans="1:37" ht="18" customHeight="1" thickTop="1">
      <c r="A13" s="1237">
        <v>2</v>
      </c>
      <c r="B13" s="1238" t="s">
        <v>1379</v>
      </c>
      <c r="C13" s="316">
        <f ca="1">ROUND(C29*F13,0)</f>
        <v>0</v>
      </c>
      <c r="D13" s="1239" t="s">
        <v>1380</v>
      </c>
      <c r="E13" s="1239" t="s">
        <v>1381</v>
      </c>
      <c r="F13" s="1240">
        <f ca="1">INDIRECT("'数据-取费表'!y"&amp;$G$1)</f>
        <v>0</v>
      </c>
      <c r="G13" s="1568"/>
      <c r="H13" s="1237">
        <v>2</v>
      </c>
      <c r="I13" s="1238" t="s">
        <v>1379</v>
      </c>
      <c r="J13" s="1198">
        <f ca="1">ROUND(J14*J15,0)</f>
        <v>0</v>
      </c>
      <c r="K13" s="1245" t="s">
        <v>1380</v>
      </c>
      <c r="L13" s="1576"/>
      <c r="M13" s="1577"/>
    </row>
    <row r="14" spans="1:37" ht="18" customHeight="1">
      <c r="A14" s="1112" t="s">
        <v>1002</v>
      </c>
      <c r="B14" s="308" t="s">
        <v>1382</v>
      </c>
      <c r="C14" s="324">
        <f ca="1">ROUND(INDIRECT("'数据-取费表'!l"&amp;$G$1)*F43+'数据-取费表'!L14*INDIRECT("'数据-取费表'!S"&amp;$G$1),0)</f>
        <v>0</v>
      </c>
      <c r="D14" s="1529" t="s">
        <v>1383</v>
      </c>
      <c r="E14" s="1526"/>
      <c r="F14" s="325"/>
      <c r="G14" s="1568"/>
      <c r="H14" s="1112" t="s">
        <v>1003</v>
      </c>
      <c r="I14" s="308" t="s">
        <v>1384</v>
      </c>
      <c r="J14" s="24">
        <f ca="1">C29</f>
        <v>0</v>
      </c>
      <c r="K14" s="15"/>
      <c r="L14" s="915"/>
      <c r="M14" s="916"/>
    </row>
    <row r="15" spans="1:37" s="1581" customFormat="1" ht="18" customHeight="1" thickBot="1">
      <c r="A15" s="1112" t="s">
        <v>1004</v>
      </c>
      <c r="B15" s="308" t="s">
        <v>1385</v>
      </c>
      <c r="C15" s="24">
        <f ca="1">ROUND(C14*F15,0)</f>
        <v>0</v>
      </c>
      <c r="D15" s="326" t="s">
        <v>1386</v>
      </c>
      <c r="E15" s="326" t="s">
        <v>1387</v>
      </c>
      <c r="F15" s="327">
        <f>'数据-取费表'!B33</f>
        <v>0.05</v>
      </c>
      <c r="G15" s="1580"/>
      <c r="H15" s="1247" t="s">
        <v>1007</v>
      </c>
      <c r="I15" s="1248" t="s">
        <v>1381</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2" t="s">
        <v>1354</v>
      </c>
      <c r="B16" s="308" t="s">
        <v>1388</v>
      </c>
      <c r="C16" s="24">
        <f ca="1">ROUND(INDIRECT("'数据-取费表'!l"&amp;$G$1)*F43*F16,0)</f>
        <v>0</v>
      </c>
      <c r="D16" s="308" t="s">
        <v>1386</v>
      </c>
      <c r="E16" s="308" t="s">
        <v>1387</v>
      </c>
      <c r="F16" s="328">
        <f ca="1">IF(INDIRECT("'数据-取费表'!c"&amp;$G$1)="住宅",'数据-取费表'!B34,0)</f>
        <v>0</v>
      </c>
      <c r="G16" s="1568"/>
      <c r="H16" s="1237" t="s">
        <v>998</v>
      </c>
      <c r="I16" s="1238" t="s">
        <v>1389</v>
      </c>
      <c r="J16" s="316">
        <f ca="1">ROUND(J17+J22+J23+J24,0)</f>
        <v>0</v>
      </c>
      <c r="K16" s="1245" t="s">
        <v>1390</v>
      </c>
      <c r="L16" s="1246"/>
      <c r="M16" s="1202"/>
    </row>
    <row r="17" spans="1:37" s="1581" customFormat="1" ht="18" customHeight="1">
      <c r="A17" s="1112" t="s">
        <v>1355</v>
      </c>
      <c r="B17" s="308" t="s">
        <v>1391</v>
      </c>
      <c r="C17" s="24">
        <f ca="1">ROUND(F17*(F43+INDIRECT("'数据-取费表'!S"&amp;$G$1)),0)</f>
        <v>0</v>
      </c>
      <c r="D17" s="308" t="s">
        <v>1392</v>
      </c>
      <c r="E17" s="308" t="s">
        <v>1393</v>
      </c>
      <c r="F17" s="26">
        <f>'数据-取费表'!B35</f>
        <v>200</v>
      </c>
      <c r="G17" s="1580"/>
      <c r="H17" s="1112"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2" t="s">
        <v>1356</v>
      </c>
      <c r="B18" s="308" t="s">
        <v>1397</v>
      </c>
      <c r="C18" s="24">
        <f ca="1">ROUND(C14*F18,0)</f>
        <v>0</v>
      </c>
      <c r="D18" s="308" t="s">
        <v>1386</v>
      </c>
      <c r="E18" s="308" t="s">
        <v>1387</v>
      </c>
      <c r="F18" s="328">
        <f>'数据-取费表'!B36</f>
        <v>1.4999999999999999E-2</v>
      </c>
      <c r="G18" s="1580"/>
      <c r="H18" s="1112" t="s">
        <v>1002</v>
      </c>
      <c r="I18" s="308" t="s">
        <v>1398</v>
      </c>
      <c r="J18" s="24">
        <f ca="1">ROUND(J6*M18/(1+'数据-取费表'!C42),0)</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2" t="s">
        <v>1003</v>
      </c>
      <c r="B19" s="308" t="s">
        <v>1400</v>
      </c>
      <c r="C19" s="24">
        <f ca="1">SUM(C14:C18)</f>
        <v>0</v>
      </c>
      <c r="D19" s="136" t="s">
        <v>1401</v>
      </c>
      <c r="E19" s="1544"/>
      <c r="F19" s="26"/>
      <c r="G19" s="1568"/>
      <c r="H19" s="1112" t="s">
        <v>1004</v>
      </c>
      <c r="I19" s="308" t="s">
        <v>1402</v>
      </c>
      <c r="J19" s="24">
        <f ca="1">IF(K19="按租金收入计税",ROUND(J6*M19/(1+'数据-取费表'!C42),0),ROUND(C29*M19*0.7,0))</f>
        <v>0</v>
      </c>
      <c r="K19" s="1554" t="s">
        <v>1403</v>
      </c>
      <c r="L19" s="308" t="s">
        <v>1387</v>
      </c>
      <c r="M19" s="328">
        <f>IF(K19="按租金收入计税",'数据-取费表'!B51,'数据-取费表'!B50)</f>
        <v>1.2E-2</v>
      </c>
    </row>
    <row r="20" spans="1:37" s="1581" customFormat="1" ht="18" customHeight="1">
      <c r="A20" s="1112" t="s">
        <v>1007</v>
      </c>
      <c r="B20" s="308" t="s">
        <v>1404</v>
      </c>
      <c r="C20" s="24">
        <f ca="1">ROUND(C19*F20,0)</f>
        <v>0</v>
      </c>
      <c r="D20" s="329" t="s">
        <v>1405</v>
      </c>
      <c r="E20" s="308" t="s">
        <v>1387</v>
      </c>
      <c r="F20" s="328">
        <f>'数据-取费表'!B37</f>
        <v>0.03</v>
      </c>
      <c r="G20" s="1580"/>
      <c r="H20" s="1112" t="s">
        <v>1354</v>
      </c>
      <c r="I20" s="160" t="s">
        <v>1406</v>
      </c>
      <c r="J20" s="25">
        <f ca="1">ROUND(M20*M21,0)</f>
        <v>0</v>
      </c>
      <c r="K20" s="330" t="s">
        <v>1407</v>
      </c>
      <c r="L20" s="308" t="s">
        <v>1408</v>
      </c>
      <c r="M20" s="331">
        <f>'数据-取费表'!B52</f>
        <v>11</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2" t="s">
        <v>1043</v>
      </c>
      <c r="B21" s="308" t="s">
        <v>1409</v>
      </c>
      <c r="C21" s="24" t="s">
        <v>1</v>
      </c>
      <c r="D21" s="329" t="s">
        <v>1410</v>
      </c>
      <c r="E21" s="308" t="s">
        <v>1411</v>
      </c>
      <c r="F21" s="328">
        <f>'数据-取费表'!B38</f>
        <v>0.03</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2" t="s">
        <v>1357</v>
      </c>
      <c r="B22" s="308" t="s">
        <v>1413</v>
      </c>
      <c r="C22" s="24"/>
      <c r="D22" s="136" t="str">
        <f>IF(F23&lt;=1,"单利计息。","复利计息。")&amp;"建造成本、管理费用、销售费用产生的利息。"</f>
        <v>复利计息。建造成本、管理费用、销售费用产生的利息。</v>
      </c>
      <c r="E22" s="1544"/>
      <c r="F22" s="26"/>
      <c r="G22" s="1568"/>
      <c r="H22" s="1112" t="s">
        <v>1007</v>
      </c>
      <c r="I22" s="308" t="s">
        <v>1414</v>
      </c>
      <c r="J22" s="24">
        <f ca="1">ROUND(J14*M22,0)</f>
        <v>0</v>
      </c>
      <c r="K22" s="1528" t="s">
        <v>1415</v>
      </c>
      <c r="L22" s="308" t="s">
        <v>1387</v>
      </c>
      <c r="M22" s="334">
        <f ca="1">INDIRECT("'数据-取费表'!Ak"&amp;$G$1)</f>
        <v>0</v>
      </c>
    </row>
    <row r="23" spans="1:37" s="1581" customFormat="1" ht="18" customHeight="1">
      <c r="A23" s="1112"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1.5</v>
      </c>
      <c r="G23" s="1580"/>
      <c r="H23" s="1112" t="s">
        <v>1043</v>
      </c>
      <c r="I23" s="308" t="s">
        <v>1418</v>
      </c>
      <c r="J23" s="24">
        <f ca="1">ROUND(J13*M23,0)</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2" t="s">
        <v>1421</v>
      </c>
      <c r="B24" s="308" t="s">
        <v>1422</v>
      </c>
      <c r="C24" s="24">
        <f ca="1">ROUND(IF('数据-取费表'!B22&lt;=1,F21*F24*F23/2,F21*(POWER((1+F24),F23/2)-1)),4)</f>
        <v>1.1000000000000001E-3</v>
      </c>
      <c r="D24" s="335" t="str">
        <f>IF(F23&lt;=1,"销售费用×利率×(建设周期÷2)","销售费用×((1+利率)^(建设周期÷2)-1)")</f>
        <v>销售费用×((1+利率)^(建设周期÷2)-1)</v>
      </c>
      <c r="E24" s="308" t="s">
        <v>1423</v>
      </c>
      <c r="F24" s="337">
        <f ca="1">'数据-取费表'!B40</f>
        <v>4.7500000000000001E-2</v>
      </c>
      <c r="G24" s="1580"/>
      <c r="H24" s="1247" t="s">
        <v>1358</v>
      </c>
      <c r="I24" s="1248" t="s">
        <v>1404</v>
      </c>
      <c r="J24" s="1249">
        <f ca="1">ROUND(J5*M24,0)</f>
        <v>0</v>
      </c>
      <c r="K24" s="1250" t="s">
        <v>1424</v>
      </c>
      <c r="L24" s="1248" t="s">
        <v>1420</v>
      </c>
      <c r="M24" s="1244">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2" t="s">
        <v>1425</v>
      </c>
      <c r="B25" s="308" t="s">
        <v>1426</v>
      </c>
      <c r="C25" s="24"/>
      <c r="D25" s="136" t="s">
        <v>1427</v>
      </c>
      <c r="E25" s="1544"/>
      <c r="F25" s="26"/>
      <c r="G25" s="1568"/>
      <c r="H25" s="1237" t="s">
        <v>999</v>
      </c>
      <c r="I25" s="1252" t="s">
        <v>1428</v>
      </c>
      <c r="J25" s="316">
        <f ca="1">J5-J16</f>
        <v>0</v>
      </c>
      <c r="K25" s="1253" t="s">
        <v>1429</v>
      </c>
      <c r="L25" s="1254"/>
      <c r="M25" s="1255"/>
    </row>
    <row r="26" spans="1:37" ht="18" customHeight="1">
      <c r="A26" s="1112"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2"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2"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1443</v>
      </c>
      <c r="C29" s="1249">
        <f ca="1">ROUND((C19+C20+C23+C26)/(1-F21-C24-C27-C28),0)</f>
        <v>0</v>
      </c>
      <c r="D29" s="1250"/>
      <c r="E29" s="1248"/>
      <c r="F29" s="1251"/>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1389</v>
      </c>
      <c r="C30" s="316">
        <f ca="1">ROUND(C31+C36+C37+C38,0)</f>
        <v>0</v>
      </c>
      <c r="D30" s="1245" t="s">
        <v>1390</v>
      </c>
      <c r="E30" s="1246"/>
      <c r="F30" s="1202"/>
      <c r="G30" s="1568"/>
      <c r="H30" s="2926"/>
      <c r="I30" s="1582"/>
      <c r="J30" s="1583"/>
      <c r="K30" s="2701"/>
      <c r="L30" s="2927"/>
      <c r="M30" s="2928"/>
    </row>
    <row r="31" spans="1:37" ht="18" customHeight="1">
      <c r="A31" s="1112"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9" t="s">
        <v>3048</v>
      </c>
      <c r="I31" s="1582"/>
      <c r="J31" s="1583"/>
      <c r="K31" s="2701"/>
      <c r="L31" s="2927"/>
      <c r="M31" s="2928"/>
    </row>
    <row r="32" spans="1:37" ht="18" customHeight="1">
      <c r="A32" s="1112" t="s">
        <v>1002</v>
      </c>
      <c r="B32" s="308" t="s">
        <v>1398</v>
      </c>
      <c r="C32" s="24">
        <f ca="1">IF(项目基本情况!B11="自然人","——",ROUND(C6*F32/(1+'数据-取费表'!C42),0))</f>
        <v>0</v>
      </c>
      <c r="D32" s="1528" t="s">
        <v>1399</v>
      </c>
      <c r="E32" s="308" t="s">
        <v>1387</v>
      </c>
      <c r="F32" s="337">
        <f>'数据-取费表'!B41</f>
        <v>5.6000000000000001E-2</v>
      </c>
      <c r="G32" s="1568"/>
      <c r="H32" s="2926"/>
      <c r="I32" s="1582"/>
      <c r="J32" s="1583"/>
      <c r="K32" s="2701"/>
      <c r="L32" s="2927"/>
      <c r="M32" s="2928"/>
    </row>
    <row r="33" spans="1:18" ht="18" customHeight="1">
      <c r="A33" s="1112" t="s">
        <v>1004</v>
      </c>
      <c r="B33" s="308" t="s">
        <v>1402</v>
      </c>
      <c r="C33" s="24">
        <f ca="1">IF(项目基本情况!B11="自然人","——",IF(D33="按租金收入计税",ROUND(C6*F33/(1+'数据-取费表'!C42),0),IF(D33="按房产原值计税",ROUND(C29*F33*0.7,0),INDIRECT("'数据-取费表'!Aj"&amp;$G$1))))</f>
        <v>0</v>
      </c>
      <c r="D33" s="1554" t="s">
        <v>1403</v>
      </c>
      <c r="E33" s="308" t="s">
        <v>1387</v>
      </c>
      <c r="F33" s="328">
        <f>IF(D33="按票据","——",IF(D33="按租金收入计税",'数据-取费表'!B51,'数据-取费表'!B50))</f>
        <v>1.2E-2</v>
      </c>
      <c r="G33" s="1568"/>
      <c r="H33" s="2929"/>
      <c r="I33" s="1582"/>
      <c r="J33" s="1583"/>
      <c r="K33" s="2930"/>
      <c r="L33" s="2929"/>
      <c r="M33" s="2929"/>
    </row>
    <row r="34" spans="1:18" ht="18" customHeight="1">
      <c r="A34" s="1199" t="s">
        <v>1354</v>
      </c>
      <c r="B34" s="160" t="s">
        <v>1406</v>
      </c>
      <c r="C34" s="25">
        <f ca="1">IF(项目基本情况!B11="自然人","——",ROUND(F34*F35,))</f>
        <v>0</v>
      </c>
      <c r="D34" s="330" t="s">
        <v>1407</v>
      </c>
      <c r="E34" s="308" t="s">
        <v>1408</v>
      </c>
      <c r="F34" s="331">
        <f>'数据-取费表'!B52</f>
        <v>11</v>
      </c>
      <c r="G34" s="1568"/>
      <c r="H34" s="2926"/>
      <c r="I34" s="1582"/>
      <c r="J34" s="1583"/>
      <c r="K34" s="2931"/>
      <c r="L34" s="2932"/>
      <c r="M34" s="2932"/>
    </row>
    <row r="35" spans="1:18" ht="18" customHeight="1">
      <c r="A35" s="1261"/>
      <c r="B35" s="1259"/>
      <c r="C35" s="29"/>
      <c r="D35" s="333"/>
      <c r="E35" s="308" t="s">
        <v>1412</v>
      </c>
      <c r="F35" s="309">
        <f ca="1">INDIRECT("'数据-取费表'!r"&amp;$G$1)</f>
        <v>0</v>
      </c>
      <c r="G35" s="1568"/>
      <c r="H35" s="2926"/>
      <c r="I35" s="1582"/>
      <c r="J35" s="1583"/>
      <c r="K35" s="2930"/>
      <c r="L35" s="2929"/>
      <c r="M35" s="2929"/>
    </row>
    <row r="36" spans="1:18" ht="18" customHeight="1">
      <c r="A36" s="1260" t="s">
        <v>1007</v>
      </c>
      <c r="B36" s="308" t="s">
        <v>1414</v>
      </c>
      <c r="C36" s="24">
        <f ca="1">ROUND(C29*F36,0)</f>
        <v>0</v>
      </c>
      <c r="D36" s="1528" t="s">
        <v>1447</v>
      </c>
      <c r="E36" s="308" t="s">
        <v>1387</v>
      </c>
      <c r="F36" s="334">
        <f ca="1">INDIRECT("'数据-取费表'!Ak"&amp;$G$1)</f>
        <v>0</v>
      </c>
      <c r="G36" s="1568"/>
      <c r="H36" s="2929"/>
      <c r="I36" s="1582"/>
      <c r="J36" s="1583"/>
      <c r="K36" s="2770"/>
      <c r="L36" s="2929"/>
      <c r="M36" s="2929"/>
    </row>
    <row r="37" spans="1:18" ht="18" customHeight="1">
      <c r="A37" s="1112" t="s">
        <v>1043</v>
      </c>
      <c r="B37" s="308" t="s">
        <v>1418</v>
      </c>
      <c r="C37" s="24">
        <f ca="1">ROUND(C13*F37,0)</f>
        <v>0</v>
      </c>
      <c r="D37" s="1528" t="s">
        <v>1419</v>
      </c>
      <c r="E37" s="308" t="s">
        <v>1420</v>
      </c>
      <c r="F37" s="336">
        <f ca="1">INDIRECT("'数据-取费表'!Al"&amp;$G$1)</f>
        <v>0</v>
      </c>
      <c r="G37" s="1568"/>
      <c r="H37" s="2929"/>
      <c r="I37" s="1582"/>
      <c r="J37" s="1583"/>
      <c r="K37" s="2770"/>
      <c r="L37" s="2929"/>
      <c r="M37" s="2929"/>
    </row>
    <row r="38" spans="1:18" ht="18" customHeight="1" thickBot="1">
      <c r="A38" s="1247" t="s">
        <v>1358</v>
      </c>
      <c r="B38" s="1248" t="s">
        <v>1404</v>
      </c>
      <c r="C38" s="1249">
        <f ca="1">ROUND(C5*F38,1)</f>
        <v>0</v>
      </c>
      <c r="D38" s="1250" t="s">
        <v>1424</v>
      </c>
      <c r="E38" s="1248" t="s">
        <v>1420</v>
      </c>
      <c r="F38" s="1244">
        <f ca="1">INDIRECT("'数据-取费表'!Am"&amp;$G$1)</f>
        <v>0</v>
      </c>
      <c r="G38" s="1568"/>
      <c r="H38" s="2929"/>
      <c r="I38" s="1582"/>
      <c r="J38" s="1583"/>
      <c r="K38" s="2933"/>
      <c r="L38" s="2929"/>
      <c r="M38" s="2929"/>
    </row>
    <row r="39" spans="1:18" ht="24.6" customHeight="1" thickTop="1">
      <c r="A39" s="1237" t="s">
        <v>999</v>
      </c>
      <c r="B39" s="1252" t="s">
        <v>1448</v>
      </c>
      <c r="C39" s="316">
        <f ca="1">C5-C30</f>
        <v>0</v>
      </c>
      <c r="D39" s="1253" t="s">
        <v>1449</v>
      </c>
      <c r="E39" s="1254"/>
      <c r="F39" s="1255"/>
      <c r="G39" s="1568"/>
      <c r="H39" s="2929"/>
      <c r="I39" s="1582"/>
      <c r="J39" s="1583"/>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1"/>
      <c r="I41" s="1582"/>
      <c r="J41" s="1583"/>
      <c r="K41" s="2770"/>
      <c r="L41" s="1351"/>
      <c r="M41" s="1351"/>
    </row>
    <row r="42" spans="1:18" ht="18" customHeight="1">
      <c r="A42" s="314"/>
      <c r="B42" s="315"/>
      <c r="C42" s="316"/>
      <c r="D42" s="333"/>
      <c r="E42" s="308" t="s">
        <v>1442</v>
      </c>
      <c r="F42" s="318">
        <f ca="1">INDIRECT("'数据-取费表'!v"&amp;$G$1)</f>
        <v>0</v>
      </c>
      <c r="G42" s="1568"/>
      <c r="H42" s="1351"/>
      <c r="I42" s="1582"/>
      <c r="J42" s="1583"/>
      <c r="K42" s="2770"/>
      <c r="L42" s="1351"/>
      <c r="M42" s="1351"/>
    </row>
    <row r="43" spans="1:18" ht="18" customHeight="1" thickBot="1">
      <c r="A43" s="340" t="s">
        <v>1001</v>
      </c>
      <c r="B43" s="341" t="s">
        <v>1452</v>
      </c>
      <c r="C43" s="342" t="e">
        <f ca="1">ROUND(C40/F43,0)</f>
        <v>#DIV/0!</v>
      </c>
      <c r="D43" s="343" t="s">
        <v>1453</v>
      </c>
      <c r="E43" s="344" t="s">
        <v>1454</v>
      </c>
      <c r="F43" s="345">
        <f ca="1">INDIRECT("'数据-取费表'!k"&amp;$G$1)</f>
        <v>0</v>
      </c>
      <c r="G43" s="1568"/>
      <c r="H43" s="1351"/>
      <c r="I43" s="1351"/>
      <c r="J43" s="1351"/>
      <c r="K43" s="2770"/>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6" t="s">
        <v>1361</v>
      </c>
      <c r="B47" s="1108" t="s">
        <v>1362</v>
      </c>
      <c r="C47" s="1108" t="s">
        <v>1363</v>
      </c>
      <c r="D47" s="1108" t="s">
        <v>1364</v>
      </c>
      <c r="E47" s="1187" t="s">
        <v>1365</v>
      </c>
      <c r="F47" s="1188"/>
      <c r="G47" s="730"/>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68" t="s">
        <v>1103</v>
      </c>
      <c r="B48" s="306" t="s">
        <v>1366</v>
      </c>
      <c r="C48" s="1543">
        <f ca="1">C49+C53+C55</f>
        <v>0</v>
      </c>
      <c r="D48" s="1270"/>
      <c r="E48" s="1271"/>
      <c r="F48" s="1092"/>
      <c r="G48" s="730"/>
      <c r="H48" s="731"/>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5" t="s">
        <v>1104</v>
      </c>
      <c r="B49" s="1555" t="s">
        <v>1455</v>
      </c>
      <c r="C49" s="1272">
        <f ca="1">ROUND(F49*F51*F50*(1-F52),0)</f>
        <v>0</v>
      </c>
      <c r="D49" s="1184" t="s">
        <v>1369</v>
      </c>
      <c r="E49" s="1556" t="s">
        <v>1456</v>
      </c>
      <c r="F49" s="1189"/>
      <c r="G49" s="1609"/>
      <c r="H49" s="731"/>
      <c r="I49" s="1605" t="s">
        <v>1499</v>
      </c>
      <c r="J49" s="1610"/>
      <c r="K49" s="1607" t="s">
        <v>1500</v>
      </c>
      <c r="L49" s="1611"/>
      <c r="O49" s="1612" t="s">
        <v>1010</v>
      </c>
      <c r="P49" s="1603" t="s">
        <v>1501</v>
      </c>
      <c r="Q49" s="1604">
        <f ca="1">C29</f>
        <v>0</v>
      </c>
      <c r="R49" s="1604" t="s">
        <v>1494</v>
      </c>
    </row>
    <row r="50" spans="1:18" s="1568" customFormat="1" ht="13.5" thickBot="1">
      <c r="A50" s="1106"/>
      <c r="B50" s="1109"/>
      <c r="C50" s="1110"/>
      <c r="D50" s="1083"/>
      <c r="E50" s="1185" t="s">
        <v>1371</v>
      </c>
      <c r="F50" s="1186">
        <f ca="1">F7</f>
        <v>0</v>
      </c>
      <c r="H50" s="731"/>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7"/>
      <c r="B51" s="1109"/>
      <c r="C51" s="1110"/>
      <c r="D51" s="1083"/>
      <c r="E51" s="1111"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7"/>
      <c r="B52" s="1109"/>
      <c r="C52" s="1110"/>
      <c r="D52" s="1083"/>
      <c r="E52" s="1111" t="s">
        <v>1373</v>
      </c>
      <c r="F52" s="1183"/>
      <c r="I52" s="1621" t="s">
        <v>1508</v>
      </c>
      <c r="J52" s="1622"/>
      <c r="K52" s="1621" t="s">
        <v>1509</v>
      </c>
      <c r="L52" s="1622"/>
      <c r="O52" s="1612" t="s">
        <v>1013</v>
      </c>
      <c r="P52" s="1603" t="s">
        <v>1510</v>
      </c>
      <c r="Q52" s="1604">
        <f ca="1">J53</f>
        <v>0</v>
      </c>
      <c r="R52" s="1604" t="s">
        <v>1511</v>
      </c>
    </row>
    <row r="53" spans="1:18" s="1568" customFormat="1" ht="30.75" customHeight="1" thickBot="1">
      <c r="A53" s="1269" t="s">
        <v>1105</v>
      </c>
      <c r="B53" s="329" t="s">
        <v>1374</v>
      </c>
      <c r="C53" s="322">
        <f ca="1">ROUND(IF(F53="押一",C49/12*F11,IF(F53="押二",C49/12*2*F11,IF(F53="押三",C49/12*3*F11,C54*F11))),0)</f>
        <v>0</v>
      </c>
      <c r="D53" s="1550" t="s">
        <v>2859</v>
      </c>
      <c r="E53" s="319" t="s">
        <v>1375</v>
      </c>
      <c r="F53" s="1274"/>
      <c r="I53" s="1623" t="s">
        <v>1512</v>
      </c>
      <c r="J53" s="2386">
        <f ca="1">IF(M47="住宅",IF(D1="——",MAX(J51,L48),MAX(J51,L48-'数据-取费表'!B24)),IF(D1="——",MIN(J51,L48),MIN(J51,L48-'数据-取费表'!B24)))</f>
        <v>0</v>
      </c>
      <c r="K53" s="3338" t="s">
        <v>1513</v>
      </c>
      <c r="L53" s="3339"/>
      <c r="O53" s="1602" t="s">
        <v>1014</v>
      </c>
      <c r="P53" s="1603" t="s">
        <v>1514</v>
      </c>
      <c r="Q53" s="1604" t="e">
        <f ca="1">Q47+Q48</f>
        <v>#DIV/0!</v>
      </c>
      <c r="R53" s="1604" t="s">
        <v>1015</v>
      </c>
    </row>
    <row r="54" spans="1:18" s="1568" customFormat="1" ht="13.5" thickBot="1">
      <c r="A54" s="1105"/>
      <c r="B54" s="1658" t="s">
        <v>1568</v>
      </c>
      <c r="C54" s="1089"/>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1" t="s">
        <v>1043</v>
      </c>
      <c r="B55" s="1553" t="s">
        <v>1378</v>
      </c>
      <c r="C55" s="1242"/>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7">
        <v>2</v>
      </c>
      <c r="B56" s="1088" t="s">
        <v>1379</v>
      </c>
      <c r="C56" s="238">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0" t="s">
        <v>1443</v>
      </c>
      <c r="C57" s="244">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1" t="s">
        <v>998</v>
      </c>
      <c r="B58" s="1088" t="s">
        <v>1389</v>
      </c>
      <c r="C58" s="322">
        <f ca="1">ROUND(C59+C64+C65+C66,0)</f>
        <v>0</v>
      </c>
      <c r="D58" s="1090" t="s">
        <v>1390</v>
      </c>
      <c r="E58" s="1091"/>
      <c r="F58" s="1092"/>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2" t="s">
        <v>1003</v>
      </c>
      <c r="B59" s="1080" t="s">
        <v>1394</v>
      </c>
      <c r="C59" s="2534">
        <f ca="1">ROUND(IF(AND(项目基本情况!B11="自然人",项目基本情况!B10="北京市"),C49*F59/(1+'数据-取费表'!C42),C60+C61+C62),0)</f>
        <v>0</v>
      </c>
      <c r="D59" s="1093" t="s">
        <v>1395</v>
      </c>
      <c r="E59" s="1094"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2" t="s">
        <v>1002</v>
      </c>
      <c r="B60" s="1080" t="s">
        <v>1398</v>
      </c>
      <c r="C60" s="24">
        <f ca="1">IF(项目基本情况!B11="自然人","——",ROUND(C48*F60/(1+'数据-取费表'!C42),0))</f>
        <v>0</v>
      </c>
      <c r="D60" s="1094" t="s">
        <v>1399</v>
      </c>
      <c r="E60" s="1080" t="s">
        <v>1387</v>
      </c>
      <c r="F60" s="337">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2" t="s">
        <v>1457</v>
      </c>
      <c r="B61" s="1080" t="s">
        <v>1458</v>
      </c>
      <c r="C61" s="24">
        <f ca="1">IF(项目基本情况!B11="自然人","——",IF(D61="按租金收入计税",ROUND(C48*F61,0),IF(D61="按房产原值计税",ROUND(C57*F61*0.7,0),INDIRECT("'数据-取费表'!Aj"&amp;$G$1))))</f>
        <v>0</v>
      </c>
      <c r="D61" s="1554" t="s">
        <v>1403</v>
      </c>
      <c r="E61" s="1080"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2" t="s">
        <v>1460</v>
      </c>
      <c r="B62" s="1079" t="s">
        <v>1461</v>
      </c>
      <c r="C62" s="25">
        <f ca="1">IF(项目基本情况!B11="自然人","——",ROUND(F62*F63,0))</f>
        <v>0</v>
      </c>
      <c r="D62" s="1095" t="s">
        <v>1462</v>
      </c>
      <c r="E62" s="1080" t="s">
        <v>1463</v>
      </c>
      <c r="F62" s="331">
        <f t="shared" si="0"/>
        <v>11</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6"/>
      <c r="C63" s="29"/>
      <c r="D63" s="1096"/>
      <c r="E63" s="1080"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2" t="s">
        <v>1465</v>
      </c>
      <c r="B64" s="1080" t="s">
        <v>1466</v>
      </c>
      <c r="C64" s="24">
        <f ca="1">ROUND(C57*F64,0)</f>
        <v>0</v>
      </c>
      <c r="D64" s="1094" t="s">
        <v>1467</v>
      </c>
      <c r="E64" s="1080"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2" t="s">
        <v>1468</v>
      </c>
      <c r="B65" s="1080" t="s">
        <v>1418</v>
      </c>
      <c r="C65" s="24">
        <f ca="1">ROUND(C56*F65,0)</f>
        <v>0</v>
      </c>
      <c r="D65" s="1094" t="s">
        <v>1419</v>
      </c>
      <c r="E65" s="1080"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2" t="s">
        <v>1469</v>
      </c>
      <c r="B66" s="1080" t="s">
        <v>1404</v>
      </c>
      <c r="C66" s="24">
        <f ca="1">ROUND(C48*F66,0)</f>
        <v>0</v>
      </c>
      <c r="D66" s="1094" t="s">
        <v>1470</v>
      </c>
      <c r="E66" s="1080" t="s">
        <v>1387</v>
      </c>
      <c r="F66" s="318">
        <f t="shared" ca="1" si="0"/>
        <v>0</v>
      </c>
      <c r="O66" s="1602" t="s">
        <v>1009</v>
      </c>
      <c r="P66" s="1603" t="s">
        <v>1523</v>
      </c>
      <c r="Q66" s="1604" t="e">
        <f ca="1">L60</f>
        <v>#DIV/0!</v>
      </c>
      <c r="R66" s="1604" t="s">
        <v>1546</v>
      </c>
    </row>
    <row r="67" spans="1:18" s="1568" customFormat="1" ht="16.5" thickBot="1">
      <c r="A67" s="1087" t="s">
        <v>999</v>
      </c>
      <c r="B67" s="1097" t="s">
        <v>1428</v>
      </c>
      <c r="C67" s="322">
        <f ca="1">C48-C58</f>
        <v>0</v>
      </c>
      <c r="D67" s="1093" t="s">
        <v>1429</v>
      </c>
      <c r="E67" s="1098"/>
      <c r="F67" s="1099"/>
      <c r="O67" s="1612" t="s">
        <v>1010</v>
      </c>
      <c r="P67" s="1603" t="s">
        <v>1527</v>
      </c>
      <c r="Q67" s="1650">
        <f ca="1">L51</f>
        <v>0</v>
      </c>
      <c r="R67" s="1604" t="s">
        <v>1547</v>
      </c>
    </row>
    <row r="68" spans="1:18" s="1568" customFormat="1" ht="16.5" thickBot="1">
      <c r="A68" s="1077" t="s">
        <v>1000</v>
      </c>
      <c r="B68" s="1078" t="s">
        <v>1450</v>
      </c>
      <c r="C68" s="307" t="e">
        <f ca="1">ROUND(C67*(1-((1+F70)/(1+F68))^F69)/(F68-F70),0)</f>
        <v>#DIV/0!</v>
      </c>
      <c r="D68" s="1095" t="s">
        <v>1434</v>
      </c>
      <c r="E68" s="1080" t="s">
        <v>1435</v>
      </c>
      <c r="F68" s="318">
        <f ca="1">F40</f>
        <v>0</v>
      </c>
      <c r="O68" s="1612" t="s">
        <v>1011</v>
      </c>
      <c r="P68" s="1651" t="s">
        <v>1548</v>
      </c>
      <c r="Q68" s="1604">
        <f ca="1">ROUND(Q69-Q70*Q71,0)</f>
        <v>0</v>
      </c>
      <c r="R68" s="1604" t="s">
        <v>1019</v>
      </c>
    </row>
    <row r="69" spans="1:18" s="1568" customFormat="1" ht="13.5" thickBot="1">
      <c r="A69" s="1081"/>
      <c r="B69" s="1082"/>
      <c r="C69" s="312"/>
      <c r="D69" s="1100" t="s">
        <v>1438</v>
      </c>
      <c r="E69" s="1080" t="s">
        <v>1439</v>
      </c>
      <c r="F69" s="339">
        <f ca="1">F41</f>
        <v>0</v>
      </c>
      <c r="O69" s="1612" t="s">
        <v>1016</v>
      </c>
      <c r="P69" s="1651" t="s">
        <v>1549</v>
      </c>
      <c r="Q69" s="1604">
        <f ca="1">C39</f>
        <v>0</v>
      </c>
      <c r="R69" s="1604" t="s">
        <v>1494</v>
      </c>
    </row>
    <row r="70" spans="1:18" s="1568" customFormat="1" ht="13.5" thickBot="1">
      <c r="A70" s="1084"/>
      <c r="B70" s="1085"/>
      <c r="C70" s="316"/>
      <c r="D70" s="1096"/>
      <c r="E70" s="1080" t="s">
        <v>1442</v>
      </c>
      <c r="F70" s="1183">
        <f ca="1">F42</f>
        <v>0</v>
      </c>
      <c r="O70" s="1612" t="s">
        <v>1017</v>
      </c>
      <c r="P70" s="1651" t="s">
        <v>1550</v>
      </c>
      <c r="Q70" s="1604">
        <f ca="1">C13</f>
        <v>0</v>
      </c>
      <c r="R70" s="1604" t="s">
        <v>1494</v>
      </c>
    </row>
    <row r="71" spans="1:18" s="1568" customFormat="1" ht="13.5" thickBot="1">
      <c r="A71" s="1101" t="s">
        <v>1001</v>
      </c>
      <c r="B71" s="1102" t="s">
        <v>1452</v>
      </c>
      <c r="C71" s="342" t="e">
        <f ca="1">ROUND(C68/F71,0)</f>
        <v>#DIV/0!</v>
      </c>
      <c r="D71" s="1103" t="s">
        <v>1453</v>
      </c>
      <c r="E71" s="1104" t="s">
        <v>1454</v>
      </c>
      <c r="F71" s="345">
        <f ca="1">F43</f>
        <v>0</v>
      </c>
      <c r="O71" s="1612" t="s">
        <v>1018</v>
      </c>
      <c r="P71" s="1651" t="s">
        <v>1551</v>
      </c>
      <c r="Q71" s="1615">
        <f ca="1">C76</f>
        <v>0</v>
      </c>
      <c r="R71" s="1604"/>
    </row>
    <row r="72" spans="1:18" s="1568" customFormat="1" ht="13.5" thickBot="1">
      <c r="B72" s="734"/>
      <c r="C72" s="734"/>
      <c r="O72" s="1612" t="s">
        <v>1012</v>
      </c>
      <c r="P72" s="1603" t="s">
        <v>1529</v>
      </c>
      <c r="Q72" s="1615">
        <f>L52</f>
        <v>0</v>
      </c>
      <c r="R72" s="1604"/>
    </row>
    <row r="73" spans="1:18" ht="16.5" thickBot="1">
      <c r="A73" s="1568"/>
      <c r="B73" s="734"/>
      <c r="C73" s="734"/>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17" priority="4">
      <formula>$L$48&gt;$J$51</formula>
    </cfRule>
  </conditionalFormatting>
  <conditionalFormatting sqref="I55 I60">
    <cfRule type="expression" dxfId="116" priority="5">
      <formula>$J$51&gt;$L$48</formula>
    </cfRule>
  </conditionalFormatting>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2348</v>
      </c>
      <c r="B1" s="2054"/>
      <c r="C1" s="2054"/>
      <c r="D1" s="2054"/>
      <c r="E1" s="2055"/>
      <c r="F1" s="2936"/>
      <c r="G1" s="1674"/>
      <c r="H1" s="1674"/>
      <c r="I1" s="1674"/>
      <c r="J1" s="1674"/>
      <c r="K1" s="1674"/>
      <c r="L1" s="1674"/>
      <c r="M1" s="1674"/>
      <c r="N1" s="1674"/>
      <c r="O1" s="1674"/>
      <c r="P1" s="1674"/>
      <c r="Q1" s="1674"/>
      <c r="R1" s="1674"/>
      <c r="S1" s="1674"/>
    </row>
    <row r="2" spans="1:22" ht="15.75">
      <c r="A2" s="2056" t="s">
        <v>2149</v>
      </c>
      <c r="B2" s="2057">
        <f ca="1">SUMIF(B6:B13,"&lt;&gt;#ref!",B6:B13)</f>
        <v>28662</v>
      </c>
      <c r="C2" s="2058" t="s">
        <v>2341</v>
      </c>
      <c r="D2" s="2059" t="s">
        <v>2342</v>
      </c>
      <c r="E2" s="2833">
        <f>SUM(E6:E13)</f>
        <v>27960.83</v>
      </c>
      <c r="F2" s="2936"/>
      <c r="G2" s="1674"/>
      <c r="H2" s="1674"/>
      <c r="I2" s="1674"/>
      <c r="J2" s="1674"/>
      <c r="K2" s="1674"/>
      <c r="L2" s="1674"/>
      <c r="M2" s="1674"/>
      <c r="N2" s="1674"/>
      <c r="O2" s="1674"/>
      <c r="P2" s="1674"/>
      <c r="Q2" s="1674"/>
      <c r="R2" s="1674"/>
      <c r="S2" s="1674"/>
    </row>
    <row r="3" spans="1:22" ht="15.75">
      <c r="A3" s="2056" t="s">
        <v>1360</v>
      </c>
      <c r="B3" s="2827">
        <f ca="1">ROUND(B2*10000/E2,0)</f>
        <v>10251</v>
      </c>
      <c r="C3" s="2058" t="s">
        <v>2349</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2343</v>
      </c>
      <c r="B5" s="3343" t="s">
        <v>2344</v>
      </c>
      <c r="C5" s="3344"/>
      <c r="D5" s="2937"/>
      <c r="E5" s="2060" t="s">
        <v>2345</v>
      </c>
      <c r="F5" s="2061" t="s">
        <v>2346</v>
      </c>
      <c r="G5" s="1674"/>
      <c r="H5" s="1674"/>
      <c r="I5" s="1674"/>
      <c r="J5" s="1674"/>
      <c r="K5" s="1674"/>
      <c r="L5" s="1674"/>
      <c r="M5" s="1674"/>
      <c r="N5" s="1674"/>
      <c r="O5" s="1674"/>
      <c r="P5" s="1674"/>
      <c r="Q5" s="1674"/>
      <c r="R5" s="1674"/>
      <c r="S5" s="1674"/>
    </row>
    <row r="6" spans="1:22">
      <c r="A6" s="2830" t="str">
        <f>'数据-取费表'!AN6</f>
        <v>典型户型修正</v>
      </c>
      <c r="B6" s="2828">
        <f ca="1">IF(F6="是",'数据-取费表'!AO6,0)</f>
        <v>27603</v>
      </c>
      <c r="C6" s="2058" t="s">
        <v>2341</v>
      </c>
      <c r="D6" s="2938"/>
      <c r="E6" s="2832">
        <f>IF(OR(A6=0,F6="否"),0,'数据-取费表'!K6+'数据-取费表'!S6)</f>
        <v>21489.300000000003</v>
      </c>
      <c r="F6" s="2062" t="s">
        <v>2347</v>
      </c>
      <c r="G6" s="1674"/>
      <c r="H6" s="1674"/>
      <c r="I6" s="1674"/>
      <c r="J6" s="1674"/>
      <c r="K6" s="1674"/>
      <c r="L6" s="1674"/>
      <c r="M6" s="1674"/>
      <c r="N6" s="1674"/>
      <c r="O6" s="1674"/>
      <c r="P6" s="1674"/>
      <c r="Q6" s="1674"/>
      <c r="R6" s="1674"/>
      <c r="S6" s="1674"/>
    </row>
    <row r="7" spans="1:22">
      <c r="A7" s="2830" t="str">
        <f>'数据-取费表'!AN7</f>
        <v>收益法</v>
      </c>
      <c r="B7" s="2828">
        <f ca="1">IF(F7="是",'数据-取费表'!AO7,0)</f>
        <v>1059</v>
      </c>
      <c r="C7" s="2058" t="s">
        <v>2341</v>
      </c>
      <c r="D7" s="2938"/>
      <c r="E7" s="2832">
        <f>IF(OR(A7=0,F7="否"),0,'数据-取费表'!K7+'数据-取费表'!S7)</f>
        <v>6471.53</v>
      </c>
      <c r="F7" s="2062" t="s">
        <v>2347</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2341</v>
      </c>
      <c r="D8" s="2938"/>
      <c r="E8" s="2832">
        <f>IF(OR(A8=0,F8="否"),0,'数据-取费表'!K8+'数据-取费表'!S8)</f>
        <v>0</v>
      </c>
      <c r="F8" s="2062" t="s">
        <v>2347</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2341</v>
      </c>
      <c r="D9" s="2938"/>
      <c r="E9" s="2832">
        <f>IF(OR(A9=0,F9="否"),0,'数据-取费表'!K9+'数据-取费表'!S9)</f>
        <v>0</v>
      </c>
      <c r="F9" s="2062" t="s">
        <v>2347</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2341</v>
      </c>
      <c r="D10" s="2938"/>
      <c r="E10" s="2832">
        <f>IF(OR(A10=0,F10="否"),0,'数据-取费表'!K10+'数据-取费表'!S10)</f>
        <v>0</v>
      </c>
      <c r="F10" s="2062" t="s">
        <v>2347</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2341</v>
      </c>
      <c r="D11" s="2938"/>
      <c r="E11" s="2832">
        <f>IF(OR(A11=0,F11="否"),0,'数据-取费表'!K11+'数据-取费表'!S11)</f>
        <v>0</v>
      </c>
      <c r="F11" s="2062" t="s">
        <v>2347</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2341</v>
      </c>
      <c r="D12" s="2938"/>
      <c r="E12" s="2832">
        <f>IF(OR(A12=0,F12="否"),0,'数据-取费表'!K12+'数据-取费表'!S12)</f>
        <v>0</v>
      </c>
      <c r="F12" s="2062" t="s">
        <v>2347</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2341</v>
      </c>
      <c r="D13" s="2939"/>
      <c r="E13" s="2832">
        <f>IF(OR(A13=0,F13="否"),0,'数据-取费表'!K13+'数据-取费表'!S13)</f>
        <v>0</v>
      </c>
      <c r="F13" s="2062" t="s">
        <v>2347</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45" t="s">
        <v>1044</v>
      </c>
      <c r="B1" s="3346"/>
      <c r="C1" s="3347"/>
      <c r="D1" s="3348">
        <f>SUM(I10,I15,I20,I21,I23)</f>
        <v>0</v>
      </c>
      <c r="E1" s="3348"/>
      <c r="F1" s="3348"/>
      <c r="G1" s="3348"/>
      <c r="H1" s="3348"/>
      <c r="I1" s="3349"/>
    </row>
    <row r="2" spans="1:9">
      <c r="A2" s="3350" t="s">
        <v>1045</v>
      </c>
      <c r="B2" s="3351" t="s">
        <v>1046</v>
      </c>
      <c r="C2" s="3351"/>
      <c r="D2" s="1209" t="s">
        <v>1047</v>
      </c>
      <c r="E2" s="1209" t="s">
        <v>1048</v>
      </c>
      <c r="F2" s="1209" t="s">
        <v>1049</v>
      </c>
      <c r="G2" s="1209" t="s">
        <v>1050</v>
      </c>
      <c r="H2" s="1209" t="s">
        <v>1051</v>
      </c>
      <c r="I2" s="1210" t="s">
        <v>1052</v>
      </c>
    </row>
    <row r="3" spans="1:9">
      <c r="A3" s="3350"/>
      <c r="B3" s="3351" t="s">
        <v>1053</v>
      </c>
      <c r="C3" s="3351"/>
      <c r="D3" s="1211"/>
      <c r="E3" s="1209"/>
      <c r="F3" s="1212"/>
      <c r="G3" s="1212"/>
      <c r="H3" s="1213"/>
      <c r="I3" s="1214">
        <f>ROUND(D3*E3*F3*G3*H3/10000,0)</f>
        <v>0</v>
      </c>
    </row>
    <row r="4" spans="1:9">
      <c r="A4" s="3350"/>
      <c r="B4" s="3351" t="s">
        <v>1054</v>
      </c>
      <c r="C4" s="3351"/>
      <c r="D4" s="1211"/>
      <c r="E4" s="1209"/>
      <c r="F4" s="1212"/>
      <c r="G4" s="1212"/>
      <c r="H4" s="1213"/>
      <c r="I4" s="1214">
        <f t="shared" ref="I4:I9" si="0">ROUND(D4*E4*F4*G4*H4/10000,0)</f>
        <v>0</v>
      </c>
    </row>
    <row r="5" spans="1:9">
      <c r="A5" s="3350"/>
      <c r="B5" s="3351" t="s">
        <v>1055</v>
      </c>
      <c r="C5" s="3351"/>
      <c r="D5" s="1211"/>
      <c r="E5" s="1209"/>
      <c r="F5" s="1212"/>
      <c r="G5" s="1212"/>
      <c r="H5" s="1213"/>
      <c r="I5" s="1214">
        <f t="shared" si="0"/>
        <v>0</v>
      </c>
    </row>
    <row r="6" spans="1:9">
      <c r="A6" s="3350"/>
      <c r="B6" s="3351" t="s">
        <v>1056</v>
      </c>
      <c r="C6" s="3351"/>
      <c r="D6" s="1211"/>
      <c r="E6" s="1209"/>
      <c r="F6" s="1212"/>
      <c r="G6" s="1212"/>
      <c r="H6" s="1213"/>
      <c r="I6" s="1214">
        <f t="shared" si="0"/>
        <v>0</v>
      </c>
    </row>
    <row r="7" spans="1:9">
      <c r="A7" s="3350"/>
      <c r="B7" s="3351" t="s">
        <v>1057</v>
      </c>
      <c r="C7" s="3351"/>
      <c r="D7" s="1211"/>
      <c r="E7" s="1209"/>
      <c r="F7" s="1212"/>
      <c r="G7" s="1212"/>
      <c r="H7" s="1213"/>
      <c r="I7" s="1214">
        <f t="shared" si="0"/>
        <v>0</v>
      </c>
    </row>
    <row r="8" spans="1:9">
      <c r="A8" s="3350"/>
      <c r="B8" s="3351" t="s">
        <v>1058</v>
      </c>
      <c r="C8" s="3351"/>
      <c r="D8" s="1211"/>
      <c r="E8" s="1209"/>
      <c r="F8" s="1212"/>
      <c r="G8" s="1212"/>
      <c r="H8" s="1213"/>
      <c r="I8" s="1214">
        <f t="shared" si="0"/>
        <v>0</v>
      </c>
    </row>
    <row r="9" spans="1:9">
      <c r="A9" s="3350"/>
      <c r="B9" s="3351" t="s">
        <v>1059</v>
      </c>
      <c r="C9" s="3351"/>
      <c r="D9" s="1211"/>
      <c r="E9" s="1209"/>
      <c r="F9" s="1212"/>
      <c r="G9" s="1212"/>
      <c r="H9" s="1213"/>
      <c r="I9" s="1214">
        <f t="shared" si="0"/>
        <v>0</v>
      </c>
    </row>
    <row r="10" spans="1:9">
      <c r="A10" s="3350"/>
      <c r="B10" s="3352" t="s">
        <v>1060</v>
      </c>
      <c r="C10" s="3352"/>
      <c r="D10" s="1215"/>
      <c r="E10" s="1215" t="e">
        <f>ROUND(D1*10000/D10/H9,0)</f>
        <v>#DIV/0!</v>
      </c>
      <c r="F10" s="1216"/>
      <c r="G10" s="1216"/>
      <c r="H10" s="1217"/>
      <c r="I10" s="1218">
        <f>SUM(I3:I9)</f>
        <v>0</v>
      </c>
    </row>
    <row r="11" spans="1:9" ht="14.25">
      <c r="A11" s="3350" t="s">
        <v>1061</v>
      </c>
      <c r="B11" s="3351" t="s">
        <v>1062</v>
      </c>
      <c r="C11" s="3351"/>
      <c r="D11" s="1211" t="s">
        <v>1063</v>
      </c>
      <c r="E11" s="1211" t="s">
        <v>1064</v>
      </c>
      <c r="F11" s="1212" t="s">
        <v>1065</v>
      </c>
      <c r="G11" s="1212" t="s">
        <v>1051</v>
      </c>
      <c r="H11" s="1219" t="s">
        <v>1066</v>
      </c>
      <c r="I11" s="1210" t="s">
        <v>1052</v>
      </c>
    </row>
    <row r="12" spans="1:9">
      <c r="A12" s="3350"/>
      <c r="B12" s="3351" t="s">
        <v>1067</v>
      </c>
      <c r="C12" s="3351"/>
      <c r="D12" s="1211"/>
      <c r="E12" s="1211"/>
      <c r="F12" s="1212"/>
      <c r="G12" s="1213"/>
      <c r="H12" s="1220"/>
      <c r="I12" s="1210">
        <f>ROUND(D12*E12*F12*G12/10000,0)</f>
        <v>0</v>
      </c>
    </row>
    <row r="13" spans="1:9">
      <c r="A13" s="3350"/>
      <c r="B13" s="3351" t="s">
        <v>1068</v>
      </c>
      <c r="C13" s="3351"/>
      <c r="D13" s="1211"/>
      <c r="E13" s="1211"/>
      <c r="F13" s="1212"/>
      <c r="G13" s="1213"/>
      <c r="H13" s="1220"/>
      <c r="I13" s="1210">
        <f>ROUND(D13*E13*F13*G13/10000,0)</f>
        <v>0</v>
      </c>
    </row>
    <row r="14" spans="1:9">
      <c r="A14" s="3350"/>
      <c r="B14" s="3351" t="s">
        <v>1069</v>
      </c>
      <c r="C14" s="3351"/>
      <c r="D14" s="1211"/>
      <c r="E14" s="1211"/>
      <c r="F14" s="1212"/>
      <c r="G14" s="1213"/>
      <c r="H14" s="1220"/>
      <c r="I14" s="1210">
        <f>ROUND(D14*E14*F14*G14/10000,0)</f>
        <v>0</v>
      </c>
    </row>
    <row r="15" spans="1:9">
      <c r="A15" s="3350"/>
      <c r="B15" s="3352" t="s">
        <v>1060</v>
      </c>
      <c r="C15" s="3352"/>
      <c r="D15" s="1215"/>
      <c r="E15" s="1215">
        <f>SUM(E12:E14)</f>
        <v>0</v>
      </c>
      <c r="F15" s="1216"/>
      <c r="G15" s="1213"/>
      <c r="H15" s="1220"/>
      <c r="I15" s="1221">
        <f>SUM(I12:I14)</f>
        <v>0</v>
      </c>
    </row>
    <row r="16" spans="1:9" ht="24">
      <c r="A16" s="3350" t="s">
        <v>1070</v>
      </c>
      <c r="B16" s="3351" t="s">
        <v>1071</v>
      </c>
      <c r="C16" s="3351"/>
      <c r="D16" s="1211" t="s">
        <v>1047</v>
      </c>
      <c r="E16" s="1222" t="s">
        <v>1072</v>
      </c>
      <c r="F16" s="1212" t="s">
        <v>1073</v>
      </c>
      <c r="G16" s="1213" t="s">
        <v>1051</v>
      </c>
      <c r="H16" s="1219" t="s">
        <v>1066</v>
      </c>
      <c r="I16" s="1210" t="s">
        <v>1052</v>
      </c>
    </row>
    <row r="17" spans="1:9" ht="14.25">
      <c r="A17" s="3350"/>
      <c r="B17" s="3351" t="s">
        <v>1074</v>
      </c>
      <c r="C17" s="3351"/>
      <c r="D17" s="1211"/>
      <c r="E17" s="1211"/>
      <c r="F17" s="1212"/>
      <c r="G17" s="1213"/>
      <c r="H17" s="1223"/>
      <c r="I17" s="1224">
        <f>ROUND(D17*E17*F17*G17/10000,0)</f>
        <v>0</v>
      </c>
    </row>
    <row r="18" spans="1:9" ht="14.25">
      <c r="A18" s="3350"/>
      <c r="B18" s="3351" t="s">
        <v>1075</v>
      </c>
      <c r="C18" s="3351"/>
      <c r="D18" s="1211"/>
      <c r="E18" s="1211"/>
      <c r="F18" s="1212"/>
      <c r="G18" s="1213"/>
      <c r="H18" s="1223"/>
      <c r="I18" s="1224">
        <f>ROUND(D18*E18*F18*G18/10000,0)</f>
        <v>0</v>
      </c>
    </row>
    <row r="19" spans="1:9" ht="14.25">
      <c r="A19" s="3350"/>
      <c r="B19" s="3351" t="s">
        <v>1076</v>
      </c>
      <c r="C19" s="3351"/>
      <c r="D19" s="1211"/>
      <c r="E19" s="1211"/>
      <c r="F19" s="1212"/>
      <c r="G19" s="1213"/>
      <c r="H19" s="1223"/>
      <c r="I19" s="1224">
        <f>ROUND(D19*E19*F19*G19/10000,0)</f>
        <v>0</v>
      </c>
    </row>
    <row r="20" spans="1:9">
      <c r="A20" s="3350"/>
      <c r="B20" s="3352" t="s">
        <v>1060</v>
      </c>
      <c r="C20" s="3352"/>
      <c r="D20" s="1215">
        <f>SUM(D17:D19)</f>
        <v>0</v>
      </c>
      <c r="E20" s="1215"/>
      <c r="F20" s="1216"/>
      <c r="G20" s="1213"/>
      <c r="H20" s="1220"/>
      <c r="I20" s="1221">
        <f>SUM(I17:I19)</f>
        <v>0</v>
      </c>
    </row>
    <row r="21" spans="1:9">
      <c r="A21" s="3350" t="s">
        <v>1077</v>
      </c>
      <c r="B21" s="3354"/>
      <c r="C21" s="3354"/>
      <c r="D21" s="3354"/>
      <c r="E21" s="3354"/>
      <c r="F21" s="3354"/>
      <c r="G21" s="3354"/>
      <c r="H21" s="1502">
        <v>0.1</v>
      </c>
      <c r="I21" s="1218">
        <f>ROUND(I10*H21,0)</f>
        <v>0</v>
      </c>
    </row>
    <row r="22" spans="1:9" ht="14.25">
      <c r="A22" s="3355" t="s">
        <v>1078</v>
      </c>
      <c r="B22" s="3356"/>
      <c r="C22" s="3357"/>
      <c r="D22" s="1225" t="s">
        <v>1079</v>
      </c>
      <c r="E22" s="1225" t="s">
        <v>1080</v>
      </c>
      <c r="F22" s="1226" t="s">
        <v>1081</v>
      </c>
      <c r="G22" s="1226" t="s">
        <v>1082</v>
      </c>
      <c r="H22" s="1219" t="s">
        <v>1083</v>
      </c>
      <c r="I22" s="1210" t="s">
        <v>1084</v>
      </c>
    </row>
    <row r="23" spans="1:9" ht="14.25" thickBot="1">
      <c r="A23" s="3358"/>
      <c r="B23" s="3359"/>
      <c r="C23" s="3360"/>
      <c r="D23" s="1227"/>
      <c r="E23" s="1227"/>
      <c r="F23" s="1227"/>
      <c r="G23" s="1228"/>
      <c r="H23" s="1229"/>
      <c r="I23" s="1230">
        <f>ROUND(E23*D23*F23*(1-G23)/10000,0)</f>
        <v>0</v>
      </c>
    </row>
    <row r="26" spans="1:9">
      <c r="A26" s="1231" t="s">
        <v>1085</v>
      </c>
      <c r="B26" s="1231"/>
      <c r="C26" s="1231"/>
      <c r="D26" s="1231"/>
      <c r="E26" s="3361">
        <f>C27-C30-C31-C32</f>
        <v>0</v>
      </c>
      <c r="F26" s="3361"/>
      <c r="G26" s="3361"/>
      <c r="H26" s="1499" t="s">
        <v>1306</v>
      </c>
    </row>
    <row r="27" spans="1:9">
      <c r="A27" s="1232">
        <v>1</v>
      </c>
      <c r="B27" s="1233" t="s">
        <v>1086</v>
      </c>
      <c r="C27" s="1233">
        <f>C28+C29</f>
        <v>0</v>
      </c>
      <c r="D27" s="1233"/>
      <c r="E27" s="3362"/>
      <c r="F27" s="3362"/>
      <c r="G27" s="3362"/>
    </row>
    <row r="28" spans="1:9">
      <c r="A28" s="1234" t="s">
        <v>1087</v>
      </c>
      <c r="B28" s="1233" t="s">
        <v>1088</v>
      </c>
      <c r="C28" s="1233"/>
      <c r="D28" s="1233"/>
      <c r="E28" s="3362"/>
      <c r="F28" s="3362"/>
      <c r="G28" s="3362"/>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353"/>
      <c r="F32" s="3353"/>
      <c r="G32" s="3353"/>
    </row>
    <row r="33" spans="1:7" hidden="1">
      <c r="A33" s="3363" t="s">
        <v>1097</v>
      </c>
      <c r="B33" s="3364"/>
      <c r="C33" s="3364"/>
      <c r="D33" s="3365"/>
      <c r="E33" s="3361"/>
      <c r="F33" s="3361"/>
      <c r="G33" s="3361"/>
    </row>
    <row r="34" spans="1:7" hidden="1">
      <c r="A34" s="1236">
        <v>1</v>
      </c>
      <c r="B34" s="1233" t="s">
        <v>1098</v>
      </c>
      <c r="C34" s="1233"/>
      <c r="D34" s="1233"/>
      <c r="E34" s="3362"/>
      <c r="F34" s="3362"/>
      <c r="G34" s="3362"/>
    </row>
    <row r="35" spans="1:7" hidden="1">
      <c r="A35" s="1236">
        <v>2</v>
      </c>
      <c r="B35" s="1233" t="s">
        <v>1099</v>
      </c>
      <c r="C35" s="1233"/>
      <c r="D35" s="1233"/>
      <c r="E35" s="3362"/>
      <c r="F35" s="3362"/>
      <c r="G35" s="3362"/>
    </row>
    <row r="36" spans="1:7" hidden="1">
      <c r="A36" s="1236">
        <v>3</v>
      </c>
      <c r="B36" s="1233" t="s">
        <v>1100</v>
      </c>
      <c r="C36" s="1233"/>
      <c r="D36" s="1233"/>
      <c r="E36" s="3362"/>
      <c r="F36" s="3362"/>
      <c r="G36" s="3362"/>
    </row>
    <row r="37" spans="1:7" hidden="1">
      <c r="A37" s="1236">
        <v>4</v>
      </c>
      <c r="B37" s="1233" t="s">
        <v>1101</v>
      </c>
      <c r="C37" s="1233"/>
      <c r="D37" s="1233"/>
      <c r="E37" s="3362"/>
      <c r="F37" s="3362"/>
      <c r="G37" s="3362"/>
    </row>
    <row r="38" spans="1:7" hidden="1">
      <c r="A38" s="3363" t="s">
        <v>1102</v>
      </c>
      <c r="B38" s="3364"/>
      <c r="C38" s="3364"/>
      <c r="D38" s="3365"/>
      <c r="E38" s="3361"/>
      <c r="F38" s="3361"/>
      <c r="G38" s="336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2350</v>
      </c>
      <c r="B1" s="2064" t="s">
        <v>2351</v>
      </c>
      <c r="C1" s="1404" t="s">
        <v>2352</v>
      </c>
      <c r="D1" s="1391"/>
      <c r="E1" s="2544"/>
      <c r="F1" s="2065" t="s">
        <v>2353</v>
      </c>
      <c r="G1" s="1401" t="s">
        <v>2354</v>
      </c>
      <c r="H1" s="1400"/>
      <c r="I1" s="1400"/>
      <c r="J1" s="1400"/>
      <c r="K1" s="1402"/>
      <c r="L1" s="1403"/>
      <c r="M1" s="1404"/>
      <c r="N1" s="1404"/>
      <c r="O1" s="1404"/>
      <c r="P1" s="2066"/>
      <c r="Q1" s="1390"/>
      <c r="R1" s="1390"/>
      <c r="S1" s="1390"/>
      <c r="T1" s="1390"/>
      <c r="U1" s="1390"/>
      <c r="V1" s="1390"/>
      <c r="W1" s="1390"/>
      <c r="X1" s="1390"/>
      <c r="Y1" s="1390"/>
      <c r="Z1" s="1390"/>
      <c r="AA1" s="1390"/>
      <c r="AB1" s="1390"/>
      <c r="AC1" s="1398"/>
    </row>
    <row r="2" spans="1:29" s="353" customFormat="1" ht="28.5" customHeight="1" thickTop="1">
      <c r="A2" s="1387" t="s">
        <v>1359</v>
      </c>
      <c r="B2" s="1324" t="e">
        <f ca="1">IF(C2="——",ROUND(C49*D3/10000,0),ROUND(C49*D3/10000,0)-D2)</f>
        <v>#DIV/0!</v>
      </c>
      <c r="C2" s="2067"/>
      <c r="D2" s="1273" t="e">
        <f ca="1">SUMIF(INDIRECT("'"&amp;F2&amp;"'"&amp;"!A:A"),"承租人权益价值",INDIRECT("'"&amp;F2&amp;"'"&amp;"!c:c"))</f>
        <v>#REF!</v>
      </c>
      <c r="E2" s="2068" t="s">
        <v>2355</v>
      </c>
      <c r="F2" s="2069"/>
      <c r="G2" s="1037"/>
      <c r="H2" s="1037"/>
      <c r="I2" s="1037"/>
      <c r="J2" s="1037"/>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2356</v>
      </c>
      <c r="D3" s="359">
        <f>IF(D1="",'数据-汇总表'!E3,SUMIF('数据-汇总表'!$C19:$C33,D1,'数据-汇总表'!$E19:$E33))</f>
        <v>27960.83</v>
      </c>
      <c r="E3" s="1037"/>
      <c r="F3" s="2074"/>
      <c r="G3" s="1037"/>
      <c r="H3" s="1037"/>
      <c r="I3" s="1037"/>
      <c r="J3" s="1037"/>
      <c r="K3" s="2070"/>
      <c r="L3" s="2942"/>
      <c r="M3" s="2943"/>
      <c r="N3" s="2943"/>
      <c r="O3" s="2943"/>
      <c r="P3" s="2071"/>
      <c r="Q3" s="2072"/>
      <c r="R3" s="2072"/>
      <c r="S3" s="2072"/>
      <c r="T3" s="2072"/>
      <c r="U3" s="2072"/>
      <c r="V3" s="2072"/>
      <c r="W3" s="2072"/>
      <c r="X3" s="2072"/>
      <c r="Y3" s="2072"/>
      <c r="Z3" s="2072"/>
      <c r="AA3" s="2072"/>
      <c r="AB3" s="2072"/>
      <c r="AC3" s="1190"/>
    </row>
    <row r="4" spans="1:29" ht="15">
      <c r="A4" s="361" t="s">
        <v>2357</v>
      </c>
      <c r="B4" s="362"/>
      <c r="C4" s="3277" t="s">
        <v>2358</v>
      </c>
      <c r="D4" s="3278"/>
      <c r="E4" s="3279" t="s">
        <v>2359</v>
      </c>
      <c r="F4" s="3280"/>
      <c r="G4" s="3277" t="s">
        <v>2360</v>
      </c>
      <c r="H4" s="3278"/>
      <c r="I4" s="3277" t="s">
        <v>2361</v>
      </c>
      <c r="J4" s="3278"/>
      <c r="K4" s="2075" t="s">
        <v>2362</v>
      </c>
      <c r="L4" s="2944"/>
      <c r="M4" s="2945"/>
      <c r="N4" s="2945"/>
      <c r="O4" s="2945"/>
      <c r="P4" s="3281" t="s">
        <v>2363</v>
      </c>
      <c r="Q4" s="3282"/>
      <c r="R4" s="3264" t="s">
        <v>2359</v>
      </c>
      <c r="S4" s="3265"/>
      <c r="T4" s="3264" t="s">
        <v>2360</v>
      </c>
      <c r="U4" s="3265"/>
      <c r="V4" s="3289" t="s">
        <v>2361</v>
      </c>
      <c r="W4" s="3289"/>
      <c r="X4" s="1539"/>
      <c r="Y4" s="3264" t="s">
        <v>2363</v>
      </c>
      <c r="Z4" s="3265"/>
      <c r="AA4" s="3259" t="s">
        <v>2359</v>
      </c>
      <c r="AB4" s="3259" t="s">
        <v>2360</v>
      </c>
      <c r="AC4" s="3259" t="s">
        <v>2361</v>
      </c>
    </row>
    <row r="5" spans="1:29" ht="15">
      <c r="A5" s="364"/>
      <c r="B5" s="365"/>
      <c r="C5" s="3270" t="s">
        <v>2364</v>
      </c>
      <c r="D5" s="3271"/>
      <c r="E5" s="3268" t="s">
        <v>2365</v>
      </c>
      <c r="F5" s="3269"/>
      <c r="G5" s="3270" t="s">
        <v>2366</v>
      </c>
      <c r="H5" s="3271"/>
      <c r="I5" s="3270" t="s">
        <v>2367</v>
      </c>
      <c r="J5" s="3271"/>
      <c r="K5" s="2076"/>
      <c r="L5" s="2944"/>
      <c r="M5" s="2945"/>
      <c r="N5" s="2945"/>
      <c r="O5" s="2945"/>
      <c r="P5" s="3283"/>
      <c r="Q5" s="3284"/>
      <c r="R5" s="3266"/>
      <c r="S5" s="3267"/>
      <c r="T5" s="3266"/>
      <c r="U5" s="3267"/>
      <c r="V5" s="3289"/>
      <c r="W5" s="3289"/>
      <c r="X5" s="1539"/>
      <c r="Y5" s="3266"/>
      <c r="Z5" s="3267"/>
      <c r="AA5" s="3260"/>
      <c r="AB5" s="3260"/>
      <c r="AC5" s="3260"/>
    </row>
    <row r="6" spans="1:29" ht="15.75" thickBot="1">
      <c r="A6" s="366"/>
      <c r="B6" s="367"/>
      <c r="C6" s="3272" t="s">
        <v>2368</v>
      </c>
      <c r="D6" s="3273"/>
      <c r="E6" s="3274" t="s">
        <v>2368</v>
      </c>
      <c r="F6" s="3275"/>
      <c r="G6" s="3272" t="s">
        <v>2368</v>
      </c>
      <c r="H6" s="3273"/>
      <c r="I6" s="3272" t="s">
        <v>2368</v>
      </c>
      <c r="J6" s="3273"/>
      <c r="K6" s="2076" t="s">
        <v>2369</v>
      </c>
      <c r="L6" s="2944"/>
      <c r="M6" s="2945"/>
      <c r="N6" s="2945"/>
      <c r="O6" s="2945"/>
      <c r="P6" s="3285"/>
      <c r="Q6" s="3286"/>
      <c r="R6" s="3266"/>
      <c r="S6" s="3267"/>
      <c r="T6" s="3287"/>
      <c r="U6" s="3288"/>
      <c r="V6" s="3289"/>
      <c r="W6" s="3289"/>
      <c r="X6" s="1539"/>
      <c r="Y6" s="3287"/>
      <c r="Z6" s="3288"/>
      <c r="AA6" s="3261"/>
      <c r="AB6" s="3261"/>
      <c r="AC6" s="3261"/>
    </row>
    <row r="7" spans="1:29" s="113" customFormat="1" ht="15.75" thickBot="1">
      <c r="A7" s="368" t="s">
        <v>2370</v>
      </c>
      <c r="B7" s="369"/>
      <c r="C7" s="370">
        <f>'数据-取费表'!B2</f>
        <v>44224</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262" t="s">
        <v>2371</v>
      </c>
      <c r="Q7" s="3290"/>
      <c r="R7" s="709" t="s">
        <v>23</v>
      </c>
      <c r="S7" s="710">
        <f t="shared" ref="S7:S15" si="0">F7</f>
        <v>0</v>
      </c>
      <c r="T7" s="709" t="s">
        <v>23</v>
      </c>
      <c r="U7" s="710">
        <f t="shared" ref="U7:U15" si="1">H7</f>
        <v>0</v>
      </c>
      <c r="V7" s="709" t="s">
        <v>23</v>
      </c>
      <c r="W7" s="710">
        <f t="shared" ref="W7:W15" si="2">J7</f>
        <v>0</v>
      </c>
      <c r="X7" s="711"/>
      <c r="Y7" s="3262" t="s">
        <v>2371</v>
      </c>
      <c r="Z7" s="3263"/>
      <c r="AA7" s="712" t="e">
        <f>D7/F7</f>
        <v>#DIV/0!</v>
      </c>
      <c r="AB7" s="712" t="e">
        <f>D7/H7</f>
        <v>#DIV/0!</v>
      </c>
      <c r="AC7" s="712" t="e">
        <f>D7/J7</f>
        <v>#DIV/0!</v>
      </c>
    </row>
    <row r="8" spans="1:29" s="113" customFormat="1" ht="15.75" thickBot="1">
      <c r="A8" s="368" t="s">
        <v>2372</v>
      </c>
      <c r="B8" s="369"/>
      <c r="C8" s="374" t="s">
        <v>2373</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262" t="s">
        <v>2374</v>
      </c>
      <c r="Q8" s="3263"/>
      <c r="R8" s="709" t="s">
        <v>23</v>
      </c>
      <c r="S8" s="710">
        <f t="shared" si="0"/>
        <v>0</v>
      </c>
      <c r="T8" s="709" t="s">
        <v>23</v>
      </c>
      <c r="U8" s="710">
        <f t="shared" si="1"/>
        <v>0</v>
      </c>
      <c r="V8" s="709" t="s">
        <v>23</v>
      </c>
      <c r="W8" s="710">
        <f t="shared" si="2"/>
        <v>0</v>
      </c>
      <c r="X8" s="711"/>
      <c r="Y8" s="3262" t="s">
        <v>2374</v>
      </c>
      <c r="Z8" s="3263"/>
      <c r="AA8" s="712" t="e">
        <f t="shared" ref="AA8:AA19" si="3">D8/F8</f>
        <v>#DIV/0!</v>
      </c>
      <c r="AB8" s="712" t="e">
        <f t="shared" ref="AB8:AB19" si="4">D8/H8</f>
        <v>#DIV/0!</v>
      </c>
      <c r="AC8" s="712" t="e">
        <f t="shared" ref="AC8:AC19" si="5">D8/J8</f>
        <v>#DIV/0!</v>
      </c>
    </row>
    <row r="9" spans="1:29" s="113" customFormat="1">
      <c r="A9" s="375" t="s">
        <v>2375</v>
      </c>
      <c r="B9" s="67" t="s">
        <v>2376</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300" t="s">
        <v>2377</v>
      </c>
      <c r="Q9" s="1527" t="str">
        <f t="shared" ref="Q9:Q15" si="6">B9</f>
        <v>用途</v>
      </c>
      <c r="R9" s="709" t="s">
        <v>17</v>
      </c>
      <c r="S9" s="710">
        <f t="shared" si="0"/>
        <v>100</v>
      </c>
      <c r="T9" s="709" t="s">
        <v>17</v>
      </c>
      <c r="U9" s="710">
        <f t="shared" si="1"/>
        <v>100</v>
      </c>
      <c r="V9" s="709" t="s">
        <v>17</v>
      </c>
      <c r="W9" s="710">
        <f t="shared" si="2"/>
        <v>100</v>
      </c>
      <c r="X9" s="711"/>
      <c r="Y9" s="3232" t="s">
        <v>2378</v>
      </c>
      <c r="Z9" s="55" t="str">
        <f t="shared" ref="Z9:Z15" si="7">Q9</f>
        <v>用途</v>
      </c>
      <c r="AA9" s="712">
        <f t="shared" si="3"/>
        <v>1</v>
      </c>
      <c r="AB9" s="712">
        <f t="shared" si="4"/>
        <v>1</v>
      </c>
      <c r="AC9" s="712">
        <f t="shared" si="5"/>
        <v>1</v>
      </c>
    </row>
    <row r="10" spans="1:29" s="386" customFormat="1" ht="27">
      <c r="A10" s="380"/>
      <c r="B10" s="381" t="s">
        <v>2379</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300"/>
      <c r="Q10" s="1527" t="str">
        <f t="shared" si="6"/>
        <v>土地使用年限（年）</v>
      </c>
      <c r="R10" s="709" t="s">
        <v>17</v>
      </c>
      <c r="S10" s="710">
        <f t="shared" si="0"/>
        <v>100</v>
      </c>
      <c r="T10" s="709" t="s">
        <v>17</v>
      </c>
      <c r="U10" s="710">
        <f t="shared" si="1"/>
        <v>100</v>
      </c>
      <c r="V10" s="709" t="s">
        <v>17</v>
      </c>
      <c r="W10" s="710">
        <f t="shared" si="2"/>
        <v>100</v>
      </c>
      <c r="X10" s="711"/>
      <c r="Y10" s="3232"/>
      <c r="Z10" s="55" t="str">
        <f t="shared" si="7"/>
        <v>土地使用年限（年）</v>
      </c>
      <c r="AA10" s="712">
        <f t="shared" si="3"/>
        <v>1</v>
      </c>
      <c r="AB10" s="712">
        <f t="shared" si="4"/>
        <v>1</v>
      </c>
      <c r="AC10" s="712">
        <f t="shared" si="5"/>
        <v>1</v>
      </c>
    </row>
    <row r="11" spans="1:29" ht="15">
      <c r="A11" s="387"/>
      <c r="B11" s="381" t="s">
        <v>2380</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300"/>
      <c r="Q11" s="1527" t="str">
        <f t="shared" si="6"/>
        <v>容积率</v>
      </c>
      <c r="R11" s="709" t="s">
        <v>21</v>
      </c>
      <c r="S11" s="710" t="e">
        <f t="shared" si="0"/>
        <v>#N/A</v>
      </c>
      <c r="T11" s="709" t="s">
        <v>21</v>
      </c>
      <c r="U11" s="710" t="e">
        <f t="shared" si="1"/>
        <v>#N/A</v>
      </c>
      <c r="V11" s="709" t="s">
        <v>21</v>
      </c>
      <c r="W11" s="710" t="e">
        <f t="shared" si="2"/>
        <v>#N/A</v>
      </c>
      <c r="X11" s="711"/>
      <c r="Y11" s="3232"/>
      <c r="Z11" s="55" t="str">
        <f t="shared" si="7"/>
        <v>容积率</v>
      </c>
      <c r="AA11" s="712" t="e">
        <f t="shared" si="3"/>
        <v>#N/A</v>
      </c>
      <c r="AB11" s="712" t="e">
        <f t="shared" si="4"/>
        <v>#N/A</v>
      </c>
      <c r="AC11" s="712"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300"/>
      <c r="Q12" s="1527">
        <f t="shared" si="6"/>
        <v>111</v>
      </c>
      <c r="R12" s="709" t="s">
        <v>21</v>
      </c>
      <c r="S12" s="710">
        <f t="shared" si="0"/>
        <v>100</v>
      </c>
      <c r="T12" s="709" t="s">
        <v>21</v>
      </c>
      <c r="U12" s="710">
        <f t="shared" si="1"/>
        <v>100</v>
      </c>
      <c r="V12" s="709" t="s">
        <v>21</v>
      </c>
      <c r="W12" s="710">
        <f t="shared" si="2"/>
        <v>100</v>
      </c>
      <c r="X12" s="711"/>
      <c r="Y12" s="3232"/>
      <c r="Z12" s="55">
        <f t="shared" si="7"/>
        <v>111</v>
      </c>
      <c r="AA12" s="712">
        <f>D12/F12</f>
        <v>1</v>
      </c>
      <c r="AB12" s="712">
        <f>D12/H12</f>
        <v>1</v>
      </c>
      <c r="AC12" s="712">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300"/>
      <c r="Q13" s="1527">
        <f t="shared" si="6"/>
        <v>111</v>
      </c>
      <c r="R13" s="709" t="s">
        <v>21</v>
      </c>
      <c r="S13" s="710">
        <f t="shared" si="0"/>
        <v>100</v>
      </c>
      <c r="T13" s="709" t="s">
        <v>21</v>
      </c>
      <c r="U13" s="710">
        <f t="shared" si="1"/>
        <v>100</v>
      </c>
      <c r="V13" s="709" t="s">
        <v>21</v>
      </c>
      <c r="W13" s="710">
        <f t="shared" si="2"/>
        <v>100</v>
      </c>
      <c r="X13" s="711"/>
      <c r="Y13" s="3232"/>
      <c r="Z13" s="55">
        <f t="shared" si="7"/>
        <v>111</v>
      </c>
      <c r="AA13" s="712">
        <f t="shared" si="3"/>
        <v>1</v>
      </c>
      <c r="AB13" s="712">
        <f t="shared" si="4"/>
        <v>1</v>
      </c>
      <c r="AC13" s="712">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300"/>
      <c r="Q14" s="1527">
        <f t="shared" si="6"/>
        <v>111</v>
      </c>
      <c r="R14" s="709" t="s">
        <v>21</v>
      </c>
      <c r="S14" s="710">
        <f t="shared" si="0"/>
        <v>100</v>
      </c>
      <c r="T14" s="709" t="s">
        <v>21</v>
      </c>
      <c r="U14" s="710">
        <f t="shared" si="1"/>
        <v>100</v>
      </c>
      <c r="V14" s="709" t="s">
        <v>21</v>
      </c>
      <c r="W14" s="710">
        <f t="shared" si="2"/>
        <v>100</v>
      </c>
      <c r="X14" s="711"/>
      <c r="Y14" s="3232"/>
      <c r="Z14" s="55">
        <f t="shared" si="7"/>
        <v>111</v>
      </c>
      <c r="AA14" s="712">
        <f t="shared" si="3"/>
        <v>1</v>
      </c>
      <c r="AB14" s="712">
        <f t="shared" si="4"/>
        <v>1</v>
      </c>
      <c r="AC14" s="712">
        <f t="shared" si="5"/>
        <v>1</v>
      </c>
    </row>
    <row r="15" spans="1:29" ht="15">
      <c r="A15" s="399" t="s">
        <v>2381</v>
      </c>
      <c r="B15" s="65" t="s">
        <v>1944</v>
      </c>
      <c r="C15" s="2082">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330" t="s">
        <v>2382</v>
      </c>
      <c r="Q15" s="1536" t="str">
        <f t="shared" si="6"/>
        <v>居住社区成熟度</v>
      </c>
      <c r="R15" s="713" t="s">
        <v>21</v>
      </c>
      <c r="S15" s="714">
        <f t="shared" si="0"/>
        <v>100</v>
      </c>
      <c r="T15" s="713" t="s">
        <v>21</v>
      </c>
      <c r="U15" s="714">
        <f t="shared" si="1"/>
        <v>100</v>
      </c>
      <c r="V15" s="713" t="s">
        <v>21</v>
      </c>
      <c r="W15" s="714">
        <f t="shared" si="2"/>
        <v>100</v>
      </c>
      <c r="X15" s="1539"/>
      <c r="Y15" s="3291" t="s">
        <v>2382</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331"/>
      <c r="Q16" s="1536"/>
      <c r="R16" s="713"/>
      <c r="S16" s="714"/>
      <c r="T16" s="713"/>
      <c r="U16" s="714"/>
      <c r="V16" s="713"/>
      <c r="W16" s="714"/>
      <c r="X16" s="1539"/>
      <c r="Y16" s="3292"/>
      <c r="Z16" s="1540"/>
      <c r="AA16" s="1537">
        <v>1</v>
      </c>
      <c r="AB16" s="1537">
        <v>1</v>
      </c>
      <c r="AC16" s="1537">
        <v>1</v>
      </c>
    </row>
    <row r="17" spans="1:29" ht="15">
      <c r="A17" s="387"/>
      <c r="B17" s="410" t="s">
        <v>1946</v>
      </c>
      <c r="C17" s="2086">
        <f>估价对象房地状况!C6</f>
        <v>0</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331"/>
      <c r="Q17" s="1536" t="str">
        <f>B17</f>
        <v>交通便捷度</v>
      </c>
      <c r="R17" s="713" t="s">
        <v>21</v>
      </c>
      <c r="S17" s="714">
        <f>F17</f>
        <v>100</v>
      </c>
      <c r="T17" s="713" t="s">
        <v>21</v>
      </c>
      <c r="U17" s="714">
        <f>H17</f>
        <v>100</v>
      </c>
      <c r="V17" s="713" t="s">
        <v>21</v>
      </c>
      <c r="W17" s="714">
        <f>J17</f>
        <v>100</v>
      </c>
      <c r="X17" s="1539"/>
      <c r="Y17" s="3292"/>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331"/>
      <c r="Q18" s="1536"/>
      <c r="R18" s="713"/>
      <c r="S18" s="714"/>
      <c r="T18" s="713"/>
      <c r="U18" s="714"/>
      <c r="V18" s="713"/>
      <c r="W18" s="714"/>
      <c r="X18" s="1539"/>
      <c r="Y18" s="3292"/>
      <c r="Z18" s="1540"/>
      <c r="AA18" s="1537">
        <v>1</v>
      </c>
      <c r="AB18" s="1537">
        <v>1</v>
      </c>
      <c r="AC18" s="1537">
        <v>1</v>
      </c>
    </row>
    <row r="19" spans="1:29" ht="15">
      <c r="A19" s="387"/>
      <c r="B19" s="410" t="s">
        <v>1945</v>
      </c>
      <c r="C19" s="2086">
        <f>估价对象房地状况!C7</f>
        <v>0</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331"/>
      <c r="Q19" s="1536" t="str">
        <f>B19</f>
        <v>公共配套设施</v>
      </c>
      <c r="R19" s="713" t="s">
        <v>21</v>
      </c>
      <c r="S19" s="714">
        <f>F19</f>
        <v>100</v>
      </c>
      <c r="T19" s="713" t="s">
        <v>21</v>
      </c>
      <c r="U19" s="714">
        <f>H19</f>
        <v>100</v>
      </c>
      <c r="V19" s="713" t="s">
        <v>21</v>
      </c>
      <c r="W19" s="714">
        <f>J19</f>
        <v>100</v>
      </c>
      <c r="X19" s="1539"/>
      <c r="Y19" s="3292"/>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331"/>
      <c r="Q20" s="1536"/>
      <c r="R20" s="713"/>
      <c r="S20" s="714"/>
      <c r="T20" s="713"/>
      <c r="U20" s="714"/>
      <c r="V20" s="713"/>
      <c r="W20" s="714"/>
      <c r="X20" s="1539"/>
      <c r="Y20" s="3292"/>
      <c r="Z20" s="1540"/>
      <c r="AA20" s="1537">
        <v>1</v>
      </c>
      <c r="AB20" s="1537">
        <v>1</v>
      </c>
      <c r="AC20" s="1537">
        <v>1</v>
      </c>
    </row>
    <row r="21" spans="1:29" ht="15">
      <c r="A21" s="387"/>
      <c r="B21" s="1291" t="s">
        <v>1947</v>
      </c>
      <c r="C21" s="2086">
        <f>估价对象房地状况!C8</f>
        <v>0</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331"/>
      <c r="Q21" s="1536" t="str">
        <f>B21</f>
        <v>基础设施水平</v>
      </c>
      <c r="R21" s="713" t="s">
        <v>17</v>
      </c>
      <c r="S21" s="714">
        <f>F21</f>
        <v>100</v>
      </c>
      <c r="T21" s="713" t="s">
        <v>17</v>
      </c>
      <c r="U21" s="714">
        <f>H21</f>
        <v>100</v>
      </c>
      <c r="V21" s="713" t="s">
        <v>17</v>
      </c>
      <c r="W21" s="714">
        <f>J21</f>
        <v>100</v>
      </c>
      <c r="X21" s="1539"/>
      <c r="Y21" s="3292"/>
      <c r="Z21" s="1540" t="str">
        <f>Q21</f>
        <v>基础设施水平</v>
      </c>
      <c r="AA21" s="1537">
        <f t="shared" ref="AA21" si="8">D21/F21</f>
        <v>1</v>
      </c>
      <c r="AB21" s="1537">
        <f t="shared" ref="AB21" si="9">D21/H21</f>
        <v>1</v>
      </c>
      <c r="AC21" s="1537">
        <f t="shared" ref="AC21" si="10">D21/J21</f>
        <v>1</v>
      </c>
    </row>
    <row r="22" spans="1:29" ht="15">
      <c r="A22" s="387"/>
      <c r="B22" s="1291"/>
      <c r="C22" s="2087"/>
      <c r="D22" s="407"/>
      <c r="E22" s="406"/>
      <c r="F22" s="407"/>
      <c r="G22" s="2090"/>
      <c r="H22" s="407"/>
      <c r="I22" s="406"/>
      <c r="J22" s="407"/>
      <c r="K22" s="2091"/>
      <c r="L22" s="2951"/>
      <c r="M22" s="2945"/>
      <c r="N22" s="2945"/>
      <c r="O22" s="2945"/>
      <c r="P22" s="3331"/>
      <c r="Q22" s="1536"/>
      <c r="R22" s="713"/>
      <c r="S22" s="714"/>
      <c r="T22" s="713"/>
      <c r="U22" s="714"/>
      <c r="V22" s="713"/>
      <c r="W22" s="714"/>
      <c r="X22" s="1539"/>
      <c r="Y22" s="3292"/>
      <c r="Z22" s="1540"/>
      <c r="AA22" s="1537">
        <v>1</v>
      </c>
      <c r="AB22" s="1537">
        <v>1</v>
      </c>
      <c r="AC22" s="1537">
        <v>1</v>
      </c>
    </row>
    <row r="23" spans="1:29" ht="15">
      <c r="A23" s="387"/>
      <c r="B23" s="410" t="s">
        <v>1948</v>
      </c>
      <c r="C23" s="2086">
        <f>估价对象房地状况!C9</f>
        <v>0</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331"/>
      <c r="Q23" s="1536" t="str">
        <f>B23</f>
        <v>自然及人文环境</v>
      </c>
      <c r="R23" s="713" t="s">
        <v>21</v>
      </c>
      <c r="S23" s="714">
        <f>F23</f>
        <v>100</v>
      </c>
      <c r="T23" s="713" t="s">
        <v>21</v>
      </c>
      <c r="U23" s="714">
        <f>H23</f>
        <v>100</v>
      </c>
      <c r="V23" s="713" t="s">
        <v>21</v>
      </c>
      <c r="W23" s="714">
        <f>J23</f>
        <v>100</v>
      </c>
      <c r="X23" s="1539"/>
      <c r="Y23" s="3292"/>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331"/>
      <c r="Q24" s="1536"/>
      <c r="R24" s="713"/>
      <c r="S24" s="714"/>
      <c r="T24" s="713"/>
      <c r="U24" s="714"/>
      <c r="V24" s="713"/>
      <c r="W24" s="714"/>
      <c r="X24" s="1539"/>
      <c r="Y24" s="3292"/>
      <c r="Z24" s="1540"/>
      <c r="AA24" s="1537">
        <v>1</v>
      </c>
      <c r="AB24" s="1537">
        <v>1</v>
      </c>
      <c r="AC24" s="1537">
        <v>1</v>
      </c>
    </row>
    <row r="25" spans="1:29" ht="15">
      <c r="A25" s="387"/>
      <c r="B25" s="381" t="s">
        <v>2383</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331"/>
      <c r="Q25" s="1536" t="str">
        <f t="shared" ref="Q25:Q46" si="11">B25</f>
        <v>楼层-1</v>
      </c>
      <c r="R25" s="713" t="s">
        <v>21</v>
      </c>
      <c r="S25" s="714">
        <f t="shared" ref="S25:S46" si="12">F25</f>
        <v>100</v>
      </c>
      <c r="T25" s="713" t="s">
        <v>21</v>
      </c>
      <c r="U25" s="714">
        <f t="shared" ref="U25:U46" si="13">H25</f>
        <v>100</v>
      </c>
      <c r="V25" s="713" t="s">
        <v>21</v>
      </c>
      <c r="W25" s="714">
        <f t="shared" ref="W25:W46" si="14">J25</f>
        <v>100</v>
      </c>
      <c r="X25" s="1539"/>
      <c r="Y25" s="3292"/>
      <c r="Z25" s="1540" t="str">
        <f>Q25</f>
        <v>楼层-1</v>
      </c>
      <c r="AA25" s="1537">
        <f t="shared" ref="AA25:AA46" si="15">D25/F25</f>
        <v>1</v>
      </c>
      <c r="AB25" s="1537">
        <f t="shared" ref="AB25:AB46" si="16">D25/H25</f>
        <v>1</v>
      </c>
      <c r="AC25" s="1537">
        <f t="shared" ref="AC25:AC46" si="17">D25/J25</f>
        <v>1</v>
      </c>
    </row>
    <row r="26" spans="1:29" ht="15">
      <c r="A26" s="387"/>
      <c r="B26" s="381" t="s">
        <v>2384</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331"/>
      <c r="Q26" s="1536" t="str">
        <f t="shared" si="11"/>
        <v>朝向</v>
      </c>
      <c r="R26" s="713" t="s">
        <v>21</v>
      </c>
      <c r="S26" s="714">
        <f t="shared" si="12"/>
        <v>100</v>
      </c>
      <c r="T26" s="713" t="s">
        <v>21</v>
      </c>
      <c r="U26" s="714">
        <f t="shared" si="13"/>
        <v>100</v>
      </c>
      <c r="V26" s="713" t="s">
        <v>21</v>
      </c>
      <c r="W26" s="714">
        <f t="shared" si="14"/>
        <v>100</v>
      </c>
      <c r="X26" s="1539"/>
      <c r="Y26" s="3292"/>
      <c r="Z26" s="1540" t="str">
        <f>Q26</f>
        <v>朝向</v>
      </c>
      <c r="AA26" s="1537">
        <f t="shared" si="15"/>
        <v>1</v>
      </c>
      <c r="AB26" s="1537">
        <f t="shared" si="16"/>
        <v>1</v>
      </c>
      <c r="AC26" s="1537">
        <f t="shared" si="17"/>
        <v>1</v>
      </c>
    </row>
    <row r="27" spans="1:29" s="113" customFormat="1" ht="15">
      <c r="A27" s="390"/>
      <c r="B27" s="1293">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331"/>
      <c r="Q27" s="1527">
        <f t="shared" si="11"/>
        <v>111</v>
      </c>
      <c r="R27" s="709" t="s">
        <v>21</v>
      </c>
      <c r="S27" s="710">
        <f t="shared" si="12"/>
        <v>100</v>
      </c>
      <c r="T27" s="709" t="s">
        <v>21</v>
      </c>
      <c r="U27" s="710">
        <f t="shared" si="13"/>
        <v>100</v>
      </c>
      <c r="V27" s="709" t="s">
        <v>21</v>
      </c>
      <c r="W27" s="710">
        <f t="shared" si="14"/>
        <v>100</v>
      </c>
      <c r="X27" s="711"/>
      <c r="Y27" s="3292"/>
      <c r="Z27" s="55">
        <f>Q27</f>
        <v>111</v>
      </c>
      <c r="AA27" s="1537">
        <f t="shared" si="15"/>
        <v>1</v>
      </c>
      <c r="AB27" s="1537">
        <f t="shared" si="16"/>
        <v>1</v>
      </c>
      <c r="AC27" s="1537">
        <f t="shared" si="17"/>
        <v>1</v>
      </c>
    </row>
    <row r="28" spans="1:29" ht="15">
      <c r="A28" s="387"/>
      <c r="B28" s="1293">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331"/>
      <c r="Q28" s="1536">
        <f t="shared" si="11"/>
        <v>111</v>
      </c>
      <c r="R28" s="713" t="s">
        <v>21</v>
      </c>
      <c r="S28" s="714">
        <f t="shared" si="12"/>
        <v>100</v>
      </c>
      <c r="T28" s="713" t="s">
        <v>21</v>
      </c>
      <c r="U28" s="714">
        <f t="shared" si="13"/>
        <v>100</v>
      </c>
      <c r="V28" s="713" t="s">
        <v>21</v>
      </c>
      <c r="W28" s="714">
        <f t="shared" si="14"/>
        <v>100</v>
      </c>
      <c r="X28" s="1539"/>
      <c r="Y28" s="3292"/>
      <c r="Z28" s="1540">
        <f t="shared" ref="Z28:Z46" si="18">Q28</f>
        <v>111</v>
      </c>
      <c r="AA28" s="1537">
        <f t="shared" si="15"/>
        <v>1</v>
      </c>
      <c r="AB28" s="1537">
        <f t="shared" si="16"/>
        <v>1</v>
      </c>
      <c r="AC28" s="1537">
        <f t="shared" si="17"/>
        <v>1</v>
      </c>
    </row>
    <row r="29" spans="1:29" ht="15">
      <c r="A29" s="387"/>
      <c r="B29" s="1293">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331"/>
      <c r="Q29" s="1536">
        <f t="shared" si="11"/>
        <v>111</v>
      </c>
      <c r="R29" s="713" t="s">
        <v>21</v>
      </c>
      <c r="S29" s="714">
        <f t="shared" si="12"/>
        <v>100</v>
      </c>
      <c r="T29" s="713" t="s">
        <v>21</v>
      </c>
      <c r="U29" s="714">
        <f t="shared" si="13"/>
        <v>100</v>
      </c>
      <c r="V29" s="713" t="s">
        <v>21</v>
      </c>
      <c r="W29" s="714">
        <f t="shared" si="14"/>
        <v>100</v>
      </c>
      <c r="X29" s="1539"/>
      <c r="Y29" s="3292"/>
      <c r="Z29" s="1540">
        <f t="shared" si="18"/>
        <v>111</v>
      </c>
      <c r="AA29" s="1537">
        <f t="shared" si="15"/>
        <v>1</v>
      </c>
      <c r="AB29" s="1537">
        <f t="shared" si="16"/>
        <v>1</v>
      </c>
      <c r="AC29" s="1537">
        <f t="shared" si="17"/>
        <v>1</v>
      </c>
    </row>
    <row r="30" spans="1:29" ht="15">
      <c r="A30" s="387"/>
      <c r="B30" s="1293">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331"/>
      <c r="Q30" s="1536">
        <f t="shared" si="11"/>
        <v>111</v>
      </c>
      <c r="R30" s="713" t="s">
        <v>21</v>
      </c>
      <c r="S30" s="714">
        <f t="shared" si="12"/>
        <v>100</v>
      </c>
      <c r="T30" s="713" t="s">
        <v>21</v>
      </c>
      <c r="U30" s="714">
        <f t="shared" si="13"/>
        <v>100</v>
      </c>
      <c r="V30" s="713" t="s">
        <v>21</v>
      </c>
      <c r="W30" s="714">
        <f t="shared" si="14"/>
        <v>100</v>
      </c>
      <c r="X30" s="1539"/>
      <c r="Y30" s="3292"/>
      <c r="Z30" s="1540">
        <f t="shared" si="18"/>
        <v>111</v>
      </c>
      <c r="AA30" s="1537">
        <f t="shared" si="15"/>
        <v>1</v>
      </c>
      <c r="AB30" s="1537">
        <f t="shared" si="16"/>
        <v>1</v>
      </c>
      <c r="AC30" s="1537">
        <f t="shared" si="17"/>
        <v>1</v>
      </c>
    </row>
    <row r="31" spans="1:29" ht="15.75" thickBot="1">
      <c r="A31" s="395"/>
      <c r="B31" s="1293">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331"/>
      <c r="Q31" s="1536">
        <f t="shared" si="11"/>
        <v>111</v>
      </c>
      <c r="R31" s="713" t="s">
        <v>21</v>
      </c>
      <c r="S31" s="714">
        <f t="shared" si="12"/>
        <v>100</v>
      </c>
      <c r="T31" s="713" t="s">
        <v>21</v>
      </c>
      <c r="U31" s="714">
        <f t="shared" si="13"/>
        <v>100</v>
      </c>
      <c r="V31" s="713" t="s">
        <v>21</v>
      </c>
      <c r="W31" s="714">
        <f t="shared" si="14"/>
        <v>100</v>
      </c>
      <c r="X31" s="1539"/>
      <c r="Y31" s="3292"/>
      <c r="Z31" s="1540">
        <f t="shared" si="18"/>
        <v>111</v>
      </c>
      <c r="AA31" s="1537">
        <f t="shared" si="15"/>
        <v>1</v>
      </c>
      <c r="AB31" s="1537">
        <f t="shared" si="16"/>
        <v>1</v>
      </c>
      <c r="AC31" s="1537">
        <f t="shared" si="17"/>
        <v>1</v>
      </c>
    </row>
    <row r="32" spans="1:29" ht="15">
      <c r="A32" s="399" t="s">
        <v>2385</v>
      </c>
      <c r="B32" s="67" t="s">
        <v>2386</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332" t="s">
        <v>2387</v>
      </c>
      <c r="Q32" s="1536" t="str">
        <f t="shared" si="11"/>
        <v>建筑类型</v>
      </c>
      <c r="R32" s="713" t="s">
        <v>21</v>
      </c>
      <c r="S32" s="714">
        <f t="shared" si="12"/>
        <v>100</v>
      </c>
      <c r="T32" s="713" t="s">
        <v>21</v>
      </c>
      <c r="U32" s="714">
        <f t="shared" si="13"/>
        <v>100</v>
      </c>
      <c r="V32" s="713" t="s">
        <v>21</v>
      </c>
      <c r="W32" s="714">
        <f t="shared" si="14"/>
        <v>100</v>
      </c>
      <c r="X32" s="1539"/>
      <c r="Y32" s="3294" t="s">
        <v>2387</v>
      </c>
      <c r="Z32" s="1540" t="str">
        <f t="shared" si="18"/>
        <v>建筑类型</v>
      </c>
      <c r="AA32" s="1537">
        <f t="shared" si="15"/>
        <v>1</v>
      </c>
      <c r="AB32" s="1537">
        <f t="shared" si="16"/>
        <v>1</v>
      </c>
      <c r="AC32" s="1537">
        <f t="shared" si="17"/>
        <v>1</v>
      </c>
    </row>
    <row r="33" spans="1:29" s="430" customFormat="1" ht="15">
      <c r="A33" s="427"/>
      <c r="B33" s="381" t="s">
        <v>2388</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333"/>
      <c r="Q33" s="715" t="str">
        <f t="shared" si="11"/>
        <v>项目建筑规模</v>
      </c>
      <c r="R33" s="716" t="s">
        <v>21</v>
      </c>
      <c r="S33" s="717" t="e">
        <f t="shared" si="12"/>
        <v>#N/A</v>
      </c>
      <c r="T33" s="716" t="s">
        <v>21</v>
      </c>
      <c r="U33" s="717" t="e">
        <f t="shared" si="13"/>
        <v>#N/A</v>
      </c>
      <c r="V33" s="716" t="s">
        <v>21</v>
      </c>
      <c r="W33" s="717" t="e">
        <f t="shared" si="14"/>
        <v>#N/A</v>
      </c>
      <c r="X33" s="718"/>
      <c r="Y33" s="3294"/>
      <c r="Z33" s="719" t="str">
        <f t="shared" si="18"/>
        <v>项目建筑规模</v>
      </c>
      <c r="AA33" s="1537" t="e">
        <f t="shared" si="15"/>
        <v>#N/A</v>
      </c>
      <c r="AB33" s="1537" t="e">
        <f t="shared" si="16"/>
        <v>#N/A</v>
      </c>
      <c r="AC33" s="1537" t="e">
        <f t="shared" si="17"/>
        <v>#N/A</v>
      </c>
    </row>
    <row r="34" spans="1:29" ht="15">
      <c r="A34" s="431"/>
      <c r="B34" s="381" t="s">
        <v>2389</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333"/>
      <c r="Q34" s="1536" t="str">
        <f t="shared" si="11"/>
        <v>建筑结构</v>
      </c>
      <c r="R34" s="713" t="s">
        <v>21</v>
      </c>
      <c r="S34" s="714">
        <f t="shared" si="12"/>
        <v>100</v>
      </c>
      <c r="T34" s="713" t="s">
        <v>21</v>
      </c>
      <c r="U34" s="714">
        <f t="shared" si="13"/>
        <v>100</v>
      </c>
      <c r="V34" s="713" t="s">
        <v>21</v>
      </c>
      <c r="W34" s="714">
        <f t="shared" si="14"/>
        <v>100</v>
      </c>
      <c r="X34" s="1539"/>
      <c r="Y34" s="3294"/>
      <c r="Z34" s="1540" t="str">
        <f t="shared" si="18"/>
        <v>建筑结构</v>
      </c>
      <c r="AA34" s="1537">
        <f t="shared" si="15"/>
        <v>1</v>
      </c>
      <c r="AB34" s="1537">
        <f t="shared" si="16"/>
        <v>1</v>
      </c>
      <c r="AC34" s="1537">
        <f t="shared" si="17"/>
        <v>1</v>
      </c>
    </row>
    <row r="35" spans="1:29" ht="15">
      <c r="A35" s="431"/>
      <c r="B35" s="381" t="s">
        <v>2390</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333"/>
      <c r="Q35" s="1536" t="str">
        <f t="shared" si="11"/>
        <v>建筑品质</v>
      </c>
      <c r="R35" s="713" t="s">
        <v>21</v>
      </c>
      <c r="S35" s="714">
        <f t="shared" si="12"/>
        <v>100</v>
      </c>
      <c r="T35" s="713" t="s">
        <v>21</v>
      </c>
      <c r="U35" s="714">
        <f t="shared" si="13"/>
        <v>100</v>
      </c>
      <c r="V35" s="713" t="s">
        <v>21</v>
      </c>
      <c r="W35" s="714">
        <f t="shared" si="14"/>
        <v>100</v>
      </c>
      <c r="X35" s="1539"/>
      <c r="Y35" s="3294"/>
      <c r="Z35" s="1540" t="str">
        <f t="shared" si="18"/>
        <v>建筑品质</v>
      </c>
      <c r="AA35" s="1537">
        <f t="shared" si="15"/>
        <v>1</v>
      </c>
      <c r="AB35" s="1537">
        <f t="shared" si="16"/>
        <v>1</v>
      </c>
      <c r="AC35" s="1537">
        <f t="shared" si="17"/>
        <v>1</v>
      </c>
    </row>
    <row r="36" spans="1:29" ht="15">
      <c r="A36" s="431"/>
      <c r="B36" s="381" t="s">
        <v>2391</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333"/>
      <c r="Q36" s="1536" t="str">
        <f t="shared" si="11"/>
        <v>公共部分装修</v>
      </c>
      <c r="R36" s="713" t="s">
        <v>21</v>
      </c>
      <c r="S36" s="714">
        <f t="shared" si="12"/>
        <v>100</v>
      </c>
      <c r="T36" s="713" t="s">
        <v>21</v>
      </c>
      <c r="U36" s="714">
        <f t="shared" si="13"/>
        <v>100</v>
      </c>
      <c r="V36" s="713" t="s">
        <v>21</v>
      </c>
      <c r="W36" s="714">
        <f t="shared" si="14"/>
        <v>100</v>
      </c>
      <c r="X36" s="1539"/>
      <c r="Y36" s="3294"/>
      <c r="Z36" s="1540" t="str">
        <f t="shared" si="18"/>
        <v>公共部分装修</v>
      </c>
      <c r="AA36" s="1537">
        <f t="shared" si="15"/>
        <v>1</v>
      </c>
      <c r="AB36" s="1537">
        <f t="shared" si="16"/>
        <v>1</v>
      </c>
      <c r="AC36" s="1537">
        <f t="shared" si="17"/>
        <v>1</v>
      </c>
    </row>
    <row r="37" spans="1:29" s="113" customFormat="1" ht="15">
      <c r="A37" s="432"/>
      <c r="B37" s="381" t="s">
        <v>2392</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333"/>
      <c r="Q37" s="1527" t="str">
        <f t="shared" si="11"/>
        <v>成新度</v>
      </c>
      <c r="R37" s="709" t="s">
        <v>21</v>
      </c>
      <c r="S37" s="710" t="e">
        <f t="shared" si="12"/>
        <v>#N/A</v>
      </c>
      <c r="T37" s="709" t="s">
        <v>21</v>
      </c>
      <c r="U37" s="710" t="e">
        <f t="shared" si="13"/>
        <v>#N/A</v>
      </c>
      <c r="V37" s="709" t="s">
        <v>21</v>
      </c>
      <c r="W37" s="710" t="e">
        <f t="shared" si="14"/>
        <v>#N/A</v>
      </c>
      <c r="X37" s="711"/>
      <c r="Y37" s="3294"/>
      <c r="Z37" s="55" t="str">
        <f t="shared" si="18"/>
        <v>成新度</v>
      </c>
      <c r="AA37" s="712" t="e">
        <f t="shared" si="15"/>
        <v>#N/A</v>
      </c>
      <c r="AB37" s="712" t="e">
        <f t="shared" si="16"/>
        <v>#N/A</v>
      </c>
      <c r="AC37" s="712" t="e">
        <f t="shared" si="17"/>
        <v>#N/A</v>
      </c>
    </row>
    <row r="38" spans="1:29" ht="15">
      <c r="A38" s="431"/>
      <c r="B38" s="381" t="s">
        <v>2393</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333" t="s">
        <v>2387</v>
      </c>
      <c r="Q38" s="1536" t="str">
        <f t="shared" si="11"/>
        <v>物业管理</v>
      </c>
      <c r="R38" s="713" t="s">
        <v>21</v>
      </c>
      <c r="S38" s="714">
        <f t="shared" si="12"/>
        <v>100</v>
      </c>
      <c r="T38" s="713" t="s">
        <v>21</v>
      </c>
      <c r="U38" s="714">
        <f t="shared" si="13"/>
        <v>100</v>
      </c>
      <c r="V38" s="713" t="s">
        <v>21</v>
      </c>
      <c r="W38" s="714">
        <f t="shared" si="14"/>
        <v>100</v>
      </c>
      <c r="X38" s="1539"/>
      <c r="Y38" s="3294" t="s">
        <v>2387</v>
      </c>
      <c r="Z38" s="1540" t="str">
        <f t="shared" si="18"/>
        <v>物业管理</v>
      </c>
      <c r="AA38" s="1537">
        <f t="shared" si="15"/>
        <v>1</v>
      </c>
      <c r="AB38" s="1537">
        <f t="shared" si="16"/>
        <v>1</v>
      </c>
      <c r="AC38" s="1537">
        <f t="shared" si="17"/>
        <v>1</v>
      </c>
    </row>
    <row r="39" spans="1:29" ht="15">
      <c r="A39" s="431"/>
      <c r="B39" s="381" t="s">
        <v>2394</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333"/>
      <c r="Q39" s="1536" t="str">
        <f t="shared" si="11"/>
        <v>市政基础设施</v>
      </c>
      <c r="R39" s="713" t="s">
        <v>21</v>
      </c>
      <c r="S39" s="714">
        <f t="shared" si="12"/>
        <v>100</v>
      </c>
      <c r="T39" s="713" t="s">
        <v>21</v>
      </c>
      <c r="U39" s="714">
        <f t="shared" si="13"/>
        <v>100</v>
      </c>
      <c r="V39" s="713" t="s">
        <v>21</v>
      </c>
      <c r="W39" s="714">
        <f t="shared" si="14"/>
        <v>100</v>
      </c>
      <c r="X39" s="1539"/>
      <c r="Y39" s="3294"/>
      <c r="Z39" s="1540" t="str">
        <f t="shared" si="18"/>
        <v>市政基础设施</v>
      </c>
      <c r="AA39" s="1537">
        <f t="shared" si="15"/>
        <v>1</v>
      </c>
      <c r="AB39" s="1537">
        <f t="shared" si="16"/>
        <v>1</v>
      </c>
      <c r="AC39" s="1537">
        <f t="shared" si="17"/>
        <v>1</v>
      </c>
    </row>
    <row r="40" spans="1:29" ht="15">
      <c r="A40" s="431"/>
      <c r="B40" s="381" t="s">
        <v>2395</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333"/>
      <c r="Q40" s="1536" t="str">
        <f t="shared" si="11"/>
        <v>房型</v>
      </c>
      <c r="R40" s="713" t="s">
        <v>21</v>
      </c>
      <c r="S40" s="714">
        <f t="shared" si="12"/>
        <v>100</v>
      </c>
      <c r="T40" s="713" t="s">
        <v>21</v>
      </c>
      <c r="U40" s="714">
        <f t="shared" si="13"/>
        <v>100</v>
      </c>
      <c r="V40" s="713" t="s">
        <v>21</v>
      </c>
      <c r="W40" s="714">
        <f t="shared" si="14"/>
        <v>100</v>
      </c>
      <c r="X40" s="1539"/>
      <c r="Y40" s="3294"/>
      <c r="Z40" s="1540" t="str">
        <f t="shared" si="18"/>
        <v>房型</v>
      </c>
      <c r="AA40" s="1537">
        <f t="shared" si="15"/>
        <v>1</v>
      </c>
      <c r="AB40" s="1537">
        <f t="shared" si="16"/>
        <v>1</v>
      </c>
      <c r="AC40" s="1537">
        <f t="shared" si="17"/>
        <v>1</v>
      </c>
    </row>
    <row r="41" spans="1:29" s="430" customFormat="1" ht="28.5">
      <c r="A41" s="427"/>
      <c r="B41" s="381" t="s">
        <v>2396</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333"/>
      <c r="Q41" s="715" t="str">
        <f t="shared" si="11"/>
        <v>单套/主力户型建筑面积</v>
      </c>
      <c r="R41" s="716" t="s">
        <v>21</v>
      </c>
      <c r="S41" s="717">
        <f t="shared" si="12"/>
        <v>100</v>
      </c>
      <c r="T41" s="716" t="s">
        <v>21</v>
      </c>
      <c r="U41" s="717">
        <f t="shared" si="13"/>
        <v>100</v>
      </c>
      <c r="V41" s="716" t="s">
        <v>21</v>
      </c>
      <c r="W41" s="717">
        <f t="shared" si="14"/>
        <v>100</v>
      </c>
      <c r="X41" s="718"/>
      <c r="Y41" s="3294"/>
      <c r="Z41" s="719" t="str">
        <f t="shared" si="18"/>
        <v>单套/主力户型建筑面积</v>
      </c>
      <c r="AA41" s="1537">
        <f t="shared" si="15"/>
        <v>1</v>
      </c>
      <c r="AB41" s="1537">
        <f t="shared" si="16"/>
        <v>1</v>
      </c>
      <c r="AC41" s="1537">
        <f t="shared" si="17"/>
        <v>1</v>
      </c>
    </row>
    <row r="42" spans="1:29" ht="15">
      <c r="A42" s="431"/>
      <c r="B42" s="381" t="s">
        <v>2397</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333"/>
      <c r="Q42" s="1536" t="str">
        <f t="shared" si="11"/>
        <v>内部装修</v>
      </c>
      <c r="R42" s="713" t="s">
        <v>21</v>
      </c>
      <c r="S42" s="714">
        <f t="shared" si="12"/>
        <v>100</v>
      </c>
      <c r="T42" s="713" t="s">
        <v>21</v>
      </c>
      <c r="U42" s="714">
        <f t="shared" si="13"/>
        <v>100</v>
      </c>
      <c r="V42" s="713" t="s">
        <v>21</v>
      </c>
      <c r="W42" s="714">
        <f t="shared" si="14"/>
        <v>100</v>
      </c>
      <c r="X42" s="1539"/>
      <c r="Y42" s="3294"/>
      <c r="Z42" s="1540" t="str">
        <f t="shared" si="18"/>
        <v>内部装修</v>
      </c>
      <c r="AA42" s="1537">
        <f t="shared" si="15"/>
        <v>1</v>
      </c>
      <c r="AB42" s="1537">
        <f t="shared" si="16"/>
        <v>1</v>
      </c>
      <c r="AC42" s="1537">
        <f t="shared" si="17"/>
        <v>1</v>
      </c>
    </row>
    <row r="43" spans="1:29" ht="15">
      <c r="A43" s="431"/>
      <c r="B43" s="381" t="s">
        <v>2398</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333"/>
      <c r="Q43" s="1536" t="str">
        <f t="shared" si="11"/>
        <v>内部装修维护情况</v>
      </c>
      <c r="R43" s="713" t="s">
        <v>21</v>
      </c>
      <c r="S43" s="714">
        <f t="shared" si="12"/>
        <v>100</v>
      </c>
      <c r="T43" s="713" t="s">
        <v>21</v>
      </c>
      <c r="U43" s="714">
        <f t="shared" si="13"/>
        <v>100</v>
      </c>
      <c r="V43" s="713" t="s">
        <v>21</v>
      </c>
      <c r="W43" s="714">
        <f t="shared" si="14"/>
        <v>100</v>
      </c>
      <c r="X43" s="1539"/>
      <c r="Y43" s="3294"/>
      <c r="Z43" s="1540" t="str">
        <f t="shared" si="18"/>
        <v>内部装修维护情况</v>
      </c>
      <c r="AA43" s="1537">
        <f t="shared" si="15"/>
        <v>1</v>
      </c>
      <c r="AB43" s="1537">
        <f t="shared" si="16"/>
        <v>1</v>
      </c>
      <c r="AC43" s="1537">
        <f t="shared" si="17"/>
        <v>1</v>
      </c>
    </row>
    <row r="44" spans="1:29" s="113" customFormat="1" ht="15">
      <c r="A44" s="432"/>
      <c r="B44" s="1293">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333"/>
      <c r="Q44" s="1527">
        <f t="shared" si="11"/>
        <v>111</v>
      </c>
      <c r="R44" s="709" t="s">
        <v>21</v>
      </c>
      <c r="S44" s="710">
        <f t="shared" si="12"/>
        <v>100</v>
      </c>
      <c r="T44" s="709" t="s">
        <v>21</v>
      </c>
      <c r="U44" s="710">
        <f t="shared" si="13"/>
        <v>100</v>
      </c>
      <c r="V44" s="709" t="s">
        <v>21</v>
      </c>
      <c r="W44" s="710">
        <f t="shared" si="14"/>
        <v>100</v>
      </c>
      <c r="X44" s="711"/>
      <c r="Y44" s="3294"/>
      <c r="Z44" s="55">
        <f t="shared" si="18"/>
        <v>111</v>
      </c>
      <c r="AA44" s="712">
        <f t="shared" si="15"/>
        <v>1</v>
      </c>
      <c r="AB44" s="712">
        <f t="shared" si="16"/>
        <v>1</v>
      </c>
      <c r="AC44" s="712">
        <f t="shared" si="17"/>
        <v>1</v>
      </c>
    </row>
    <row r="45" spans="1:29" ht="15">
      <c r="A45" s="431"/>
      <c r="B45" s="1293">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333"/>
      <c r="Q45" s="1536">
        <f t="shared" si="11"/>
        <v>111</v>
      </c>
      <c r="R45" s="713" t="s">
        <v>21</v>
      </c>
      <c r="S45" s="714">
        <f t="shared" si="12"/>
        <v>100</v>
      </c>
      <c r="T45" s="713" t="s">
        <v>21</v>
      </c>
      <c r="U45" s="714">
        <f t="shared" si="13"/>
        <v>100</v>
      </c>
      <c r="V45" s="713" t="s">
        <v>21</v>
      </c>
      <c r="W45" s="714">
        <f t="shared" si="14"/>
        <v>100</v>
      </c>
      <c r="X45" s="1539"/>
      <c r="Y45" s="3294"/>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334"/>
      <c r="Q46" s="1536">
        <f t="shared" si="11"/>
        <v>111</v>
      </c>
      <c r="R46" s="713" t="s">
        <v>20</v>
      </c>
      <c r="S46" s="714">
        <f t="shared" si="12"/>
        <v>100</v>
      </c>
      <c r="T46" s="713" t="s">
        <v>20</v>
      </c>
      <c r="U46" s="714">
        <f t="shared" si="13"/>
        <v>100</v>
      </c>
      <c r="V46" s="713" t="s">
        <v>20</v>
      </c>
      <c r="W46" s="714">
        <f t="shared" si="14"/>
        <v>100</v>
      </c>
      <c r="X46" s="1539"/>
      <c r="Y46" s="3335"/>
      <c r="Z46" s="1540">
        <f t="shared" si="18"/>
        <v>111</v>
      </c>
      <c r="AA46" s="1537">
        <f t="shared" si="15"/>
        <v>1</v>
      </c>
      <c r="AB46" s="1537">
        <f t="shared" si="16"/>
        <v>1</v>
      </c>
      <c r="AC46" s="1537">
        <f t="shared" si="17"/>
        <v>1</v>
      </c>
    </row>
    <row r="47" spans="1:29" ht="15">
      <c r="A47" s="438" t="s">
        <v>2399</v>
      </c>
      <c r="B47" s="439"/>
      <c r="C47" s="1314" t="s">
        <v>19</v>
      </c>
      <c r="D47" s="1315"/>
      <c r="E47" s="1316"/>
      <c r="F47" s="1317"/>
      <c r="G47" s="1318"/>
      <c r="H47" s="1319"/>
      <c r="I47" s="1316"/>
      <c r="J47" s="1319"/>
      <c r="K47" s="2100"/>
      <c r="L47" s="2953"/>
      <c r="M47" s="2954"/>
      <c r="N47" s="2945"/>
      <c r="O47" s="2954"/>
      <c r="P47" s="3276" t="str">
        <f>A47</f>
        <v>成交单价（元/平方米）</v>
      </c>
      <c r="Q47" s="3276"/>
      <c r="R47" s="3336">
        <f>E47</f>
        <v>0</v>
      </c>
      <c r="S47" s="3336"/>
      <c r="T47" s="3336">
        <f>G47</f>
        <v>0</v>
      </c>
      <c r="U47" s="3336"/>
      <c r="V47" s="3336">
        <f>I47</f>
        <v>0</v>
      </c>
      <c r="W47" s="3336"/>
      <c r="X47" s="698"/>
      <c r="Y47" s="720"/>
      <c r="Z47" s="698"/>
      <c r="AA47" s="698"/>
      <c r="AB47" s="698"/>
      <c r="AC47" s="698"/>
    </row>
    <row r="48" spans="1:29" ht="15.75" thickBot="1">
      <c r="A48" s="445" t="s">
        <v>2400</v>
      </c>
      <c r="B48" s="446"/>
      <c r="C48" s="1320" t="e">
        <f>R49</f>
        <v>#DIV/0!</v>
      </c>
      <c r="D48" s="2538" t="s">
        <v>2879</v>
      </c>
      <c r="E48" s="1321" t="e">
        <f>R48</f>
        <v>#DIV/0!</v>
      </c>
      <c r="F48" s="2539"/>
      <c r="G48" s="1320" t="e">
        <f>T48</f>
        <v>#DIV/0!</v>
      </c>
      <c r="H48" s="2539"/>
      <c r="I48" s="1321" t="e">
        <f>V48</f>
        <v>#DIV/0!</v>
      </c>
      <c r="J48" s="2539"/>
      <c r="K48" s="2540">
        <f>F48+H48+J48</f>
        <v>0</v>
      </c>
      <c r="L48" s="2953"/>
      <c r="M48" s="2954"/>
      <c r="N48" s="2954"/>
      <c r="O48" s="2954"/>
      <c r="P48" s="3276" t="str">
        <f>A48</f>
        <v>比较价值（元/平方米）</v>
      </c>
      <c r="Q48" s="3276"/>
      <c r="R48" s="3336" t="e">
        <f>IF(F1="售价",ROUND(PRODUCT(R47,AA7:AA46),0),ROUND(PRODUCT(R47,AA7:AA46),1))</f>
        <v>#DIV/0!</v>
      </c>
      <c r="S48" s="3336"/>
      <c r="T48" s="3336" t="e">
        <f>IF(F1="售价",ROUND(PRODUCT(T47,AB7:AB46),0),ROUND(PRODUCT(T47,AB7:AB46),1))</f>
        <v>#DIV/0!</v>
      </c>
      <c r="U48" s="3336"/>
      <c r="V48" s="3336" t="e">
        <f>IF(F1="售价",ROUND(PRODUCT(V47,AC7:AC46),0),ROUND(PRODUCT(V47,AC7:AC46),1))</f>
        <v>#DIV/0!</v>
      </c>
      <c r="W48" s="3336"/>
      <c r="X48" s="698"/>
      <c r="Y48" s="698"/>
      <c r="Z48" s="698"/>
      <c r="AA48" s="698"/>
      <c r="AB48" s="698"/>
      <c r="AC48" s="698"/>
    </row>
    <row r="49" spans="1:29" ht="15.75" thickBot="1">
      <c r="A49" s="449" t="s">
        <v>2401</v>
      </c>
      <c r="B49" s="450"/>
      <c r="C49" s="1322" t="e">
        <f>R49</f>
        <v>#DIV/0!</v>
      </c>
      <c r="D49" s="1323"/>
      <c r="E49" s="1323"/>
      <c r="F49" s="1323"/>
      <c r="G49" s="1323"/>
      <c r="H49" s="1323"/>
      <c r="I49" s="1323"/>
      <c r="J49" s="1323"/>
      <c r="K49" s="2101"/>
      <c r="L49" s="2953"/>
      <c r="M49" s="2954"/>
      <c r="N49" s="2954"/>
      <c r="O49" s="2954"/>
      <c r="P49" s="3296" t="str">
        <f>A49</f>
        <v>估价对象XX用房的比较价值（楼面单价，元/平方米）</v>
      </c>
      <c r="Q49" s="3297"/>
      <c r="R49" s="3337" t="e">
        <f>IF(F1="售价",ROUND(IF(D48="简单平均",AVERAGE(R48:V48),R48*F48+T48*H48+V48*J48),0),ROUND(IF(D48="简单平均",AVERAGE(R48:V48),R48*F48+T48*H48+V48*J48),1))</f>
        <v>#DIV/0!</v>
      </c>
      <c r="S49" s="3337"/>
      <c r="T49" s="3337"/>
      <c r="U49" s="3337"/>
      <c r="V49" s="3337"/>
      <c r="W49" s="3337"/>
      <c r="X49" s="698"/>
      <c r="Y49" s="698"/>
      <c r="Z49" s="698"/>
      <c r="AA49" s="698"/>
      <c r="AB49" s="698"/>
      <c r="AC49" s="698"/>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2" t="s">
        <v>2405</v>
      </c>
      <c r="B57" s="698"/>
      <c r="C57" s="703"/>
      <c r="D57" s="703"/>
      <c r="E57" s="703"/>
      <c r="F57" s="704"/>
      <c r="G57" s="704"/>
      <c r="H57" s="703"/>
      <c r="I57" s="703"/>
      <c r="J57" s="703"/>
      <c r="K57" s="1071"/>
      <c r="L57" s="1072"/>
      <c r="M57" s="1070"/>
      <c r="N57" s="1070"/>
      <c r="O57" s="1070"/>
      <c r="P57" s="2104"/>
      <c r="Q57" s="461"/>
    </row>
    <row r="58" spans="1:29" s="465" customFormat="1" ht="15">
      <c r="A58" s="462" t="s">
        <v>2406</v>
      </c>
      <c r="B58" s="463"/>
      <c r="C58" s="1346" t="str">
        <f>YEAR(C7)&amp;"-"&amp;MONTH(C7)</f>
        <v>2021-1</v>
      </c>
      <c r="D58" s="1345">
        <f>EDATE(C58,-1)</f>
        <v>44166</v>
      </c>
      <c r="E58" s="1345">
        <f>EDATE(D58,-1)</f>
        <v>44136</v>
      </c>
      <c r="F58" s="1345">
        <f t="shared" ref="F58:O58" si="19">EDATE(E58,-1)</f>
        <v>44105</v>
      </c>
      <c r="G58" s="1345">
        <f t="shared" si="19"/>
        <v>44075</v>
      </c>
      <c r="H58" s="1345">
        <f t="shared" si="19"/>
        <v>44044</v>
      </c>
      <c r="I58" s="1345">
        <f t="shared" si="19"/>
        <v>44013</v>
      </c>
      <c r="J58" s="1345">
        <f t="shared" si="19"/>
        <v>43983</v>
      </c>
      <c r="K58" s="1345">
        <f t="shared" si="19"/>
        <v>43952</v>
      </c>
      <c r="L58" s="1345">
        <f t="shared" si="19"/>
        <v>43922</v>
      </c>
      <c r="M58" s="1345">
        <f t="shared" si="19"/>
        <v>43891</v>
      </c>
      <c r="N58" s="1345">
        <f t="shared" si="19"/>
        <v>43862</v>
      </c>
      <c r="O58" s="1345">
        <f t="shared" si="19"/>
        <v>43831</v>
      </c>
      <c r="P58" s="1341"/>
    </row>
    <row r="59" spans="1:29" s="113" customFormat="1" ht="15">
      <c r="A59" s="466"/>
      <c r="B59" s="2105"/>
      <c r="C59" s="1343">
        <v>100</v>
      </c>
      <c r="D59" s="468"/>
      <c r="E59" s="469"/>
      <c r="F59" s="469"/>
      <c r="G59" s="469"/>
      <c r="H59" s="469"/>
      <c r="I59" s="469"/>
      <c r="J59" s="469"/>
      <c r="K59" s="469"/>
      <c r="L59" s="469"/>
      <c r="M59" s="470"/>
      <c r="N59" s="469"/>
      <c r="O59" s="470"/>
      <c r="P59" s="2106"/>
    </row>
    <row r="60" spans="1:29" s="113" customFormat="1" ht="15.75" thickBot="1">
      <c r="A60" s="472" t="s">
        <v>2407</v>
      </c>
      <c r="B60" s="473"/>
      <c r="C60" s="474"/>
      <c r="D60" s="475"/>
      <c r="E60" s="475"/>
      <c r="F60" s="475"/>
      <c r="G60" s="475"/>
      <c r="H60" s="475"/>
      <c r="I60" s="475"/>
      <c r="J60" s="475"/>
      <c r="K60" s="475"/>
      <c r="L60" s="475"/>
      <c r="M60" s="476"/>
      <c r="N60" s="475"/>
      <c r="O60" s="476"/>
      <c r="P60" s="2106"/>
      <c r="Q60" s="461"/>
    </row>
    <row r="61" spans="1:29" s="113" customFormat="1" ht="15">
      <c r="A61" s="478" t="s">
        <v>2408</v>
      </c>
      <c r="B61" s="467"/>
      <c r="C61" s="479" t="s">
        <v>2409</v>
      </c>
      <c r="D61" s="480"/>
      <c r="E61" s="480"/>
      <c r="F61" s="480"/>
      <c r="G61" s="480"/>
      <c r="H61" s="480"/>
      <c r="I61" s="480"/>
      <c r="J61" s="480"/>
      <c r="K61" s="480"/>
      <c r="L61" s="481"/>
      <c r="M61" s="482"/>
      <c r="N61" s="1062"/>
      <c r="O61" s="1062"/>
      <c r="P61" s="2107"/>
      <c r="Q61" s="461"/>
    </row>
    <row r="62" spans="1:29" s="113" customFormat="1" ht="15.75" thickBot="1">
      <c r="A62" s="478"/>
      <c r="B62" s="467"/>
      <c r="C62" s="468">
        <v>100</v>
      </c>
      <c r="D62" s="469"/>
      <c r="E62" s="469"/>
      <c r="F62" s="469"/>
      <c r="G62" s="469"/>
      <c r="H62" s="469"/>
      <c r="I62" s="469"/>
      <c r="J62" s="469"/>
      <c r="K62" s="469"/>
      <c r="L62" s="469"/>
      <c r="M62" s="471"/>
      <c r="N62" s="1062"/>
      <c r="O62" s="1062"/>
      <c r="P62" s="2106"/>
      <c r="Q62" s="461"/>
    </row>
    <row r="63" spans="1:29">
      <c r="A63" s="484" t="s">
        <v>2410</v>
      </c>
      <c r="B63" s="485" t="s">
        <v>2376</v>
      </c>
      <c r="C63" s="486">
        <f>C9</f>
        <v>0</v>
      </c>
      <c r="D63" s="487"/>
      <c r="E63" s="487"/>
      <c r="F63" s="487"/>
      <c r="G63" s="487"/>
      <c r="H63" s="487"/>
      <c r="I63" s="487"/>
      <c r="J63" s="487"/>
      <c r="K63" s="488"/>
      <c r="L63" s="489"/>
      <c r="M63" s="490"/>
      <c r="N63" s="1063"/>
      <c r="O63" s="1063"/>
      <c r="P63" s="2108"/>
      <c r="Q63" s="461"/>
    </row>
    <row r="64" spans="1:29" ht="15.75" thickBot="1">
      <c r="A64" s="491"/>
      <c r="B64" s="492"/>
      <c r="C64" s="493">
        <v>100</v>
      </c>
      <c r="D64" s="493"/>
      <c r="E64" s="493"/>
      <c r="F64" s="493"/>
      <c r="G64" s="493"/>
      <c r="H64" s="493"/>
      <c r="I64" s="493"/>
      <c r="J64" s="493"/>
      <c r="K64" s="493"/>
      <c r="L64" s="493"/>
      <c r="M64" s="494"/>
      <c r="N64" s="1064"/>
      <c r="O64" s="1064"/>
      <c r="P64" s="2108"/>
      <c r="Q64" s="461"/>
    </row>
    <row r="65" spans="1:17" ht="27.75" thickTop="1">
      <c r="A65" s="491"/>
      <c r="B65" s="495" t="s">
        <v>2379</v>
      </c>
      <c r="C65" s="496" t="s">
        <v>2411</v>
      </c>
      <c r="D65" s="496" t="s">
        <v>2412</v>
      </c>
      <c r="E65" s="496" t="s">
        <v>2413</v>
      </c>
      <c r="F65" s="496" t="s">
        <v>2414</v>
      </c>
      <c r="G65" s="496" t="s">
        <v>2415</v>
      </c>
      <c r="H65" s="496" t="s">
        <v>2416</v>
      </c>
      <c r="I65" s="496" t="s">
        <v>2417</v>
      </c>
      <c r="J65" s="496"/>
      <c r="K65" s="497"/>
      <c r="L65" s="498"/>
      <c r="M65" s="499"/>
      <c r="N65" s="1063"/>
      <c r="O65" s="1063"/>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4"/>
      <c r="O66" s="1064"/>
      <c r="P66" s="2108"/>
      <c r="Q66" s="461"/>
    </row>
    <row r="67" spans="1:17" ht="15.75" thickTop="1">
      <c r="A67" s="491"/>
      <c r="B67" s="503" t="s">
        <v>2380</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4"/>
      <c r="O67" s="1064"/>
      <c r="P67" s="2108"/>
      <c r="Q67" s="461"/>
    </row>
    <row r="68" spans="1:17" ht="15">
      <c r="A68" s="491"/>
      <c r="B68" s="505"/>
      <c r="C68" s="506"/>
      <c r="D68" s="506"/>
      <c r="E68" s="506"/>
      <c r="F68" s="506"/>
      <c r="G68" s="506"/>
      <c r="H68" s="506"/>
      <c r="I68" s="506"/>
      <c r="J68" s="506"/>
      <c r="K68" s="507"/>
      <c r="L68" s="508"/>
      <c r="M68" s="509"/>
      <c r="N68" s="1063"/>
      <c r="O68" s="1063"/>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4"/>
      <c r="O69" s="1064"/>
      <c r="P69" s="2108"/>
      <c r="Q69" s="461"/>
    </row>
    <row r="70" spans="1:17" s="430" customFormat="1" ht="15.75" thickTop="1">
      <c r="A70" s="510"/>
      <c r="B70" s="495">
        <f>B12</f>
        <v>111</v>
      </c>
      <c r="C70" s="511"/>
      <c r="D70" s="511"/>
      <c r="E70" s="511"/>
      <c r="F70" s="511"/>
      <c r="G70" s="511"/>
      <c r="H70" s="512"/>
      <c r="I70" s="512"/>
      <c r="J70" s="512"/>
      <c r="K70" s="512"/>
      <c r="L70" s="513"/>
      <c r="M70" s="514"/>
      <c r="N70" s="1065"/>
      <c r="O70" s="1065"/>
      <c r="P70" s="2109"/>
      <c r="Q70" s="516"/>
    </row>
    <row r="71" spans="1:17" s="430" customFormat="1" ht="15.75" thickBot="1">
      <c r="A71" s="510"/>
      <c r="B71" s="500"/>
      <c r="C71" s="517"/>
      <c r="D71" s="493"/>
      <c r="E71" s="493"/>
      <c r="F71" s="493"/>
      <c r="G71" s="493"/>
      <c r="H71" s="493"/>
      <c r="I71" s="493"/>
      <c r="J71" s="493"/>
      <c r="K71" s="493"/>
      <c r="L71" s="493"/>
      <c r="M71" s="494"/>
      <c r="N71" s="1064"/>
      <c r="O71" s="1064"/>
      <c r="P71" s="2109"/>
      <c r="Q71" s="516"/>
    </row>
    <row r="72" spans="1:17" s="430" customFormat="1" ht="15.75" thickTop="1">
      <c r="A72" s="510"/>
      <c r="B72" s="495">
        <f>B13</f>
        <v>111</v>
      </c>
      <c r="C72" s="511"/>
      <c r="D72" s="511"/>
      <c r="E72" s="511"/>
      <c r="F72" s="511"/>
      <c r="G72" s="511"/>
      <c r="H72" s="512"/>
      <c r="I72" s="512"/>
      <c r="J72" s="512"/>
      <c r="K72" s="512"/>
      <c r="L72" s="513"/>
      <c r="M72" s="514"/>
      <c r="N72" s="1065"/>
      <c r="O72" s="1065"/>
      <c r="P72" s="2110"/>
      <c r="Q72" s="518"/>
    </row>
    <row r="73" spans="1:17" s="430" customFormat="1" ht="15.75" thickBot="1">
      <c r="A73" s="510"/>
      <c r="B73" s="500"/>
      <c r="C73" s="517"/>
      <c r="D73" s="517"/>
      <c r="E73" s="517"/>
      <c r="F73" s="517"/>
      <c r="G73" s="517"/>
      <c r="H73" s="519"/>
      <c r="I73" s="519"/>
      <c r="J73" s="519"/>
      <c r="K73" s="519"/>
      <c r="L73" s="519"/>
      <c r="M73" s="520"/>
      <c r="N73" s="1065"/>
      <c r="O73" s="1065"/>
      <c r="P73" s="2109"/>
      <c r="Q73" s="516"/>
    </row>
    <row r="74" spans="1:17" s="430" customFormat="1" ht="15.75" thickTop="1">
      <c r="A74" s="510"/>
      <c r="B74" s="503">
        <f>B14</f>
        <v>111</v>
      </c>
      <c r="C74" s="511"/>
      <c r="D74" s="511"/>
      <c r="E74" s="511"/>
      <c r="F74" s="511"/>
      <c r="G74" s="480"/>
      <c r="H74" s="521"/>
      <c r="I74" s="521"/>
      <c r="J74" s="521"/>
      <c r="K74" s="521"/>
      <c r="L74" s="522"/>
      <c r="M74" s="523"/>
      <c r="N74" s="1065"/>
      <c r="O74" s="1065"/>
      <c r="P74" s="2111"/>
      <c r="Q74" s="516"/>
    </row>
    <row r="75" spans="1:17" s="430" customFormat="1" ht="15.75" thickBot="1">
      <c r="A75" s="525"/>
      <c r="B75" s="526"/>
      <c r="C75" s="527"/>
      <c r="D75" s="527"/>
      <c r="E75" s="527"/>
      <c r="F75" s="527"/>
      <c r="G75" s="527"/>
      <c r="H75" s="528"/>
      <c r="I75" s="528"/>
      <c r="J75" s="528"/>
      <c r="K75" s="528"/>
      <c r="L75" s="528"/>
      <c r="M75" s="529"/>
      <c r="N75" s="1065"/>
      <c r="O75" s="1065"/>
      <c r="P75" s="2109"/>
      <c r="Q75" s="516"/>
    </row>
    <row r="76" spans="1:17">
      <c r="A76" s="484" t="s">
        <v>2381</v>
      </c>
      <c r="B76" s="485" t="s">
        <v>2418</v>
      </c>
      <c r="C76" s="530" t="s">
        <v>2419</v>
      </c>
      <c r="D76" s="530" t="s">
        <v>2420</v>
      </c>
      <c r="E76" s="530" t="s">
        <v>2421</v>
      </c>
      <c r="F76" s="530" t="s">
        <v>2422</v>
      </c>
      <c r="G76" s="530" t="s">
        <v>2423</v>
      </c>
      <c r="H76" s="486"/>
      <c r="I76" s="486"/>
      <c r="J76" s="486"/>
      <c r="K76" s="531"/>
      <c r="L76" s="532"/>
      <c r="M76" s="533"/>
      <c r="N76" s="1063"/>
      <c r="O76" s="1063"/>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4"/>
      <c r="O77" s="1064"/>
      <c r="P77" s="2108"/>
      <c r="Q77" s="461"/>
    </row>
    <row r="78" spans="1:17" ht="15.75" thickTop="1">
      <c r="A78" s="491"/>
      <c r="B78" s="495" t="s">
        <v>2424</v>
      </c>
      <c r="C78" s="535" t="s">
        <v>2419</v>
      </c>
      <c r="D78" s="535" t="s">
        <v>2420</v>
      </c>
      <c r="E78" s="535" t="s">
        <v>2421</v>
      </c>
      <c r="F78" s="535" t="s">
        <v>2422</v>
      </c>
      <c r="G78" s="535" t="s">
        <v>2423</v>
      </c>
      <c r="H78" s="496"/>
      <c r="I78" s="496"/>
      <c r="J78" s="496"/>
      <c r="K78" s="497"/>
      <c r="L78" s="498"/>
      <c r="M78" s="499"/>
      <c r="N78" s="1063"/>
      <c r="O78" s="1063"/>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4"/>
      <c r="O79" s="1064"/>
      <c r="P79" s="2108"/>
      <c r="Q79" s="461"/>
    </row>
    <row r="80" spans="1:17" ht="15.75" thickTop="1">
      <c r="A80" s="491"/>
      <c r="B80" s="495" t="s">
        <v>2425</v>
      </c>
      <c r="C80" s="535" t="s">
        <v>2419</v>
      </c>
      <c r="D80" s="535" t="s">
        <v>2420</v>
      </c>
      <c r="E80" s="535" t="s">
        <v>2421</v>
      </c>
      <c r="F80" s="535" t="s">
        <v>2422</v>
      </c>
      <c r="G80" s="535" t="s">
        <v>2423</v>
      </c>
      <c r="H80" s="496"/>
      <c r="I80" s="496"/>
      <c r="J80" s="496"/>
      <c r="K80" s="497"/>
      <c r="L80" s="498"/>
      <c r="M80" s="499"/>
      <c r="N80" s="1063"/>
      <c r="O80" s="1063"/>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4"/>
      <c r="O81" s="1064"/>
      <c r="P81" s="2108"/>
      <c r="Q81" s="461"/>
    </row>
    <row r="82" spans="1:17" ht="15.75" thickTop="1">
      <c r="A82" s="491"/>
      <c r="B82" s="503" t="s">
        <v>1947</v>
      </c>
      <c r="C82" s="496" t="s">
        <v>2426</v>
      </c>
      <c r="D82" s="496" t="s">
        <v>2427</v>
      </c>
      <c r="E82" s="496" t="s">
        <v>2428</v>
      </c>
      <c r="F82" s="496" t="s">
        <v>2429</v>
      </c>
      <c r="G82" s="496" t="s">
        <v>2430</v>
      </c>
      <c r="H82" s="496"/>
      <c r="I82" s="496"/>
      <c r="J82" s="496"/>
      <c r="K82" s="496"/>
      <c r="L82" s="496"/>
      <c r="M82" s="1289"/>
      <c r="N82" s="1064"/>
      <c r="O82" s="1064"/>
      <c r="P82" s="2108"/>
      <c r="Q82" s="461"/>
    </row>
    <row r="83" spans="1:17" ht="15.75" thickBot="1">
      <c r="A83" s="491"/>
      <c r="B83" s="503"/>
      <c r="C83" s="615">
        <v>100</v>
      </c>
      <c r="D83" s="615">
        <f>C83-$K21</f>
        <v>100</v>
      </c>
      <c r="E83" s="615">
        <f t="shared" ref="E83:G83" si="23">D83-$K21</f>
        <v>100</v>
      </c>
      <c r="F83" s="615">
        <f t="shared" si="23"/>
        <v>100</v>
      </c>
      <c r="G83" s="615">
        <f t="shared" si="23"/>
        <v>100</v>
      </c>
      <c r="H83" s="615"/>
      <c r="I83" s="615"/>
      <c r="J83" s="615"/>
      <c r="K83" s="615"/>
      <c r="L83" s="615"/>
      <c r="M83" s="409"/>
      <c r="N83" s="1064"/>
      <c r="O83" s="1064"/>
      <c r="P83" s="2108"/>
      <c r="Q83" s="461"/>
    </row>
    <row r="84" spans="1:17" ht="15.75" thickTop="1">
      <c r="A84" s="491"/>
      <c r="B84" s="495" t="s">
        <v>2431</v>
      </c>
      <c r="C84" s="535" t="s">
        <v>2419</v>
      </c>
      <c r="D84" s="535" t="s">
        <v>2420</v>
      </c>
      <c r="E84" s="535" t="s">
        <v>2421</v>
      </c>
      <c r="F84" s="535" t="s">
        <v>2422</v>
      </c>
      <c r="G84" s="535" t="s">
        <v>2423</v>
      </c>
      <c r="H84" s="496"/>
      <c r="I84" s="496"/>
      <c r="J84" s="496"/>
      <c r="K84" s="497"/>
      <c r="L84" s="498"/>
      <c r="M84" s="499"/>
      <c r="N84" s="1063"/>
      <c r="O84" s="1063"/>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4"/>
      <c r="O85" s="1064"/>
      <c r="P85" s="2108"/>
      <c r="Q85" s="461"/>
    </row>
    <row r="86" spans="1:17" s="113" customFormat="1" ht="15.75" thickTop="1">
      <c r="A86" s="536"/>
      <c r="B86" s="495" t="s">
        <v>2432</v>
      </c>
      <c r="C86" s="511"/>
      <c r="D86" s="511"/>
      <c r="E86" s="511"/>
      <c r="F86" s="511"/>
      <c r="G86" s="511"/>
      <c r="H86" s="511"/>
      <c r="I86" s="511"/>
      <c r="J86" s="511"/>
      <c r="K86" s="511"/>
      <c r="L86" s="537"/>
      <c r="M86" s="538"/>
      <c r="N86" s="1062"/>
      <c r="O86" s="1062"/>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4"/>
      <c r="O87" s="1064"/>
      <c r="P87" s="2108"/>
      <c r="Q87" s="461"/>
    </row>
    <row r="88" spans="1:17" s="113" customFormat="1" ht="15.75" thickTop="1">
      <c r="A88" s="536"/>
      <c r="B88" s="495" t="s">
        <v>2433</v>
      </c>
      <c r="C88" s="511"/>
      <c r="D88" s="511"/>
      <c r="E88" s="511"/>
      <c r="F88" s="2113"/>
      <c r="G88" s="511"/>
      <c r="H88" s="511"/>
      <c r="I88" s="511"/>
      <c r="J88" s="511"/>
      <c r="K88" s="511"/>
      <c r="L88" s="511"/>
      <c r="M88" s="538"/>
      <c r="N88" s="1062"/>
      <c r="O88" s="1062"/>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4"/>
      <c r="O89" s="1064"/>
      <c r="P89" s="2108"/>
      <c r="Q89" s="461"/>
    </row>
    <row r="90" spans="1:17" s="430" customFormat="1" ht="15.75" thickTop="1">
      <c r="A90" s="510"/>
      <c r="B90" s="495">
        <f>B27</f>
        <v>111</v>
      </c>
      <c r="C90" s="511"/>
      <c r="D90" s="511"/>
      <c r="E90" s="511"/>
      <c r="F90" s="511"/>
      <c r="G90" s="511"/>
      <c r="H90" s="512"/>
      <c r="I90" s="512"/>
      <c r="J90" s="512"/>
      <c r="K90" s="512"/>
      <c r="L90" s="513"/>
      <c r="M90" s="514"/>
      <c r="N90" s="1065"/>
      <c r="O90" s="1065"/>
      <c r="P90" s="2109"/>
      <c r="Q90" s="516"/>
    </row>
    <row r="91" spans="1:17" s="430" customFormat="1" ht="15.75" thickBot="1">
      <c r="A91" s="510"/>
      <c r="B91" s="500"/>
      <c r="C91" s="517"/>
      <c r="D91" s="517"/>
      <c r="E91" s="517"/>
      <c r="F91" s="517"/>
      <c r="G91" s="517"/>
      <c r="H91" s="519"/>
      <c r="I91" s="519"/>
      <c r="J91" s="519"/>
      <c r="K91" s="519"/>
      <c r="L91" s="519"/>
      <c r="M91" s="520"/>
      <c r="N91" s="1065"/>
      <c r="O91" s="1065"/>
      <c r="P91" s="2109"/>
      <c r="Q91" s="516"/>
    </row>
    <row r="92" spans="1:17" ht="15.75" thickTop="1">
      <c r="A92" s="491"/>
      <c r="B92" s="495">
        <f>B28</f>
        <v>111</v>
      </c>
      <c r="C92" s="511"/>
      <c r="D92" s="511"/>
      <c r="E92" s="511"/>
      <c r="F92" s="511"/>
      <c r="G92" s="540"/>
      <c r="H92" s="540"/>
      <c r="I92" s="540"/>
      <c r="J92" s="540"/>
      <c r="K92" s="541"/>
      <c r="L92" s="542"/>
      <c r="M92" s="543"/>
      <c r="N92" s="1063"/>
      <c r="O92" s="1063"/>
      <c r="P92" s="2108"/>
      <c r="Q92" s="461"/>
    </row>
    <row r="93" spans="1:17" ht="15.75" thickBot="1">
      <c r="A93" s="491"/>
      <c r="B93" s="500"/>
      <c r="C93" s="517"/>
      <c r="D93" s="493"/>
      <c r="E93" s="493"/>
      <c r="F93" s="493"/>
      <c r="G93" s="493"/>
      <c r="H93" s="493"/>
      <c r="I93" s="493"/>
      <c r="J93" s="493"/>
      <c r="K93" s="493"/>
      <c r="L93" s="493"/>
      <c r="M93" s="494"/>
      <c r="N93" s="1064"/>
      <c r="O93" s="1064"/>
      <c r="P93" s="2108"/>
      <c r="Q93" s="461"/>
    </row>
    <row r="94" spans="1:17" ht="15.75" thickTop="1">
      <c r="A94" s="491"/>
      <c r="B94" s="495">
        <f>B29</f>
        <v>111</v>
      </c>
      <c r="C94" s="511"/>
      <c r="D94" s="511"/>
      <c r="E94" s="511"/>
      <c r="F94" s="511"/>
      <c r="G94" s="540"/>
      <c r="H94" s="540"/>
      <c r="I94" s="540"/>
      <c r="J94" s="540"/>
      <c r="K94" s="541"/>
      <c r="L94" s="542"/>
      <c r="M94" s="543"/>
      <c r="N94" s="1063"/>
      <c r="O94" s="1063"/>
      <c r="P94" s="2108"/>
      <c r="Q94" s="461"/>
    </row>
    <row r="95" spans="1:17" ht="15.75" thickBot="1">
      <c r="A95" s="491"/>
      <c r="B95" s="500"/>
      <c r="C95" s="517"/>
      <c r="D95" s="517"/>
      <c r="E95" s="517"/>
      <c r="F95" s="517"/>
      <c r="G95" s="493"/>
      <c r="H95" s="493"/>
      <c r="I95" s="493"/>
      <c r="J95" s="493"/>
      <c r="K95" s="493"/>
      <c r="L95" s="493"/>
      <c r="M95" s="494"/>
      <c r="N95" s="1064"/>
      <c r="O95" s="1064"/>
      <c r="P95" s="2108"/>
      <c r="Q95" s="461"/>
    </row>
    <row r="96" spans="1:17" ht="15.75" thickTop="1">
      <c r="A96" s="491"/>
      <c r="B96" s="495">
        <f>B30</f>
        <v>111</v>
      </c>
      <c r="C96" s="511"/>
      <c r="D96" s="511"/>
      <c r="E96" s="511"/>
      <c r="F96" s="511"/>
      <c r="G96" s="540"/>
      <c r="H96" s="540"/>
      <c r="I96" s="540"/>
      <c r="J96" s="540"/>
      <c r="K96" s="541"/>
      <c r="L96" s="542"/>
      <c r="M96" s="543"/>
      <c r="N96" s="1063"/>
      <c r="O96" s="1063"/>
      <c r="P96" s="2108"/>
      <c r="Q96" s="461"/>
    </row>
    <row r="97" spans="1:17" ht="15.75" thickBot="1">
      <c r="A97" s="491"/>
      <c r="B97" s="500"/>
      <c r="C97" s="527"/>
      <c r="D97" s="527"/>
      <c r="E97" s="527"/>
      <c r="F97" s="527"/>
      <c r="G97" s="493"/>
      <c r="H97" s="493"/>
      <c r="I97" s="493"/>
      <c r="J97" s="493"/>
      <c r="K97" s="493"/>
      <c r="L97" s="493"/>
      <c r="M97" s="494"/>
      <c r="N97" s="1064"/>
      <c r="O97" s="1064"/>
      <c r="P97" s="2108"/>
      <c r="Q97" s="461"/>
    </row>
    <row r="98" spans="1:17" ht="15.75" thickTop="1">
      <c r="A98" s="491"/>
      <c r="B98" s="503">
        <f>B31</f>
        <v>111</v>
      </c>
      <c r="C98" s="544"/>
      <c r="D98" s="544"/>
      <c r="E98" s="544"/>
      <c r="F98" s="544"/>
      <c r="G98" s="544"/>
      <c r="H98" s="544"/>
      <c r="I98" s="544"/>
      <c r="J98" s="544"/>
      <c r="K98" s="545"/>
      <c r="L98" s="546"/>
      <c r="M98" s="547"/>
      <c r="N98" s="1063"/>
      <c r="O98" s="1063"/>
      <c r="P98" s="2108"/>
      <c r="Q98" s="461"/>
    </row>
    <row r="99" spans="1:17" ht="15.75" thickBot="1">
      <c r="A99" s="2114"/>
      <c r="B99" s="526"/>
      <c r="C99" s="548"/>
      <c r="D99" s="548"/>
      <c r="E99" s="548"/>
      <c r="F99" s="548"/>
      <c r="G99" s="548"/>
      <c r="H99" s="548"/>
      <c r="I99" s="548"/>
      <c r="J99" s="548"/>
      <c r="K99" s="548"/>
      <c r="L99" s="548"/>
      <c r="M99" s="549"/>
      <c r="N99" s="1064"/>
      <c r="O99" s="1064"/>
      <c r="P99" s="2108"/>
      <c r="Q99" s="461"/>
    </row>
    <row r="100" spans="1:17">
      <c r="A100" s="484" t="s">
        <v>2385</v>
      </c>
      <c r="B100" s="485" t="s">
        <v>2434</v>
      </c>
      <c r="C100" s="487"/>
      <c r="D100" s="487"/>
      <c r="E100" s="487"/>
      <c r="F100" s="487"/>
      <c r="G100" s="487"/>
      <c r="H100" s="487"/>
      <c r="I100" s="487"/>
      <c r="J100" s="487"/>
      <c r="K100" s="488"/>
      <c r="L100" s="489"/>
      <c r="M100" s="490"/>
      <c r="N100" s="1063"/>
      <c r="O100" s="1063"/>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4"/>
      <c r="O101" s="1064"/>
      <c r="P101" s="2108"/>
      <c r="Q101" s="461"/>
    </row>
    <row r="102" spans="1:17" ht="15.75" thickTop="1">
      <c r="A102" s="491"/>
      <c r="B102" s="495" t="s">
        <v>2435</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2"/>
      <c r="O102" s="1062"/>
      <c r="P102" s="2108"/>
      <c r="Q102" s="461"/>
    </row>
    <row r="103" spans="1:17" s="430" customFormat="1">
      <c r="A103" s="550"/>
      <c r="B103" s="551"/>
      <c r="C103" s="552"/>
      <c r="D103" s="552"/>
      <c r="E103" s="552"/>
      <c r="F103" s="552"/>
      <c r="G103" s="552"/>
      <c r="H103" s="552"/>
      <c r="I103" s="552"/>
      <c r="J103" s="553"/>
      <c r="K103" s="553"/>
      <c r="L103" s="554"/>
      <c r="M103" s="555"/>
      <c r="N103" s="1065"/>
      <c r="O103" s="1065"/>
      <c r="P103" s="2109"/>
      <c r="Q103" s="516"/>
    </row>
    <row r="104" spans="1:17" s="430" customFormat="1" ht="15.75" thickBot="1">
      <c r="A104" s="510"/>
      <c r="B104" s="500"/>
      <c r="C104" s="517"/>
      <c r="D104" s="493"/>
      <c r="E104" s="493"/>
      <c r="F104" s="493"/>
      <c r="G104" s="493"/>
      <c r="H104" s="493"/>
      <c r="I104" s="493"/>
      <c r="J104" s="493"/>
      <c r="K104" s="493"/>
      <c r="L104" s="493"/>
      <c r="M104" s="493"/>
      <c r="N104" s="1064"/>
      <c r="O104" s="1064"/>
      <c r="P104" s="2109"/>
      <c r="Q104" s="516"/>
    </row>
    <row r="105" spans="1:17" ht="15" thickTop="1">
      <c r="A105" s="556"/>
      <c r="B105" s="495" t="s">
        <v>2436</v>
      </c>
      <c r="C105" s="511"/>
      <c r="D105" s="511"/>
      <c r="E105" s="540"/>
      <c r="F105" s="540"/>
      <c r="G105" s="540"/>
      <c r="H105" s="540"/>
      <c r="I105" s="540"/>
      <c r="J105" s="540"/>
      <c r="K105" s="541"/>
      <c r="L105" s="542"/>
      <c r="M105" s="543"/>
      <c r="N105" s="1063"/>
      <c r="O105" s="1063"/>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4"/>
      <c r="O106" s="1064"/>
      <c r="P106" s="2108"/>
      <c r="Q106" s="461"/>
    </row>
    <row r="107" spans="1:17" ht="15" thickTop="1">
      <c r="A107" s="556"/>
      <c r="B107" s="495" t="s">
        <v>2437</v>
      </c>
      <c r="C107" s="540"/>
      <c r="D107" s="540"/>
      <c r="E107" s="540"/>
      <c r="F107" s="540"/>
      <c r="G107" s="540"/>
      <c r="H107" s="540"/>
      <c r="I107" s="540"/>
      <c r="J107" s="540"/>
      <c r="K107" s="541"/>
      <c r="L107" s="542"/>
      <c r="M107" s="543"/>
      <c r="N107" s="1063"/>
      <c r="O107" s="1063"/>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4"/>
      <c r="O108" s="1064"/>
      <c r="P108" s="2108"/>
      <c r="Q108" s="461"/>
    </row>
    <row r="109" spans="1:17" ht="15" thickTop="1">
      <c r="A109" s="556"/>
      <c r="B109" s="495" t="s">
        <v>2438</v>
      </c>
      <c r="C109" s="511"/>
      <c r="D109" s="511"/>
      <c r="E109" s="511"/>
      <c r="F109" s="540"/>
      <c r="G109" s="540"/>
      <c r="H109" s="540"/>
      <c r="I109" s="540"/>
      <c r="J109" s="540"/>
      <c r="K109" s="541"/>
      <c r="L109" s="542"/>
      <c r="M109" s="543"/>
      <c r="N109" s="1063"/>
      <c r="O109" s="1063"/>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4"/>
      <c r="O110" s="1064"/>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5"/>
      <c r="O111" s="1065"/>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5"/>
      <c r="O112" s="1065"/>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5"/>
      <c r="O113" s="1065"/>
      <c r="P113" s="2109"/>
      <c r="Q113" s="516"/>
    </row>
    <row r="114" spans="1:17" ht="15" thickTop="1">
      <c r="A114" s="556"/>
      <c r="B114" s="495" t="s">
        <v>2439</v>
      </c>
      <c r="C114" s="511"/>
      <c r="D114" s="511"/>
      <c r="E114" s="540"/>
      <c r="F114" s="540"/>
      <c r="G114" s="540"/>
      <c r="H114" s="540"/>
      <c r="I114" s="540"/>
      <c r="J114" s="540"/>
      <c r="K114" s="541"/>
      <c r="L114" s="542"/>
      <c r="M114" s="543"/>
      <c r="N114" s="1063"/>
      <c r="O114" s="1063"/>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4"/>
      <c r="O115" s="1064"/>
      <c r="P115" s="2108"/>
      <c r="Q115" s="461"/>
    </row>
    <row r="116" spans="1:17" ht="15" thickTop="1">
      <c r="A116" s="556"/>
      <c r="B116" s="495" t="s">
        <v>2440</v>
      </c>
      <c r="C116" s="511"/>
      <c r="D116" s="511"/>
      <c r="E116" s="511"/>
      <c r="F116" s="511"/>
      <c r="G116" s="511"/>
      <c r="H116" s="540"/>
      <c r="I116" s="540"/>
      <c r="J116" s="540"/>
      <c r="K116" s="541"/>
      <c r="L116" s="542"/>
      <c r="M116" s="543"/>
      <c r="N116" s="1063"/>
      <c r="O116" s="1063"/>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4"/>
      <c r="O117" s="1064"/>
      <c r="P117" s="2108"/>
      <c r="Q117" s="461"/>
    </row>
    <row r="118" spans="1:17" ht="15" thickTop="1">
      <c r="A118" s="556"/>
      <c r="B118" s="495" t="s">
        <v>2441</v>
      </c>
      <c r="C118" s="540"/>
      <c r="D118" s="540"/>
      <c r="E118" s="540"/>
      <c r="F118" s="540"/>
      <c r="G118" s="540"/>
      <c r="H118" s="540"/>
      <c r="I118" s="540"/>
      <c r="J118" s="540"/>
      <c r="K118" s="541"/>
      <c r="L118" s="542"/>
      <c r="M118" s="543"/>
      <c r="N118" s="1063"/>
      <c r="O118" s="1063"/>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4"/>
      <c r="O119" s="1064"/>
      <c r="P119" s="2108"/>
      <c r="Q119" s="461"/>
    </row>
    <row r="120" spans="1:17" s="430" customFormat="1" ht="28.5" thickTop="1">
      <c r="A120" s="550"/>
      <c r="B120" s="495" t="s">
        <v>2396</v>
      </c>
      <c r="C120" s="511"/>
      <c r="D120" s="511"/>
      <c r="E120" s="511"/>
      <c r="F120" s="511"/>
      <c r="G120" s="511"/>
      <c r="H120" s="511"/>
      <c r="I120" s="511"/>
      <c r="J120" s="511"/>
      <c r="K120" s="511"/>
      <c r="L120" s="537"/>
      <c r="M120" s="538"/>
      <c r="N120" s="1065"/>
      <c r="O120" s="1065"/>
      <c r="P120" s="2109"/>
      <c r="Q120" s="516"/>
    </row>
    <row r="121" spans="1:17" s="430" customFormat="1" ht="15.75" thickBot="1">
      <c r="A121" s="510"/>
      <c r="B121" s="492"/>
      <c r="C121" s="517"/>
      <c r="D121" s="493"/>
      <c r="E121" s="493"/>
      <c r="F121" s="493"/>
      <c r="G121" s="493"/>
      <c r="H121" s="493"/>
      <c r="I121" s="493"/>
      <c r="J121" s="493"/>
      <c r="K121" s="493"/>
      <c r="L121" s="493"/>
      <c r="M121" s="493"/>
      <c r="N121" s="1065"/>
      <c r="O121" s="1065"/>
      <c r="P121" s="2109"/>
      <c r="Q121" s="516"/>
    </row>
    <row r="122" spans="1:17" ht="15" thickTop="1">
      <c r="A122" s="556"/>
      <c r="B122" s="495" t="s">
        <v>2442</v>
      </c>
      <c r="C122" s="511"/>
      <c r="D122" s="511"/>
      <c r="E122" s="511"/>
      <c r="F122" s="540"/>
      <c r="G122" s="540"/>
      <c r="H122" s="540"/>
      <c r="I122" s="540"/>
      <c r="J122" s="540"/>
      <c r="K122" s="541"/>
      <c r="L122" s="542"/>
      <c r="M122" s="543"/>
      <c r="N122" s="1063"/>
      <c r="O122" s="1063"/>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4"/>
      <c r="O123" s="1064"/>
      <c r="P123" s="2108"/>
      <c r="Q123" s="461"/>
    </row>
    <row r="124" spans="1:17" ht="15" thickTop="1">
      <c r="A124" s="556"/>
      <c r="B124" s="495" t="s">
        <v>2443</v>
      </c>
      <c r="C124" s="535" t="s">
        <v>2419</v>
      </c>
      <c r="D124" s="535" t="s">
        <v>2420</v>
      </c>
      <c r="E124" s="535" t="s">
        <v>2421</v>
      </c>
      <c r="F124" s="535" t="s">
        <v>2422</v>
      </c>
      <c r="G124" s="535" t="s">
        <v>2423</v>
      </c>
      <c r="H124" s="496"/>
      <c r="I124" s="496"/>
      <c r="J124" s="496"/>
      <c r="K124" s="497"/>
      <c r="L124" s="498"/>
      <c r="M124" s="499"/>
      <c r="N124" s="1063"/>
      <c r="O124" s="1063"/>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4"/>
      <c r="O125" s="1064"/>
      <c r="P125" s="2108"/>
      <c r="Q125" s="461"/>
    </row>
    <row r="126" spans="1:17" s="430" customFormat="1" ht="15" thickTop="1">
      <c r="A126" s="550"/>
      <c r="B126" s="495">
        <f>B44</f>
        <v>111</v>
      </c>
      <c r="C126" s="511"/>
      <c r="D126" s="511"/>
      <c r="E126" s="511"/>
      <c r="F126" s="511"/>
      <c r="G126" s="511"/>
      <c r="H126" s="512"/>
      <c r="I126" s="512"/>
      <c r="J126" s="512"/>
      <c r="K126" s="512"/>
      <c r="L126" s="513"/>
      <c r="M126" s="514"/>
      <c r="N126" s="1065"/>
      <c r="O126" s="1065"/>
      <c r="P126" s="2109"/>
      <c r="Q126" s="516"/>
    </row>
    <row r="127" spans="1:17" s="430" customFormat="1" ht="15.75" thickBot="1">
      <c r="A127" s="510"/>
      <c r="B127" s="500"/>
      <c r="C127" s="517"/>
      <c r="D127" s="493"/>
      <c r="E127" s="493"/>
      <c r="F127" s="493"/>
      <c r="G127" s="517"/>
      <c r="H127" s="519"/>
      <c r="I127" s="519"/>
      <c r="J127" s="519"/>
      <c r="K127" s="519"/>
      <c r="L127" s="519"/>
      <c r="M127" s="520"/>
      <c r="N127" s="1065"/>
      <c r="O127" s="1065"/>
      <c r="P127" s="2109"/>
      <c r="Q127" s="516"/>
    </row>
    <row r="128" spans="1:17" ht="15" thickTop="1">
      <c r="A128" s="556"/>
      <c r="B128" s="495">
        <f>B45</f>
        <v>111</v>
      </c>
      <c r="C128" s="511"/>
      <c r="D128" s="511"/>
      <c r="E128" s="511"/>
      <c r="F128" s="511"/>
      <c r="G128" s="540"/>
      <c r="H128" s="540"/>
      <c r="I128" s="540"/>
      <c r="J128" s="540"/>
      <c r="K128" s="541"/>
      <c r="L128" s="542"/>
      <c r="M128" s="543"/>
      <c r="N128" s="1063"/>
      <c r="O128" s="1063"/>
      <c r="P128" s="2108"/>
      <c r="Q128" s="461"/>
    </row>
    <row r="129" spans="1:17" ht="15.75" thickBot="1">
      <c r="A129" s="491"/>
      <c r="B129" s="500"/>
      <c r="C129" s="517"/>
      <c r="D129" s="517"/>
      <c r="E129" s="517"/>
      <c r="F129" s="517"/>
      <c r="G129" s="493"/>
      <c r="H129" s="493"/>
      <c r="I129" s="493"/>
      <c r="J129" s="493"/>
      <c r="K129" s="493"/>
      <c r="L129" s="493"/>
      <c r="M129" s="494"/>
      <c r="N129" s="1064"/>
      <c r="O129" s="1064"/>
      <c r="P129" s="2108"/>
      <c r="Q129" s="461"/>
    </row>
    <row r="130" spans="1:17" ht="15" thickTop="1">
      <c r="A130" s="556"/>
      <c r="B130" s="503">
        <f>B46</f>
        <v>111</v>
      </c>
      <c r="C130" s="511"/>
      <c r="D130" s="511"/>
      <c r="E130" s="511"/>
      <c r="F130" s="511"/>
      <c r="G130" s="544"/>
      <c r="H130" s="544"/>
      <c r="I130" s="544"/>
      <c r="J130" s="544"/>
      <c r="K130" s="480"/>
      <c r="L130" s="481"/>
      <c r="M130" s="547"/>
      <c r="N130" s="1063"/>
      <c r="O130" s="1063"/>
      <c r="P130" s="2108"/>
      <c r="Q130" s="461"/>
    </row>
    <row r="131" spans="1:17" ht="15.75" thickBot="1">
      <c r="A131" s="2114"/>
      <c r="B131" s="526"/>
      <c r="C131" s="527"/>
      <c r="D131" s="527"/>
      <c r="E131" s="527"/>
      <c r="F131" s="527"/>
      <c r="G131" s="548"/>
      <c r="H131" s="548"/>
      <c r="I131" s="548"/>
      <c r="J131" s="548"/>
      <c r="K131" s="548"/>
      <c r="L131" s="548"/>
      <c r="M131" s="549"/>
      <c r="N131" s="1064"/>
      <c r="O131" s="1064"/>
      <c r="P131" s="2108"/>
      <c r="Q131" s="461"/>
    </row>
    <row r="136" spans="1:17" ht="15" thickBot="1">
      <c r="B136" s="2115" t="s">
        <v>2444</v>
      </c>
    </row>
    <row r="137" spans="1:17" ht="15">
      <c r="B137" s="2116" t="s">
        <v>2445</v>
      </c>
      <c r="C137" s="2117"/>
      <c r="D137" s="2117"/>
      <c r="E137" s="2117"/>
      <c r="F137" s="2117"/>
      <c r="G137" s="2118"/>
      <c r="H137" s="2119"/>
      <c r="I137" s="2120" t="s">
        <v>2446</v>
      </c>
      <c r="J137" s="2117"/>
      <c r="K137" s="2121"/>
    </row>
    <row r="138" spans="1:17" ht="15">
      <c r="B138" s="2122"/>
      <c r="C138" s="142" t="s">
        <v>2447</v>
      </c>
      <c r="D138" s="142" t="s">
        <v>2448</v>
      </c>
      <c r="E138" s="2123" t="s">
        <v>2449</v>
      </c>
      <c r="F138" s="2124" t="s">
        <v>2450</v>
      </c>
      <c r="G138" s="142" t="s">
        <v>2448</v>
      </c>
      <c r="H138" s="143" t="s">
        <v>2449</v>
      </c>
      <c r="I138" s="2125"/>
      <c r="J138" s="142" t="s">
        <v>2451</v>
      </c>
      <c r="K138" s="143" t="s">
        <v>2452</v>
      </c>
    </row>
    <row r="139" spans="1:17" ht="15">
      <c r="B139" s="997">
        <v>6</v>
      </c>
      <c r="C139" s="998">
        <v>96</v>
      </c>
      <c r="D139" s="2126" t="s">
        <v>2453</v>
      </c>
      <c r="E139" s="999">
        <v>100</v>
      </c>
      <c r="F139" s="1000">
        <v>102.5</v>
      </c>
      <c r="G139" s="2126" t="s">
        <v>2453</v>
      </c>
      <c r="H139" s="1001">
        <v>105</v>
      </c>
      <c r="I139" s="2127" t="s">
        <v>2454</v>
      </c>
      <c r="J139" s="998">
        <v>20</v>
      </c>
      <c r="K139" s="1002">
        <f>C145/(J139-2)</f>
        <v>4.0555555555555553E-3</v>
      </c>
    </row>
    <row r="140" spans="1:17" ht="15">
      <c r="B140" s="1003">
        <v>5</v>
      </c>
      <c r="C140" s="1004">
        <v>100</v>
      </c>
      <c r="D140" s="1004"/>
      <c r="E140" s="1005"/>
      <c r="F140" s="1006">
        <v>102</v>
      </c>
      <c r="G140" s="1004"/>
      <c r="H140" s="1007"/>
      <c r="I140" s="2128" t="s">
        <v>2455</v>
      </c>
      <c r="J140" s="277">
        <f>ROUNDUP((J139-1)/2,0)</f>
        <v>10</v>
      </c>
      <c r="K140" s="1008">
        <v>100</v>
      </c>
    </row>
    <row r="141" spans="1:17" ht="15">
      <c r="B141" s="1003">
        <v>4</v>
      </c>
      <c r="C141" s="1004">
        <v>102</v>
      </c>
      <c r="D141" s="1004"/>
      <c r="E141" s="1005"/>
      <c r="F141" s="1006">
        <v>101.5</v>
      </c>
      <c r="G141" s="1004"/>
      <c r="H141" s="1007"/>
      <c r="I141" s="2128" t="s">
        <v>2456</v>
      </c>
      <c r="J141" s="277">
        <v>1</v>
      </c>
      <c r="K141" s="1009">
        <f>ROUND(100+(J141-J140)*K139*100,1)</f>
        <v>96.4</v>
      </c>
    </row>
    <row r="142" spans="1:17" ht="15">
      <c r="B142" s="1003">
        <v>3</v>
      </c>
      <c r="C142" s="1004">
        <v>103</v>
      </c>
      <c r="D142" s="1004"/>
      <c r="E142" s="1005"/>
      <c r="F142" s="1006">
        <v>101</v>
      </c>
      <c r="G142" s="1004"/>
      <c r="H142" s="1007"/>
      <c r="I142" s="2128" t="s">
        <v>2457</v>
      </c>
      <c r="J142" s="277">
        <f>J139</f>
        <v>20</v>
      </c>
      <c r="K142" s="1010">
        <v>95</v>
      </c>
    </row>
    <row r="143" spans="1:17" ht="15">
      <c r="B143" s="1003">
        <v>2</v>
      </c>
      <c r="C143" s="1004">
        <v>100</v>
      </c>
      <c r="D143" s="1004"/>
      <c r="E143" s="1005"/>
      <c r="F143" s="1006">
        <v>100.5</v>
      </c>
      <c r="G143" s="1004"/>
      <c r="H143" s="1007"/>
      <c r="I143" s="2128" t="s">
        <v>2458</v>
      </c>
      <c r="J143" s="1004">
        <v>15</v>
      </c>
      <c r="K143" s="1009">
        <f>ROUND(100+(J143-J140)*K139*100,1)</f>
        <v>102</v>
      </c>
    </row>
    <row r="144" spans="1:17" ht="15">
      <c r="B144" s="1003">
        <v>1</v>
      </c>
      <c r="C144" s="1004">
        <v>98</v>
      </c>
      <c r="D144" s="2129" t="s">
        <v>2459</v>
      </c>
      <c r="E144" s="1005">
        <v>102</v>
      </c>
      <c r="F144" s="1011">
        <v>100</v>
      </c>
      <c r="G144" s="2129" t="s">
        <v>2459</v>
      </c>
      <c r="H144" s="1007">
        <v>105</v>
      </c>
      <c r="I144" s="2128" t="s">
        <v>2458</v>
      </c>
      <c r="J144" s="1004">
        <v>18</v>
      </c>
      <c r="K144" s="1009">
        <f>ROUND(100+(J144-J140)*K139*100,1)</f>
        <v>103.2</v>
      </c>
    </row>
    <row r="145" spans="2:11" ht="15.75" thickBot="1">
      <c r="B145" s="2130" t="s">
        <v>2460</v>
      </c>
      <c r="C145" s="1012">
        <f>ROUND(MAX(C139:C144)/MIN(C139:C144)-1,3)</f>
        <v>7.2999999999999995E-2</v>
      </c>
      <c r="D145" s="1013"/>
      <c r="E145" s="1013"/>
      <c r="F145" s="2131" t="s">
        <v>2461</v>
      </c>
      <c r="G145" s="2132"/>
      <c r="H145" s="2133"/>
      <c r="I145" s="2134" t="s">
        <v>2458</v>
      </c>
      <c r="J145" s="1014">
        <v>8</v>
      </c>
      <c r="K145" s="1015">
        <f>ROUND(100+(J145-J140)*K139*100,1)</f>
        <v>99.2</v>
      </c>
    </row>
    <row r="147" spans="2:11">
      <c r="B147" s="2115" t="s">
        <v>2462</v>
      </c>
    </row>
    <row r="148" spans="2:11">
      <c r="B148" s="2115" t="s">
        <v>2463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2" priority="19" stopIfTrue="1" operator="containsText" text="超过">
      <formula>NOT(ISERROR(SEARCH("超过",F52)))</formula>
    </cfRule>
  </conditionalFormatting>
  <conditionalFormatting sqref="J54">
    <cfRule type="containsText" dxfId="111" priority="18" stopIfTrue="1" operator="containsText" text="超过">
      <formula>NOT(ISERROR(SEARCH("超过",J54)))</formula>
    </cfRule>
  </conditionalFormatting>
  <conditionalFormatting sqref="H54">
    <cfRule type="containsText" dxfId="110" priority="17" stopIfTrue="1" operator="containsText" text="超过">
      <formula>NOT(ISERROR(SEARCH("超过",H54)))</formula>
    </cfRule>
  </conditionalFormatting>
  <conditionalFormatting sqref="F54">
    <cfRule type="containsText" dxfId="109" priority="16" stopIfTrue="1" operator="containsText" text="超过">
      <formula>NOT(ISERROR(SEARCH("超过",F54)))</formula>
    </cfRule>
  </conditionalFormatting>
  <conditionalFormatting sqref="F53 H53 J53">
    <cfRule type="containsText" dxfId="108" priority="15" stopIfTrue="1" operator="containsText" text="超过">
      <formula>NOT(ISERROR(SEARCH("超过",F53)))</formula>
    </cfRule>
  </conditionalFormatting>
  <conditionalFormatting sqref="E52">
    <cfRule type="expression" dxfId="107" priority="14" stopIfTrue="1">
      <formula>$F$52="超过30%"</formula>
    </cfRule>
  </conditionalFormatting>
  <conditionalFormatting sqref="G54">
    <cfRule type="expression" dxfId="106" priority="12" stopIfTrue="1">
      <formula>$H$54="超过30%"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G52">
    <cfRule type="expression" dxfId="103" priority="9" stopIfTrue="1">
      <formula>$H$52="超过30%"</formula>
    </cfRule>
  </conditionalFormatting>
  <conditionalFormatting sqref="G53">
    <cfRule type="expression" dxfId="102" priority="8" stopIfTrue="1">
      <formula>$H$53="超过20%"</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2350</v>
      </c>
      <c r="B1" s="2143" t="s">
        <v>2508</v>
      </c>
      <c r="C1" s="1390" t="s">
        <v>2352</v>
      </c>
      <c r="D1" s="1391"/>
      <c r="E1" s="1400"/>
      <c r="F1" s="2065"/>
      <c r="G1" s="1401" t="s">
        <v>2465</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8" customFormat="1" ht="28.5" customHeight="1" thickTop="1">
      <c r="A2" s="1387" t="s">
        <v>2149</v>
      </c>
      <c r="B2" s="1324" t="e">
        <f ca="1">IF(C2="——",ROUND(C50*D3/10000,0),ROUND(C50*D3/10000,0)-D2)</f>
        <v>#DIV/0!</v>
      </c>
      <c r="C2" s="2067"/>
      <c r="D2" s="1273" t="e">
        <f ca="1">SUMIF(INDIRECT("'"&amp;F2&amp;"'"&amp;"!A:A"),"承租人权益价值",INDIRECT("'"&amp;F2&amp;"'"&amp;"!c:c"))</f>
        <v>#REF!</v>
      </c>
      <c r="E2" s="2068" t="s">
        <v>2150</v>
      </c>
      <c r="F2" s="2069"/>
      <c r="G2" s="1038"/>
      <c r="H2" s="1038"/>
      <c r="I2" s="1038"/>
      <c r="J2" s="1038"/>
      <c r="K2" s="1038"/>
      <c r="L2" s="2963"/>
      <c r="M2" s="2964"/>
      <c r="N2" s="2964"/>
      <c r="O2" s="2964"/>
      <c r="P2" s="707"/>
      <c r="Q2" s="707"/>
      <c r="R2" s="707"/>
      <c r="S2" s="707"/>
      <c r="T2" s="707"/>
      <c r="U2" s="707"/>
      <c r="V2" s="707"/>
      <c r="W2" s="707"/>
      <c r="X2" s="707"/>
      <c r="Y2" s="707"/>
      <c r="Z2" s="707"/>
      <c r="AA2" s="707"/>
      <c r="AB2" s="707"/>
      <c r="AC2" s="708"/>
    </row>
    <row r="3" spans="1:29" s="358" customFormat="1" ht="28.5" customHeight="1" thickBot="1">
      <c r="A3" s="209" t="s">
        <v>2151</v>
      </c>
      <c r="B3" s="566" t="e">
        <f ca="1">IF(C2="——",C50,ROUND(B2*10000/D3,0))</f>
        <v>#DIV/0!</v>
      </c>
      <c r="C3" s="360" t="s">
        <v>2466</v>
      </c>
      <c r="D3" s="359">
        <f>IF(D1="",'数据-汇总表'!E3,SUMIF('数据-汇总表'!$C19:$C33,D1,'数据-汇总表'!$E19:$E33))</f>
        <v>27960.83</v>
      </c>
      <c r="E3" s="2140"/>
      <c r="F3" s="1039"/>
      <c r="G3" s="1038"/>
      <c r="H3" s="1038"/>
      <c r="I3" s="1038"/>
      <c r="J3" s="1038"/>
      <c r="K3" s="1040"/>
      <c r="L3" s="2963"/>
      <c r="M3" s="2964"/>
      <c r="N3" s="2964"/>
      <c r="O3" s="2964"/>
      <c r="P3" s="707"/>
      <c r="Q3" s="707"/>
      <c r="R3" s="707"/>
      <c r="S3" s="707"/>
      <c r="T3" s="707"/>
      <c r="U3" s="707"/>
      <c r="V3" s="707"/>
      <c r="W3" s="707"/>
      <c r="X3" s="707"/>
      <c r="Y3" s="707"/>
      <c r="Z3" s="707"/>
      <c r="AA3" s="707"/>
      <c r="AB3" s="707"/>
      <c r="AC3" s="708"/>
    </row>
    <row r="4" spans="1:29" ht="15">
      <c r="A4" s="361" t="s">
        <v>2467</v>
      </c>
      <c r="B4" s="362"/>
      <c r="C4" s="3277" t="s">
        <v>2468</v>
      </c>
      <c r="D4" s="3278"/>
      <c r="E4" s="3279" t="s">
        <v>2469</v>
      </c>
      <c r="F4" s="3280"/>
      <c r="G4" s="3277" t="s">
        <v>2470</v>
      </c>
      <c r="H4" s="3278"/>
      <c r="I4" s="3277" t="s">
        <v>2471</v>
      </c>
      <c r="J4" s="3278"/>
      <c r="K4" s="567" t="s">
        <v>2472</v>
      </c>
      <c r="L4" s="2944"/>
      <c r="M4" s="2945"/>
      <c r="N4" s="2945"/>
      <c r="O4" s="2945"/>
      <c r="P4" s="3372" t="s">
        <v>2473</v>
      </c>
      <c r="Q4" s="3373"/>
      <c r="R4" s="3367" t="s">
        <v>2469</v>
      </c>
      <c r="S4" s="3368"/>
      <c r="T4" s="3367" t="s">
        <v>2470</v>
      </c>
      <c r="U4" s="3368"/>
      <c r="V4" s="3376" t="s">
        <v>2471</v>
      </c>
      <c r="W4" s="3376"/>
      <c r="X4" s="2144"/>
      <c r="Y4" s="3367" t="s">
        <v>2473</v>
      </c>
      <c r="Z4" s="3368"/>
      <c r="AA4" s="3366" t="s">
        <v>2469</v>
      </c>
      <c r="AB4" s="3366" t="s">
        <v>2470</v>
      </c>
      <c r="AC4" s="3369" t="s">
        <v>2471</v>
      </c>
    </row>
    <row r="5" spans="1:29" ht="15">
      <c r="A5" s="364"/>
      <c r="B5" s="365"/>
      <c r="C5" s="3270" t="s">
        <v>2364</v>
      </c>
      <c r="D5" s="3271"/>
      <c r="E5" s="3268" t="s">
        <v>2365</v>
      </c>
      <c r="F5" s="3269"/>
      <c r="G5" s="3270" t="s">
        <v>2366</v>
      </c>
      <c r="H5" s="3271"/>
      <c r="I5" s="3270" t="s">
        <v>2367</v>
      </c>
      <c r="J5" s="3271"/>
      <c r="K5" s="567"/>
      <c r="L5" s="2944"/>
      <c r="M5" s="2945"/>
      <c r="N5" s="2945"/>
      <c r="O5" s="2945"/>
      <c r="P5" s="3374"/>
      <c r="Q5" s="3284"/>
      <c r="R5" s="3266"/>
      <c r="S5" s="3267"/>
      <c r="T5" s="3266"/>
      <c r="U5" s="3267"/>
      <c r="V5" s="3289"/>
      <c r="W5" s="3289"/>
      <c r="X5" s="1539"/>
      <c r="Y5" s="3266"/>
      <c r="Z5" s="3267"/>
      <c r="AA5" s="3260"/>
      <c r="AB5" s="3260"/>
      <c r="AC5" s="3370"/>
    </row>
    <row r="6" spans="1:29" ht="15.75" thickBot="1">
      <c r="A6" s="366"/>
      <c r="B6" s="367"/>
      <c r="C6" s="3272" t="s">
        <v>2368</v>
      </c>
      <c r="D6" s="3273"/>
      <c r="E6" s="3274" t="s">
        <v>2368</v>
      </c>
      <c r="F6" s="3275"/>
      <c r="G6" s="3272" t="s">
        <v>2368</v>
      </c>
      <c r="H6" s="3273"/>
      <c r="I6" s="3272" t="s">
        <v>2368</v>
      </c>
      <c r="J6" s="3273"/>
      <c r="K6" s="567" t="s">
        <v>2369</v>
      </c>
      <c r="L6" s="2944"/>
      <c r="M6" s="2945"/>
      <c r="N6" s="2945"/>
      <c r="O6" s="2945"/>
      <c r="P6" s="3375"/>
      <c r="Q6" s="3286"/>
      <c r="R6" s="3266"/>
      <c r="S6" s="3267"/>
      <c r="T6" s="3287"/>
      <c r="U6" s="3288"/>
      <c r="V6" s="3289"/>
      <c r="W6" s="3289"/>
      <c r="X6" s="1539"/>
      <c r="Y6" s="3287"/>
      <c r="Z6" s="3288"/>
      <c r="AA6" s="3261"/>
      <c r="AB6" s="3261"/>
      <c r="AC6" s="3371"/>
    </row>
    <row r="7" spans="1:29" s="113" customFormat="1" ht="15.75" thickBot="1">
      <c r="A7" s="368" t="s">
        <v>2370</v>
      </c>
      <c r="B7" s="369"/>
      <c r="C7" s="370">
        <f>'数据-取费表'!B2</f>
        <v>44224</v>
      </c>
      <c r="D7" s="371">
        <v>100</v>
      </c>
      <c r="E7" s="372"/>
      <c r="F7" s="373">
        <f>SUMIF(59:59,YEAR(E7)&amp;"-"&amp;MONTH(E7),60:60)</f>
        <v>0</v>
      </c>
      <c r="G7" s="372"/>
      <c r="H7" s="371">
        <f>SUMIF(59:59,YEAR(G7)&amp;"-"&amp;MONTH(G7),60:60)</f>
        <v>0</v>
      </c>
      <c r="I7" s="372"/>
      <c r="J7" s="371">
        <f>SUMIF(59:59,YEAR(I7)&amp;"-"&amp;MONTH(I7),60:60)</f>
        <v>0</v>
      </c>
      <c r="K7" s="568"/>
      <c r="L7" s="2946"/>
      <c r="M7" s="2947"/>
      <c r="N7" s="2947"/>
      <c r="O7" s="2947"/>
      <c r="P7" s="3377" t="s">
        <v>2371</v>
      </c>
      <c r="Q7" s="3290"/>
      <c r="R7" s="709" t="s">
        <v>17</v>
      </c>
      <c r="S7" s="710">
        <f t="shared" ref="S7:S15" si="0">F7</f>
        <v>0</v>
      </c>
      <c r="T7" s="709" t="s">
        <v>17</v>
      </c>
      <c r="U7" s="710">
        <f t="shared" ref="U7:U15" si="1">H7</f>
        <v>0</v>
      </c>
      <c r="V7" s="709" t="s">
        <v>17</v>
      </c>
      <c r="W7" s="710">
        <f t="shared" ref="W7:W15" si="2">J7</f>
        <v>0</v>
      </c>
      <c r="X7" s="711"/>
      <c r="Y7" s="3262" t="s">
        <v>2371</v>
      </c>
      <c r="Z7" s="3263"/>
      <c r="AA7" s="712" t="e">
        <f>D7/F7</f>
        <v>#DIV/0!</v>
      </c>
      <c r="AB7" s="712" t="e">
        <f>D7/H7</f>
        <v>#DIV/0!</v>
      </c>
      <c r="AC7" s="2145" t="e">
        <f>D7/J7</f>
        <v>#DIV/0!</v>
      </c>
    </row>
    <row r="8" spans="1:29" s="113" customFormat="1" ht="15.75" thickBot="1">
      <c r="A8" s="368" t="s">
        <v>2372</v>
      </c>
      <c r="B8" s="369"/>
      <c r="C8" s="374" t="s">
        <v>2474</v>
      </c>
      <c r="D8" s="371">
        <v>100</v>
      </c>
      <c r="E8" s="374"/>
      <c r="F8" s="373">
        <f>SUMIF(62:62,E8,63:63)-SUMIF(62:62,C8,63:63)+100</f>
        <v>0</v>
      </c>
      <c r="G8" s="374"/>
      <c r="H8" s="371">
        <f>SUMIF(62:62,G8,63:63)-SUMIF(62:62,C8,63:63)+100</f>
        <v>0</v>
      </c>
      <c r="I8" s="374"/>
      <c r="J8" s="371">
        <f>SUMIF(62:62,I8,63:63)-SUMIF(62:62,C8,63:63)+100</f>
        <v>0</v>
      </c>
      <c r="K8" s="568"/>
      <c r="L8" s="2946"/>
      <c r="M8" s="2947"/>
      <c r="N8" s="2947"/>
      <c r="O8" s="2947"/>
      <c r="P8" s="3377" t="s">
        <v>2374</v>
      </c>
      <c r="Q8" s="3263"/>
      <c r="R8" s="709" t="s">
        <v>17</v>
      </c>
      <c r="S8" s="710">
        <f t="shared" si="0"/>
        <v>0</v>
      </c>
      <c r="T8" s="709" t="s">
        <v>17</v>
      </c>
      <c r="U8" s="710">
        <f t="shared" si="1"/>
        <v>0</v>
      </c>
      <c r="V8" s="709" t="s">
        <v>17</v>
      </c>
      <c r="W8" s="710">
        <f t="shared" si="2"/>
        <v>0</v>
      </c>
      <c r="X8" s="711"/>
      <c r="Y8" s="3262" t="s">
        <v>2374</v>
      </c>
      <c r="Z8" s="3263"/>
      <c r="AA8" s="712" t="e">
        <f t="shared" ref="AA8:AA47" si="3">D8/F8</f>
        <v>#DIV/0!</v>
      </c>
      <c r="AB8" s="712" t="e">
        <f t="shared" ref="AB8:AB47" si="4">D8/H8</f>
        <v>#DIV/0!</v>
      </c>
      <c r="AC8" s="2145" t="e">
        <f t="shared" ref="AC8:AC47" si="5">D8/J8</f>
        <v>#DIV/0!</v>
      </c>
    </row>
    <row r="9" spans="1:29" s="113" customFormat="1">
      <c r="A9" s="375" t="s">
        <v>2375</v>
      </c>
      <c r="B9" s="67" t="s">
        <v>2376</v>
      </c>
      <c r="C9" s="376"/>
      <c r="D9" s="131">
        <v>100</v>
      </c>
      <c r="E9" s="379"/>
      <c r="F9" s="131">
        <f>SUMIF(64:64,E9,65:65)-SUMIF(64:64,C9,65:65)+100</f>
        <v>100</v>
      </c>
      <c r="G9" s="377"/>
      <c r="H9" s="131">
        <f>SUMIF(64:64,G9,65:65)-SUMIF(64:64,C9,65:65)+100</f>
        <v>100</v>
      </c>
      <c r="I9" s="377"/>
      <c r="J9" s="131">
        <f>SUMIF(64:64,I9,65:65)-SUMIF(64:64,C9,65:65)+100</f>
        <v>100</v>
      </c>
      <c r="K9" s="568"/>
      <c r="L9" s="2946"/>
      <c r="M9" s="2947"/>
      <c r="N9" s="2947"/>
      <c r="O9" s="2947"/>
      <c r="P9" s="3300" t="s">
        <v>2377</v>
      </c>
      <c r="Q9" s="1527" t="str">
        <f t="shared" ref="Q9:Q15" si="6">B9</f>
        <v>用途</v>
      </c>
      <c r="R9" s="709" t="s">
        <v>17</v>
      </c>
      <c r="S9" s="710">
        <f t="shared" si="0"/>
        <v>100</v>
      </c>
      <c r="T9" s="709" t="s">
        <v>17</v>
      </c>
      <c r="U9" s="710">
        <f t="shared" si="1"/>
        <v>100</v>
      </c>
      <c r="V9" s="709" t="s">
        <v>17</v>
      </c>
      <c r="W9" s="710">
        <f t="shared" si="2"/>
        <v>100</v>
      </c>
      <c r="X9" s="711"/>
      <c r="Y9" s="3232" t="s">
        <v>2378</v>
      </c>
      <c r="Z9" s="55" t="str">
        <f t="shared" ref="Z9:Z15" si="7">Q9</f>
        <v>用途</v>
      </c>
      <c r="AA9" s="712">
        <f t="shared" si="3"/>
        <v>1</v>
      </c>
      <c r="AB9" s="712">
        <f t="shared" si="4"/>
        <v>1</v>
      </c>
      <c r="AC9" s="2145">
        <f t="shared" si="5"/>
        <v>1</v>
      </c>
    </row>
    <row r="10" spans="1:29" s="386" customFormat="1" ht="27">
      <c r="A10" s="380"/>
      <c r="B10" s="381" t="s">
        <v>2379</v>
      </c>
      <c r="C10" s="382"/>
      <c r="D10" s="132">
        <v>100</v>
      </c>
      <c r="E10" s="382"/>
      <c r="F10" s="132">
        <f>SUMIF(66:66,E10,67:67)-SUMIF(66:66,C10,67:67)+100</f>
        <v>100</v>
      </c>
      <c r="G10" s="383"/>
      <c r="H10" s="132">
        <f>SUMIF(66:66,G10,67:67)-SUMIF(66:66,C10,67:67)+100</f>
        <v>100</v>
      </c>
      <c r="I10" s="382"/>
      <c r="J10" s="132">
        <f>SUMIF(66:66,I10,67:67)-SUMIF(66:66,C10,67:67)+100</f>
        <v>100</v>
      </c>
      <c r="K10" s="569"/>
      <c r="L10" s="2948"/>
      <c r="M10" s="2949"/>
      <c r="N10" s="2949"/>
      <c r="O10" s="2949"/>
      <c r="P10" s="3300"/>
      <c r="Q10" s="1527" t="str">
        <f t="shared" si="6"/>
        <v>土地使用年限（年）</v>
      </c>
      <c r="R10" s="709" t="s">
        <v>17</v>
      </c>
      <c r="S10" s="710">
        <f t="shared" si="0"/>
        <v>100</v>
      </c>
      <c r="T10" s="709" t="s">
        <v>17</v>
      </c>
      <c r="U10" s="710">
        <f t="shared" si="1"/>
        <v>100</v>
      </c>
      <c r="V10" s="709" t="s">
        <v>17</v>
      </c>
      <c r="W10" s="710">
        <f t="shared" si="2"/>
        <v>100</v>
      </c>
      <c r="X10" s="711"/>
      <c r="Y10" s="3232"/>
      <c r="Z10" s="55" t="str">
        <f t="shared" si="7"/>
        <v>土地使用年限（年）</v>
      </c>
      <c r="AA10" s="712">
        <f t="shared" si="3"/>
        <v>1</v>
      </c>
      <c r="AB10" s="712">
        <f t="shared" si="4"/>
        <v>1</v>
      </c>
      <c r="AC10" s="2145">
        <f t="shared" si="5"/>
        <v>1</v>
      </c>
    </row>
    <row r="11" spans="1:29" ht="15">
      <c r="A11" s="387"/>
      <c r="B11" s="381" t="s">
        <v>2380</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0"/>
      <c r="M11" s="2945"/>
      <c r="N11" s="2945"/>
      <c r="O11" s="2945"/>
      <c r="P11" s="3300"/>
      <c r="Q11" s="1527" t="str">
        <f t="shared" si="6"/>
        <v>容积率</v>
      </c>
      <c r="R11" s="709" t="s">
        <v>17</v>
      </c>
      <c r="S11" s="710" t="e">
        <f t="shared" si="0"/>
        <v>#N/A</v>
      </c>
      <c r="T11" s="709" t="s">
        <v>17</v>
      </c>
      <c r="U11" s="710" t="e">
        <f t="shared" si="1"/>
        <v>#N/A</v>
      </c>
      <c r="V11" s="709" t="s">
        <v>17</v>
      </c>
      <c r="W11" s="710" t="e">
        <f t="shared" si="2"/>
        <v>#N/A</v>
      </c>
      <c r="X11" s="711"/>
      <c r="Y11" s="3232"/>
      <c r="Z11" s="55" t="str">
        <f t="shared" si="7"/>
        <v>容积率</v>
      </c>
      <c r="AA11" s="712" t="e">
        <f t="shared" si="3"/>
        <v>#N/A</v>
      </c>
      <c r="AB11" s="712"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300"/>
      <c r="Q12" s="1527">
        <f t="shared" si="6"/>
        <v>111</v>
      </c>
      <c r="R12" s="709" t="s">
        <v>17</v>
      </c>
      <c r="S12" s="710">
        <f t="shared" si="0"/>
        <v>100</v>
      </c>
      <c r="T12" s="709" t="s">
        <v>17</v>
      </c>
      <c r="U12" s="710">
        <f t="shared" si="1"/>
        <v>100</v>
      </c>
      <c r="V12" s="709" t="s">
        <v>17</v>
      </c>
      <c r="W12" s="710">
        <f t="shared" si="2"/>
        <v>100</v>
      </c>
      <c r="X12" s="711"/>
      <c r="Y12" s="3232"/>
      <c r="Z12" s="55">
        <f t="shared" si="7"/>
        <v>111</v>
      </c>
      <c r="AA12" s="712">
        <f>D12/F12</f>
        <v>1</v>
      </c>
      <c r="AB12" s="712">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300"/>
      <c r="Q13" s="1527">
        <f t="shared" si="6"/>
        <v>111</v>
      </c>
      <c r="R13" s="709" t="s">
        <v>17</v>
      </c>
      <c r="S13" s="710">
        <f t="shared" si="0"/>
        <v>100</v>
      </c>
      <c r="T13" s="709" t="s">
        <v>17</v>
      </c>
      <c r="U13" s="710">
        <f t="shared" si="1"/>
        <v>100</v>
      </c>
      <c r="V13" s="709" t="s">
        <v>17</v>
      </c>
      <c r="W13" s="710">
        <f t="shared" si="2"/>
        <v>100</v>
      </c>
      <c r="X13" s="711"/>
      <c r="Y13" s="3232"/>
      <c r="Z13" s="55">
        <f t="shared" si="7"/>
        <v>111</v>
      </c>
      <c r="AA13" s="712">
        <f t="shared" si="3"/>
        <v>1</v>
      </c>
      <c r="AB13" s="712">
        <f t="shared" si="4"/>
        <v>1</v>
      </c>
      <c r="AC13" s="2145">
        <f t="shared" si="5"/>
        <v>1</v>
      </c>
    </row>
    <row r="14" spans="1:29" ht="15.75" thickBot="1">
      <c r="A14" s="395"/>
      <c r="B14" s="2081">
        <v>111</v>
      </c>
      <c r="C14" s="396"/>
      <c r="D14" s="397">
        <v>100</v>
      </c>
      <c r="E14" s="583"/>
      <c r="F14" s="397">
        <f>SUMIF(75:75,E14,76:76)-SUMIF(75:75,C14,76:76)+100</f>
        <v>100</v>
      </c>
      <c r="G14" s="2146"/>
      <c r="H14" s="397">
        <f>SUMIF(75:75,G14,76:76)-SUMIF(75:75,C14,76:76)+100</f>
        <v>100</v>
      </c>
      <c r="I14" s="391"/>
      <c r="J14" s="397">
        <f>SUMIF(75:75,I14,76:76)-SUMIF(75:75,C14,76:76)+100</f>
        <v>100</v>
      </c>
      <c r="K14" s="570"/>
      <c r="L14" s="2951"/>
      <c r="M14" s="2945"/>
      <c r="N14" s="2945"/>
      <c r="O14" s="2945"/>
      <c r="P14" s="3300"/>
      <c r="Q14" s="1527">
        <f t="shared" si="6"/>
        <v>111</v>
      </c>
      <c r="R14" s="709" t="s">
        <v>17</v>
      </c>
      <c r="S14" s="710">
        <f t="shared" si="0"/>
        <v>100</v>
      </c>
      <c r="T14" s="709" t="s">
        <v>17</v>
      </c>
      <c r="U14" s="710">
        <f t="shared" si="1"/>
        <v>100</v>
      </c>
      <c r="V14" s="709" t="s">
        <v>17</v>
      </c>
      <c r="W14" s="710">
        <f t="shared" si="2"/>
        <v>100</v>
      </c>
      <c r="X14" s="711"/>
      <c r="Y14" s="3232"/>
      <c r="Z14" s="55">
        <f t="shared" si="7"/>
        <v>111</v>
      </c>
      <c r="AA14" s="712">
        <f t="shared" si="3"/>
        <v>1</v>
      </c>
      <c r="AB14" s="712">
        <f t="shared" si="4"/>
        <v>1</v>
      </c>
      <c r="AC14" s="2145">
        <f t="shared" si="5"/>
        <v>1</v>
      </c>
    </row>
    <row r="15" spans="1:29" ht="15">
      <c r="A15" s="399" t="s">
        <v>2381</v>
      </c>
      <c r="B15" s="584" t="s">
        <v>2509</v>
      </c>
      <c r="C15" s="2147">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330" t="s">
        <v>2382</v>
      </c>
      <c r="Q15" s="1536" t="str">
        <f t="shared" si="6"/>
        <v>办公集聚程度</v>
      </c>
      <c r="R15" s="713" t="s">
        <v>17</v>
      </c>
      <c r="S15" s="714">
        <f t="shared" si="0"/>
        <v>100</v>
      </c>
      <c r="T15" s="713" t="s">
        <v>17</v>
      </c>
      <c r="U15" s="714">
        <f t="shared" si="1"/>
        <v>100</v>
      </c>
      <c r="V15" s="713" t="s">
        <v>17</v>
      </c>
      <c r="W15" s="714">
        <f t="shared" si="2"/>
        <v>100</v>
      </c>
      <c r="X15" s="1539"/>
      <c r="Y15" s="3291" t="s">
        <v>2382</v>
      </c>
      <c r="Z15" s="1540" t="str">
        <f t="shared" si="7"/>
        <v>办公集聚程度</v>
      </c>
      <c r="AA15" s="1537">
        <f t="shared" si="3"/>
        <v>1</v>
      </c>
      <c r="AB15" s="1537">
        <f t="shared" si="4"/>
        <v>1</v>
      </c>
      <c r="AC15" s="2148">
        <f t="shared" si="5"/>
        <v>1</v>
      </c>
    </row>
    <row r="16" spans="1:29" ht="15">
      <c r="A16" s="387"/>
      <c r="B16" s="585"/>
      <c r="C16" s="2090"/>
      <c r="D16" s="407"/>
      <c r="E16" s="406"/>
      <c r="F16" s="407"/>
      <c r="G16" s="2090"/>
      <c r="H16" s="409"/>
      <c r="I16" s="406"/>
      <c r="J16" s="407"/>
      <c r="K16" s="572"/>
      <c r="L16" s="2951"/>
      <c r="M16" s="2945"/>
      <c r="N16" s="2945"/>
      <c r="O16" s="2945"/>
      <c r="P16" s="3331"/>
      <c r="Q16" s="1536"/>
      <c r="R16" s="713"/>
      <c r="S16" s="714"/>
      <c r="T16" s="713"/>
      <c r="U16" s="714"/>
      <c r="V16" s="713"/>
      <c r="W16" s="714"/>
      <c r="X16" s="1539"/>
      <c r="Y16" s="3292"/>
      <c r="Z16" s="1540"/>
      <c r="AA16" s="1537">
        <v>1</v>
      </c>
      <c r="AB16" s="1537">
        <v>1</v>
      </c>
      <c r="AC16" s="2148">
        <v>1</v>
      </c>
    </row>
    <row r="17" spans="1:29" ht="15">
      <c r="A17" s="387"/>
      <c r="B17" s="586" t="s">
        <v>1946</v>
      </c>
      <c r="C17" s="2149">
        <f>估价对象房地状况!C6</f>
        <v>0</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331"/>
      <c r="Q17" s="1536" t="str">
        <f>B17</f>
        <v>交通便捷度</v>
      </c>
      <c r="R17" s="713" t="s">
        <v>17</v>
      </c>
      <c r="S17" s="714">
        <f>F17</f>
        <v>100</v>
      </c>
      <c r="T17" s="713" t="s">
        <v>17</v>
      </c>
      <c r="U17" s="714">
        <f>H17</f>
        <v>100</v>
      </c>
      <c r="V17" s="713" t="s">
        <v>17</v>
      </c>
      <c r="W17" s="714">
        <f>J17</f>
        <v>100</v>
      </c>
      <c r="X17" s="1539"/>
      <c r="Y17" s="3292"/>
      <c r="Z17" s="1540" t="str">
        <f>Q17</f>
        <v>交通便捷度</v>
      </c>
      <c r="AA17" s="1537">
        <f t="shared" si="3"/>
        <v>1</v>
      </c>
      <c r="AB17" s="1537">
        <f t="shared" si="4"/>
        <v>1</v>
      </c>
      <c r="AC17" s="2148">
        <f t="shared" si="5"/>
        <v>1</v>
      </c>
    </row>
    <row r="18" spans="1:29" ht="15">
      <c r="A18" s="387"/>
      <c r="B18" s="587"/>
      <c r="C18" s="2150"/>
      <c r="D18" s="409"/>
      <c r="E18" s="2088"/>
      <c r="F18" s="409"/>
      <c r="G18" s="2089"/>
      <c r="H18" s="407"/>
      <c r="I18" s="2089"/>
      <c r="J18" s="407"/>
      <c r="K18" s="572"/>
      <c r="L18" s="2951"/>
      <c r="M18" s="2945"/>
      <c r="N18" s="2945"/>
      <c r="O18" s="2945"/>
      <c r="P18" s="3331"/>
      <c r="Q18" s="1536"/>
      <c r="R18" s="713"/>
      <c r="S18" s="714"/>
      <c r="T18" s="713"/>
      <c r="U18" s="714"/>
      <c r="V18" s="713"/>
      <c r="W18" s="714"/>
      <c r="X18" s="1539"/>
      <c r="Y18" s="3292"/>
      <c r="Z18" s="1540"/>
      <c r="AA18" s="1537">
        <v>1</v>
      </c>
      <c r="AB18" s="1537">
        <v>1</v>
      </c>
      <c r="AC18" s="2148">
        <v>1</v>
      </c>
    </row>
    <row r="19" spans="1:29" ht="15">
      <c r="A19" s="387"/>
      <c r="B19" s="586" t="s">
        <v>2510</v>
      </c>
      <c r="C19" s="2149">
        <f>估价对象房地状况!C7</f>
        <v>0</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331"/>
      <c r="Q19" s="1536" t="str">
        <f>B19</f>
        <v>公共配套设施</v>
      </c>
      <c r="R19" s="713" t="s">
        <v>17</v>
      </c>
      <c r="S19" s="714">
        <f>F19</f>
        <v>100</v>
      </c>
      <c r="T19" s="713" t="s">
        <v>17</v>
      </c>
      <c r="U19" s="714">
        <f>H19</f>
        <v>100</v>
      </c>
      <c r="V19" s="713" t="s">
        <v>17</v>
      </c>
      <c r="W19" s="714">
        <f>J19</f>
        <v>100</v>
      </c>
      <c r="X19" s="1539"/>
      <c r="Y19" s="3292"/>
      <c r="Z19" s="1540" t="str">
        <f>Q19</f>
        <v>公共配套设施</v>
      </c>
      <c r="AA19" s="1537">
        <f t="shared" si="3"/>
        <v>1</v>
      </c>
      <c r="AB19" s="1537">
        <f t="shared" si="4"/>
        <v>1</v>
      </c>
      <c r="AC19" s="2148">
        <f t="shared" si="5"/>
        <v>1</v>
      </c>
    </row>
    <row r="20" spans="1:29" ht="15">
      <c r="A20" s="387"/>
      <c r="B20" s="587"/>
      <c r="C20" s="2090"/>
      <c r="D20" s="407"/>
      <c r="E20" s="2083"/>
      <c r="F20" s="407"/>
      <c r="G20" s="2084"/>
      <c r="H20" s="407"/>
      <c r="I20" s="2084"/>
      <c r="J20" s="407"/>
      <c r="K20" s="572"/>
      <c r="L20" s="2951"/>
      <c r="M20" s="2945"/>
      <c r="N20" s="2945"/>
      <c r="O20" s="2945"/>
      <c r="P20" s="3331"/>
      <c r="Q20" s="1536"/>
      <c r="R20" s="713"/>
      <c r="S20" s="714"/>
      <c r="T20" s="713"/>
      <c r="U20" s="714"/>
      <c r="V20" s="713"/>
      <c r="W20" s="714"/>
      <c r="X20" s="1539"/>
      <c r="Y20" s="3292"/>
      <c r="Z20" s="1540"/>
      <c r="AA20" s="1537">
        <v>1</v>
      </c>
      <c r="AB20" s="1537">
        <v>1</v>
      </c>
      <c r="AC20" s="2148">
        <v>1</v>
      </c>
    </row>
    <row r="21" spans="1:29" ht="15">
      <c r="A21" s="387"/>
      <c r="B21" s="588" t="s">
        <v>2511</v>
      </c>
      <c r="C21" s="2149">
        <f>估价对象房地状况!C8</f>
        <v>0</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331"/>
      <c r="Q21" s="1536" t="str">
        <f>B21</f>
        <v>基础设施水平</v>
      </c>
      <c r="R21" s="713" t="s">
        <v>17</v>
      </c>
      <c r="S21" s="714">
        <f>F21</f>
        <v>100</v>
      </c>
      <c r="T21" s="713" t="s">
        <v>17</v>
      </c>
      <c r="U21" s="714">
        <f>H21</f>
        <v>100</v>
      </c>
      <c r="V21" s="713" t="s">
        <v>17</v>
      </c>
      <c r="W21" s="714">
        <f>J21</f>
        <v>100</v>
      </c>
      <c r="X21" s="1539"/>
      <c r="Y21" s="3292"/>
      <c r="Z21" s="1540" t="str">
        <f>Q21</f>
        <v>基础设施水平</v>
      </c>
      <c r="AA21" s="1537">
        <f t="shared" ref="AA21" si="8">D21/F21</f>
        <v>1</v>
      </c>
      <c r="AB21" s="1537">
        <f t="shared" ref="AB21" si="9">D21/H21</f>
        <v>1</v>
      </c>
      <c r="AC21" s="2148">
        <f t="shared" ref="AC21" si="10">D21/J21</f>
        <v>1</v>
      </c>
    </row>
    <row r="22" spans="1:29" ht="15">
      <c r="A22" s="387"/>
      <c r="B22" s="588"/>
      <c r="C22" s="2150"/>
      <c r="D22" s="407"/>
      <c r="E22" s="406"/>
      <c r="F22" s="407"/>
      <c r="G22" s="2090"/>
      <c r="H22" s="407"/>
      <c r="I22" s="2090"/>
      <c r="J22" s="407"/>
      <c r="K22" s="1290"/>
      <c r="L22" s="2951"/>
      <c r="M22" s="2945"/>
      <c r="N22" s="2945"/>
      <c r="O22" s="2945"/>
      <c r="P22" s="3331"/>
      <c r="Q22" s="1536"/>
      <c r="R22" s="713"/>
      <c r="S22" s="714"/>
      <c r="T22" s="713"/>
      <c r="U22" s="714"/>
      <c r="V22" s="713"/>
      <c r="W22" s="714"/>
      <c r="X22" s="1539"/>
      <c r="Y22" s="3292"/>
      <c r="Z22" s="1540"/>
      <c r="AA22" s="1537">
        <v>1</v>
      </c>
      <c r="AB22" s="1537">
        <v>1</v>
      </c>
      <c r="AC22" s="2148">
        <v>1</v>
      </c>
    </row>
    <row r="23" spans="1:29" ht="15">
      <c r="A23" s="387"/>
      <c r="B23" s="586" t="s">
        <v>2512</v>
      </c>
      <c r="C23" s="2149">
        <f>估价对象房地状况!C9</f>
        <v>0</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331"/>
      <c r="Q23" s="1536" t="str">
        <f>B23</f>
        <v>环境质量</v>
      </c>
      <c r="R23" s="713" t="s">
        <v>17</v>
      </c>
      <c r="S23" s="714">
        <f>F23</f>
        <v>100</v>
      </c>
      <c r="T23" s="713" t="s">
        <v>17</v>
      </c>
      <c r="U23" s="714">
        <f>H23</f>
        <v>100</v>
      </c>
      <c r="V23" s="713" t="s">
        <v>17</v>
      </c>
      <c r="W23" s="714">
        <f>J23</f>
        <v>100</v>
      </c>
      <c r="X23" s="1539"/>
      <c r="Y23" s="3292"/>
      <c r="Z23" s="1540" t="str">
        <f>Q23</f>
        <v>环境质量</v>
      </c>
      <c r="AA23" s="1537">
        <f t="shared" si="3"/>
        <v>1</v>
      </c>
      <c r="AB23" s="1537">
        <f t="shared" si="4"/>
        <v>1</v>
      </c>
      <c r="AC23" s="2148">
        <f t="shared" si="5"/>
        <v>1</v>
      </c>
    </row>
    <row r="24" spans="1:29" ht="15">
      <c r="A24" s="387"/>
      <c r="B24" s="588"/>
      <c r="C24" s="2090"/>
      <c r="D24" s="407"/>
      <c r="E24" s="2083"/>
      <c r="F24" s="407"/>
      <c r="G24" s="2084"/>
      <c r="H24" s="407"/>
      <c r="I24" s="2084"/>
      <c r="J24" s="407"/>
      <c r="K24" s="572"/>
      <c r="L24" s="2951"/>
      <c r="M24" s="2945"/>
      <c r="N24" s="2945"/>
      <c r="O24" s="2945"/>
      <c r="P24" s="3331"/>
      <c r="Q24" s="1536"/>
      <c r="R24" s="713"/>
      <c r="S24" s="714"/>
      <c r="T24" s="713"/>
      <c r="U24" s="714"/>
      <c r="V24" s="713"/>
      <c r="W24" s="714"/>
      <c r="X24" s="1539"/>
      <c r="Y24" s="3292"/>
      <c r="Z24" s="1540"/>
      <c r="AA24" s="1537">
        <v>1</v>
      </c>
      <c r="AB24" s="1537">
        <v>1</v>
      </c>
      <c r="AC24" s="2148">
        <v>1</v>
      </c>
    </row>
    <row r="25" spans="1:29" ht="27">
      <c r="A25" s="364"/>
      <c r="B25" s="586" t="s">
        <v>2513</v>
      </c>
      <c r="C25" s="2094"/>
      <c r="D25" s="394">
        <v>100</v>
      </c>
      <c r="E25" s="393"/>
      <c r="F25" s="394">
        <f>SUMIF(87:87,E26,88:88)-SUMIF(87:87,C26,88:88)+100</f>
        <v>100</v>
      </c>
      <c r="G25" s="2094"/>
      <c r="H25" s="394">
        <f>SUMIF(87:87,G26,88:88)-SUMIF(87:87,C26,88:88)+100</f>
        <v>100</v>
      </c>
      <c r="I25" s="393"/>
      <c r="J25" s="394">
        <f>SUMIF(87:87,I26,88:88)-SUMIF(87:87,C26,88:88)+100</f>
        <v>100</v>
      </c>
      <c r="K25" s="571"/>
      <c r="L25" s="2951"/>
      <c r="M25" s="2945"/>
      <c r="N25" s="2945"/>
      <c r="O25" s="2945"/>
      <c r="P25" s="3331"/>
      <c r="Q25" s="1536" t="str">
        <f>B25</f>
        <v>毗邻道路的类型与等级</v>
      </c>
      <c r="R25" s="713" t="s">
        <v>17</v>
      </c>
      <c r="S25" s="714">
        <f>F25</f>
        <v>100</v>
      </c>
      <c r="T25" s="713" t="s">
        <v>17</v>
      </c>
      <c r="U25" s="714">
        <f>H25</f>
        <v>100</v>
      </c>
      <c r="V25" s="713" t="s">
        <v>17</v>
      </c>
      <c r="W25" s="714">
        <f>J25</f>
        <v>100</v>
      </c>
      <c r="X25" s="1539"/>
      <c r="Y25" s="3292"/>
      <c r="Z25" s="1540" t="str">
        <f>Q25</f>
        <v>毗邻道路的类型与等级</v>
      </c>
      <c r="AA25" s="1537">
        <f t="shared" si="3"/>
        <v>1</v>
      </c>
      <c r="AB25" s="1537">
        <f t="shared" si="4"/>
        <v>1</v>
      </c>
      <c r="AC25" s="2148">
        <f t="shared" si="5"/>
        <v>1</v>
      </c>
    </row>
    <row r="26" spans="1:29" ht="15">
      <c r="A26" s="364"/>
      <c r="B26" s="587"/>
      <c r="C26" s="589"/>
      <c r="D26" s="394"/>
      <c r="E26" s="573"/>
      <c r="F26" s="394"/>
      <c r="G26" s="589"/>
      <c r="H26" s="394"/>
      <c r="I26" s="573"/>
      <c r="J26" s="394"/>
      <c r="K26" s="572"/>
      <c r="L26" s="2951"/>
      <c r="M26" s="2945"/>
      <c r="N26" s="2945"/>
      <c r="O26" s="2945"/>
      <c r="P26" s="3331"/>
      <c r="Q26" s="1536"/>
      <c r="R26" s="713"/>
      <c r="S26" s="714"/>
      <c r="T26" s="713"/>
      <c r="U26" s="714"/>
      <c r="V26" s="713"/>
      <c r="W26" s="714"/>
      <c r="X26" s="1539"/>
      <c r="Y26" s="3292"/>
      <c r="Z26" s="1540"/>
      <c r="AA26" s="1537">
        <v>1</v>
      </c>
      <c r="AB26" s="1537">
        <v>1</v>
      </c>
      <c r="AC26" s="2148">
        <v>1</v>
      </c>
    </row>
    <row r="27" spans="1:29" ht="15">
      <c r="A27" s="387"/>
      <c r="B27" s="587" t="s">
        <v>2481</v>
      </c>
      <c r="C27" s="589"/>
      <c r="D27" s="394">
        <v>100</v>
      </c>
      <c r="E27" s="573"/>
      <c r="F27" s="394">
        <f>SUMIF(89:89,E27,90:90)-SUMIF(89:89,C27,90:90)+100</f>
        <v>100</v>
      </c>
      <c r="G27" s="589"/>
      <c r="H27" s="394">
        <f>SUMIF(89:89,G27,90:90)-SUMIF(89:89,C27,90:90)+100</f>
        <v>100</v>
      </c>
      <c r="I27" s="573"/>
      <c r="J27" s="394">
        <f>SUMIF(89:89,I27,90:90)-SUMIF(89:89,C27,90:90)+100</f>
        <v>100</v>
      </c>
      <c r="K27" s="569"/>
      <c r="L27" s="2951"/>
      <c r="M27" s="2945"/>
      <c r="N27" s="2945"/>
      <c r="O27" s="2945"/>
      <c r="P27" s="3331"/>
      <c r="Q27" s="1536" t="str">
        <f t="shared" ref="Q27:Q47" si="11">B27</f>
        <v>楼层</v>
      </c>
      <c r="R27" s="713" t="s">
        <v>17</v>
      </c>
      <c r="S27" s="714">
        <f>F27</f>
        <v>100</v>
      </c>
      <c r="T27" s="713" t="s">
        <v>17</v>
      </c>
      <c r="U27" s="714">
        <f>H27</f>
        <v>100</v>
      </c>
      <c r="V27" s="713" t="s">
        <v>17</v>
      </c>
      <c r="W27" s="714">
        <f>J27</f>
        <v>100</v>
      </c>
      <c r="X27" s="1539"/>
      <c r="Y27" s="3292"/>
      <c r="Z27" s="1540" t="str">
        <f>Q27</f>
        <v>楼层</v>
      </c>
      <c r="AA27" s="1537">
        <f t="shared" si="3"/>
        <v>1</v>
      </c>
      <c r="AB27" s="1537">
        <f t="shared" si="4"/>
        <v>1</v>
      </c>
      <c r="AC27" s="2148">
        <f t="shared" si="5"/>
        <v>1</v>
      </c>
    </row>
    <row r="28" spans="1:29" s="113" customFormat="1" ht="15">
      <c r="A28" s="390"/>
      <c r="B28" s="586" t="s">
        <v>2514</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331"/>
      <c r="Q28" s="1527" t="str">
        <f t="shared" si="11"/>
        <v>朝向</v>
      </c>
      <c r="R28" s="709" t="s">
        <v>17</v>
      </c>
      <c r="S28" s="710">
        <f>F28</f>
        <v>100</v>
      </c>
      <c r="T28" s="709" t="s">
        <v>17</v>
      </c>
      <c r="U28" s="710">
        <f>H28</f>
        <v>100</v>
      </c>
      <c r="V28" s="709" t="s">
        <v>17</v>
      </c>
      <c r="W28" s="710">
        <f>J28</f>
        <v>100</v>
      </c>
      <c r="X28" s="711"/>
      <c r="Y28" s="3292"/>
      <c r="Z28" s="55" t="str">
        <f>Q28</f>
        <v>朝向</v>
      </c>
      <c r="AA28" s="1537">
        <f>D28/F28</f>
        <v>1</v>
      </c>
      <c r="AB28" s="1537">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331"/>
      <c r="Q29" s="1536">
        <f t="shared" si="11"/>
        <v>111</v>
      </c>
      <c r="R29" s="713" t="s">
        <v>17</v>
      </c>
      <c r="S29" s="714">
        <f t="shared" ref="S29:S47" si="12">F29</f>
        <v>100</v>
      </c>
      <c r="T29" s="713" t="s">
        <v>17</v>
      </c>
      <c r="U29" s="714">
        <f t="shared" ref="U29:U47" si="13">H29</f>
        <v>100</v>
      </c>
      <c r="V29" s="713" t="s">
        <v>17</v>
      </c>
      <c r="W29" s="714">
        <f t="shared" ref="W29:W47" si="14">J29</f>
        <v>100</v>
      </c>
      <c r="X29" s="1539"/>
      <c r="Y29" s="3292"/>
      <c r="Z29" s="1540">
        <f t="shared" ref="Z29:Z47" si="15">Q29</f>
        <v>111</v>
      </c>
      <c r="AA29" s="1537">
        <f t="shared" si="3"/>
        <v>1</v>
      </c>
      <c r="AB29" s="1537">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331"/>
      <c r="Q30" s="1536">
        <f t="shared" si="11"/>
        <v>111</v>
      </c>
      <c r="R30" s="713" t="s">
        <v>17</v>
      </c>
      <c r="S30" s="714">
        <f t="shared" si="12"/>
        <v>100</v>
      </c>
      <c r="T30" s="713" t="s">
        <v>17</v>
      </c>
      <c r="U30" s="714">
        <f t="shared" si="13"/>
        <v>100</v>
      </c>
      <c r="V30" s="713" t="s">
        <v>17</v>
      </c>
      <c r="W30" s="714">
        <f t="shared" si="14"/>
        <v>100</v>
      </c>
      <c r="X30" s="1539"/>
      <c r="Y30" s="3292"/>
      <c r="Z30" s="1540">
        <f t="shared" si="15"/>
        <v>111</v>
      </c>
      <c r="AA30" s="1537">
        <f t="shared" si="3"/>
        <v>1</v>
      </c>
      <c r="AB30" s="1537">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331"/>
      <c r="Q31" s="1536">
        <f t="shared" si="11"/>
        <v>111</v>
      </c>
      <c r="R31" s="713" t="s">
        <v>17</v>
      </c>
      <c r="S31" s="714">
        <f t="shared" si="12"/>
        <v>100</v>
      </c>
      <c r="T31" s="713" t="s">
        <v>17</v>
      </c>
      <c r="U31" s="714">
        <f t="shared" si="13"/>
        <v>100</v>
      </c>
      <c r="V31" s="713" t="s">
        <v>17</v>
      </c>
      <c r="W31" s="714">
        <f t="shared" si="14"/>
        <v>100</v>
      </c>
      <c r="X31" s="1539"/>
      <c r="Y31" s="3292"/>
      <c r="Z31" s="1540">
        <f t="shared" si="15"/>
        <v>111</v>
      </c>
      <c r="AA31" s="1537">
        <f t="shared" si="3"/>
        <v>1</v>
      </c>
      <c r="AB31" s="1537">
        <f t="shared" si="4"/>
        <v>1</v>
      </c>
      <c r="AC31" s="2148">
        <f t="shared" si="5"/>
        <v>1</v>
      </c>
    </row>
    <row r="32" spans="1:29" ht="15.75" thickBot="1">
      <c r="A32" s="395"/>
      <c r="B32" s="590">
        <v>111</v>
      </c>
      <c r="C32" s="2095"/>
      <c r="D32" s="397">
        <v>100</v>
      </c>
      <c r="E32" s="583"/>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331"/>
      <c r="Q32" s="1536">
        <f t="shared" si="11"/>
        <v>111</v>
      </c>
      <c r="R32" s="713" t="s">
        <v>17</v>
      </c>
      <c r="S32" s="714">
        <f t="shared" si="12"/>
        <v>100</v>
      </c>
      <c r="T32" s="713" t="s">
        <v>17</v>
      </c>
      <c r="U32" s="714">
        <f t="shared" si="13"/>
        <v>100</v>
      </c>
      <c r="V32" s="713" t="s">
        <v>17</v>
      </c>
      <c r="W32" s="714">
        <f t="shared" si="14"/>
        <v>100</v>
      </c>
      <c r="X32" s="1539"/>
      <c r="Y32" s="3292"/>
      <c r="Z32" s="1540">
        <f t="shared" si="15"/>
        <v>111</v>
      </c>
      <c r="AA32" s="1537">
        <f t="shared" si="3"/>
        <v>1</v>
      </c>
      <c r="AB32" s="1537">
        <f t="shared" si="4"/>
        <v>1</v>
      </c>
      <c r="AC32" s="2148">
        <f t="shared" si="5"/>
        <v>1</v>
      </c>
    </row>
    <row r="33" spans="1:29" ht="15">
      <c r="A33" s="399" t="s">
        <v>2385</v>
      </c>
      <c r="B33" s="67" t="s">
        <v>2515</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51"/>
      <c r="M33" s="2945"/>
      <c r="N33" s="2945"/>
      <c r="O33" s="2945"/>
      <c r="P33" s="3332" t="s">
        <v>2387</v>
      </c>
      <c r="Q33" s="1536" t="str">
        <f t="shared" si="11"/>
        <v>建筑类型</v>
      </c>
      <c r="R33" s="713" t="s">
        <v>17</v>
      </c>
      <c r="S33" s="714">
        <f t="shared" si="12"/>
        <v>100</v>
      </c>
      <c r="T33" s="713" t="s">
        <v>17</v>
      </c>
      <c r="U33" s="714">
        <f t="shared" si="13"/>
        <v>100</v>
      </c>
      <c r="V33" s="713" t="s">
        <v>17</v>
      </c>
      <c r="W33" s="714">
        <f t="shared" si="14"/>
        <v>100</v>
      </c>
      <c r="X33" s="1539"/>
      <c r="Y33" s="3294" t="s">
        <v>2387</v>
      </c>
      <c r="Z33" s="1540" t="str">
        <f t="shared" si="15"/>
        <v>建筑类型</v>
      </c>
      <c r="AA33" s="1537">
        <f t="shared" si="3"/>
        <v>1</v>
      </c>
      <c r="AB33" s="1537">
        <f t="shared" si="4"/>
        <v>1</v>
      </c>
      <c r="AC33" s="2148">
        <f t="shared" si="5"/>
        <v>1</v>
      </c>
    </row>
    <row r="34" spans="1:29" s="430" customFormat="1" ht="15">
      <c r="A34" s="427"/>
      <c r="B34" s="381" t="s">
        <v>2388</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0"/>
      <c r="M34" s="2952"/>
      <c r="N34" s="2952"/>
      <c r="O34" s="2952"/>
      <c r="P34" s="3333"/>
      <c r="Q34" s="715" t="str">
        <f t="shared" si="11"/>
        <v>项目建筑规模</v>
      </c>
      <c r="R34" s="716" t="s">
        <v>17</v>
      </c>
      <c r="S34" s="717" t="e">
        <f t="shared" si="12"/>
        <v>#N/A</v>
      </c>
      <c r="T34" s="716" t="s">
        <v>17</v>
      </c>
      <c r="U34" s="717" t="e">
        <f t="shared" si="13"/>
        <v>#N/A</v>
      </c>
      <c r="V34" s="716" t="s">
        <v>17</v>
      </c>
      <c r="W34" s="717" t="e">
        <f t="shared" si="14"/>
        <v>#N/A</v>
      </c>
      <c r="X34" s="718"/>
      <c r="Y34" s="3294"/>
      <c r="Z34" s="719" t="str">
        <f t="shared" si="15"/>
        <v>项目建筑规模</v>
      </c>
      <c r="AA34" s="1537" t="e">
        <f t="shared" si="3"/>
        <v>#N/A</v>
      </c>
      <c r="AB34" s="1537" t="e">
        <f t="shared" si="4"/>
        <v>#N/A</v>
      </c>
      <c r="AC34" s="2148" t="e">
        <f t="shared" si="5"/>
        <v>#N/A</v>
      </c>
    </row>
    <row r="35" spans="1:29" ht="15">
      <c r="A35" s="431"/>
      <c r="B35" s="381" t="s">
        <v>2389</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1"/>
      <c r="M35" s="2945"/>
      <c r="N35" s="2945"/>
      <c r="O35" s="2945"/>
      <c r="P35" s="3333"/>
      <c r="Q35" s="1536" t="str">
        <f t="shared" si="11"/>
        <v>建筑结构</v>
      </c>
      <c r="R35" s="713" t="s">
        <v>17</v>
      </c>
      <c r="S35" s="714">
        <f t="shared" si="12"/>
        <v>100</v>
      </c>
      <c r="T35" s="713" t="s">
        <v>17</v>
      </c>
      <c r="U35" s="714">
        <f t="shared" si="13"/>
        <v>100</v>
      </c>
      <c r="V35" s="713" t="s">
        <v>17</v>
      </c>
      <c r="W35" s="714">
        <f t="shared" si="14"/>
        <v>100</v>
      </c>
      <c r="X35" s="1539"/>
      <c r="Y35" s="3294"/>
      <c r="Z35" s="1540" t="str">
        <f t="shared" si="15"/>
        <v>建筑结构</v>
      </c>
      <c r="AA35" s="1537">
        <f t="shared" si="3"/>
        <v>1</v>
      </c>
      <c r="AB35" s="1537">
        <f t="shared" si="4"/>
        <v>1</v>
      </c>
      <c r="AC35" s="2148">
        <f t="shared" si="5"/>
        <v>1</v>
      </c>
    </row>
    <row r="36" spans="1:29" ht="15">
      <c r="A36" s="431"/>
      <c r="B36" s="381" t="s">
        <v>2483</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1"/>
      <c r="M36" s="2945"/>
      <c r="N36" s="2945"/>
      <c r="O36" s="2945"/>
      <c r="P36" s="3333"/>
      <c r="Q36" s="1536" t="str">
        <f t="shared" si="11"/>
        <v>公共部分装修</v>
      </c>
      <c r="R36" s="713" t="s">
        <v>17</v>
      </c>
      <c r="S36" s="714">
        <f t="shared" si="12"/>
        <v>100</v>
      </c>
      <c r="T36" s="713" t="s">
        <v>17</v>
      </c>
      <c r="U36" s="714">
        <f t="shared" si="13"/>
        <v>100</v>
      </c>
      <c r="V36" s="713" t="s">
        <v>17</v>
      </c>
      <c r="W36" s="714">
        <f t="shared" si="14"/>
        <v>100</v>
      </c>
      <c r="X36" s="1539"/>
      <c r="Y36" s="3294"/>
      <c r="Z36" s="1540" t="str">
        <f t="shared" si="15"/>
        <v>公共部分装修</v>
      </c>
      <c r="AA36" s="1537">
        <f t="shared" si="3"/>
        <v>1</v>
      </c>
      <c r="AB36" s="1537">
        <f t="shared" si="4"/>
        <v>1</v>
      </c>
      <c r="AC36" s="2148">
        <f t="shared" si="5"/>
        <v>1</v>
      </c>
    </row>
    <row r="37" spans="1:29" ht="15">
      <c r="A37" s="431"/>
      <c r="B37" s="381" t="s">
        <v>2484</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1"/>
      <c r="M37" s="2945"/>
      <c r="N37" s="2945"/>
      <c r="O37" s="2945"/>
      <c r="P37" s="3333"/>
      <c r="Q37" s="1536" t="str">
        <f t="shared" si="11"/>
        <v>成新度</v>
      </c>
      <c r="R37" s="713" t="s">
        <v>17</v>
      </c>
      <c r="S37" s="714" t="e">
        <f t="shared" si="12"/>
        <v>#N/A</v>
      </c>
      <c r="T37" s="713" t="s">
        <v>17</v>
      </c>
      <c r="U37" s="714" t="e">
        <f t="shared" si="13"/>
        <v>#N/A</v>
      </c>
      <c r="V37" s="713" t="s">
        <v>17</v>
      </c>
      <c r="W37" s="714" t="e">
        <f t="shared" si="14"/>
        <v>#N/A</v>
      </c>
      <c r="X37" s="1539"/>
      <c r="Y37" s="3294"/>
      <c r="Z37" s="1540" t="str">
        <f t="shared" si="15"/>
        <v>成新度</v>
      </c>
      <c r="AA37" s="1537" t="e">
        <f t="shared" si="3"/>
        <v>#N/A</v>
      </c>
      <c r="AB37" s="1537" t="e">
        <f t="shared" si="4"/>
        <v>#N/A</v>
      </c>
      <c r="AC37" s="2148" t="e">
        <f t="shared" si="5"/>
        <v>#N/A</v>
      </c>
    </row>
    <row r="38" spans="1:29" s="113" customFormat="1" ht="15">
      <c r="A38" s="432"/>
      <c r="B38" s="381" t="s">
        <v>2516</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333"/>
      <c r="Q38" s="1527" t="str">
        <f t="shared" si="11"/>
        <v>写字楼等级</v>
      </c>
      <c r="R38" s="709" t="s">
        <v>17</v>
      </c>
      <c r="S38" s="710">
        <f t="shared" si="12"/>
        <v>100</v>
      </c>
      <c r="T38" s="709" t="s">
        <v>17</v>
      </c>
      <c r="U38" s="710">
        <f t="shared" si="13"/>
        <v>100</v>
      </c>
      <c r="V38" s="709" t="s">
        <v>17</v>
      </c>
      <c r="W38" s="710">
        <f t="shared" si="14"/>
        <v>100</v>
      </c>
      <c r="X38" s="711"/>
      <c r="Y38" s="3294"/>
      <c r="Z38" s="55" t="str">
        <f t="shared" si="15"/>
        <v>写字楼等级</v>
      </c>
      <c r="AA38" s="712">
        <f t="shared" si="3"/>
        <v>1</v>
      </c>
      <c r="AB38" s="712">
        <f t="shared" si="4"/>
        <v>1</v>
      </c>
      <c r="AC38" s="2145">
        <f t="shared" si="5"/>
        <v>1</v>
      </c>
    </row>
    <row r="39" spans="1:29" ht="15">
      <c r="A39" s="431"/>
      <c r="B39" s="381" t="s">
        <v>2517</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1"/>
      <c r="M39" s="2945"/>
      <c r="N39" s="2945"/>
      <c r="O39" s="2945"/>
      <c r="P39" s="3333" t="s">
        <v>2387</v>
      </c>
      <c r="Q39" s="1536" t="str">
        <f t="shared" si="11"/>
        <v>物业管理</v>
      </c>
      <c r="R39" s="713" t="s">
        <v>17</v>
      </c>
      <c r="S39" s="714">
        <f t="shared" si="12"/>
        <v>100</v>
      </c>
      <c r="T39" s="713" t="s">
        <v>17</v>
      </c>
      <c r="U39" s="714">
        <f t="shared" si="13"/>
        <v>100</v>
      </c>
      <c r="V39" s="713" t="s">
        <v>17</v>
      </c>
      <c r="W39" s="714">
        <f t="shared" si="14"/>
        <v>100</v>
      </c>
      <c r="X39" s="1539"/>
      <c r="Y39" s="3294" t="s">
        <v>2387</v>
      </c>
      <c r="Z39" s="1540" t="str">
        <f t="shared" si="15"/>
        <v>物业管理</v>
      </c>
      <c r="AA39" s="1537">
        <f t="shared" si="3"/>
        <v>1</v>
      </c>
      <c r="AB39" s="1537">
        <f t="shared" si="4"/>
        <v>1</v>
      </c>
      <c r="AC39" s="2148">
        <f t="shared" si="5"/>
        <v>1</v>
      </c>
    </row>
    <row r="40" spans="1:29" ht="15">
      <c r="A40" s="431"/>
      <c r="B40" s="381" t="s">
        <v>2485</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333"/>
      <c r="Q40" s="1536" t="str">
        <f t="shared" si="11"/>
        <v>市政基础设施</v>
      </c>
      <c r="R40" s="713" t="s">
        <v>17</v>
      </c>
      <c r="S40" s="714">
        <f t="shared" si="12"/>
        <v>100</v>
      </c>
      <c r="T40" s="713" t="s">
        <v>17</v>
      </c>
      <c r="U40" s="714">
        <f t="shared" si="13"/>
        <v>100</v>
      </c>
      <c r="V40" s="713" t="s">
        <v>17</v>
      </c>
      <c r="W40" s="714">
        <f t="shared" si="14"/>
        <v>100</v>
      </c>
      <c r="X40" s="1539"/>
      <c r="Y40" s="3294"/>
      <c r="Z40" s="1540" t="str">
        <f t="shared" si="15"/>
        <v>市政基础设施</v>
      </c>
      <c r="AA40" s="1537">
        <f t="shared" si="3"/>
        <v>1</v>
      </c>
      <c r="AB40" s="1537">
        <f t="shared" si="4"/>
        <v>1</v>
      </c>
      <c r="AC40" s="2148">
        <f t="shared" si="5"/>
        <v>1</v>
      </c>
    </row>
    <row r="41" spans="1:29" ht="15">
      <c r="A41" s="431"/>
      <c r="B41" s="381" t="s">
        <v>2487</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1"/>
      <c r="M41" s="2945"/>
      <c r="N41" s="2945"/>
      <c r="O41" s="2945"/>
      <c r="P41" s="3333"/>
      <c r="Q41" s="1536" t="str">
        <f t="shared" si="11"/>
        <v>层高</v>
      </c>
      <c r="R41" s="713" t="s">
        <v>17</v>
      </c>
      <c r="S41" s="714">
        <f t="shared" si="12"/>
        <v>100</v>
      </c>
      <c r="T41" s="713" t="s">
        <v>17</v>
      </c>
      <c r="U41" s="714">
        <f t="shared" si="13"/>
        <v>100</v>
      </c>
      <c r="V41" s="713" t="s">
        <v>17</v>
      </c>
      <c r="W41" s="714">
        <f t="shared" si="14"/>
        <v>100</v>
      </c>
      <c r="X41" s="1539"/>
      <c r="Y41" s="3294"/>
      <c r="Z41" s="1540" t="str">
        <f t="shared" si="15"/>
        <v>层高</v>
      </c>
      <c r="AA41" s="1537">
        <f t="shared" si="3"/>
        <v>1</v>
      </c>
      <c r="AB41" s="1537">
        <f t="shared" si="4"/>
        <v>1</v>
      </c>
      <c r="AC41" s="2148">
        <f t="shared" si="5"/>
        <v>1</v>
      </c>
    </row>
    <row r="42" spans="1:29" s="430" customFormat="1" ht="15">
      <c r="A42" s="427"/>
      <c r="B42" s="1538" t="s">
        <v>2518</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333"/>
      <c r="Q42" s="715" t="str">
        <f t="shared" si="11"/>
        <v>单套建筑面积</v>
      </c>
      <c r="R42" s="716" t="s">
        <v>17</v>
      </c>
      <c r="S42" s="717">
        <f t="shared" si="12"/>
        <v>100</v>
      </c>
      <c r="T42" s="716" t="s">
        <v>17</v>
      </c>
      <c r="U42" s="717">
        <f t="shared" si="13"/>
        <v>100</v>
      </c>
      <c r="V42" s="716" t="s">
        <v>17</v>
      </c>
      <c r="W42" s="717">
        <f t="shared" si="14"/>
        <v>100</v>
      </c>
      <c r="X42" s="718"/>
      <c r="Y42" s="3294"/>
      <c r="Z42" s="719" t="str">
        <f t="shared" si="15"/>
        <v>单套建筑面积</v>
      </c>
      <c r="AA42" s="1537">
        <f t="shared" si="3"/>
        <v>1</v>
      </c>
      <c r="AB42" s="1537">
        <f t="shared" si="4"/>
        <v>1</v>
      </c>
      <c r="AC42" s="2148">
        <f t="shared" si="5"/>
        <v>1</v>
      </c>
    </row>
    <row r="43" spans="1:29" ht="15">
      <c r="A43" s="431"/>
      <c r="B43" s="381" t="s">
        <v>2490</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1"/>
      <c r="M43" s="2945"/>
      <c r="N43" s="2945"/>
      <c r="O43" s="2945"/>
      <c r="P43" s="3333"/>
      <c r="Q43" s="1536" t="str">
        <f t="shared" si="11"/>
        <v>内部装修</v>
      </c>
      <c r="R43" s="713" t="s">
        <v>17</v>
      </c>
      <c r="S43" s="714">
        <f t="shared" si="12"/>
        <v>100</v>
      </c>
      <c r="T43" s="713" t="s">
        <v>17</v>
      </c>
      <c r="U43" s="714">
        <f t="shared" si="13"/>
        <v>100</v>
      </c>
      <c r="V43" s="713" t="s">
        <v>17</v>
      </c>
      <c r="W43" s="714">
        <f t="shared" si="14"/>
        <v>100</v>
      </c>
      <c r="X43" s="1539"/>
      <c r="Y43" s="3294"/>
      <c r="Z43" s="1540" t="str">
        <f t="shared" si="15"/>
        <v>内部装修</v>
      </c>
      <c r="AA43" s="1537">
        <f t="shared" si="3"/>
        <v>1</v>
      </c>
      <c r="AB43" s="1537">
        <f t="shared" si="4"/>
        <v>1</v>
      </c>
      <c r="AC43" s="2148">
        <f t="shared" si="5"/>
        <v>1</v>
      </c>
    </row>
    <row r="44" spans="1:29" ht="15">
      <c r="A44" s="431"/>
      <c r="B44" s="381" t="s">
        <v>2398</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51"/>
      <c r="M44" s="2945"/>
      <c r="N44" s="2945"/>
      <c r="O44" s="2945"/>
      <c r="P44" s="3333"/>
      <c r="Q44" s="1536" t="str">
        <f t="shared" si="11"/>
        <v>内部装修维护情况</v>
      </c>
      <c r="R44" s="713" t="s">
        <v>17</v>
      </c>
      <c r="S44" s="714">
        <f t="shared" si="12"/>
        <v>100</v>
      </c>
      <c r="T44" s="713" t="s">
        <v>17</v>
      </c>
      <c r="U44" s="714">
        <f t="shared" si="13"/>
        <v>100</v>
      </c>
      <c r="V44" s="713" t="s">
        <v>17</v>
      </c>
      <c r="W44" s="714">
        <f t="shared" si="14"/>
        <v>100</v>
      </c>
      <c r="X44" s="1539"/>
      <c r="Y44" s="3294"/>
      <c r="Z44" s="1540" t="str">
        <f t="shared" si="15"/>
        <v>内部装修维护情况</v>
      </c>
      <c r="AA44" s="1537">
        <f t="shared" si="3"/>
        <v>1</v>
      </c>
      <c r="AB44" s="1537">
        <f t="shared" si="4"/>
        <v>1</v>
      </c>
      <c r="AC44" s="2148">
        <f t="shared" si="5"/>
        <v>1</v>
      </c>
    </row>
    <row r="45" spans="1:29" s="113" customFormat="1" ht="15">
      <c r="A45" s="432"/>
      <c r="B45" s="1293">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333"/>
      <c r="Q45" s="1527">
        <f t="shared" si="11"/>
        <v>111</v>
      </c>
      <c r="R45" s="709" t="s">
        <v>17</v>
      </c>
      <c r="S45" s="710">
        <f t="shared" si="12"/>
        <v>100</v>
      </c>
      <c r="T45" s="709" t="s">
        <v>17</v>
      </c>
      <c r="U45" s="710">
        <f t="shared" si="13"/>
        <v>100</v>
      </c>
      <c r="V45" s="709" t="s">
        <v>17</v>
      </c>
      <c r="W45" s="710">
        <f t="shared" si="14"/>
        <v>100</v>
      </c>
      <c r="X45" s="711"/>
      <c r="Y45" s="3294"/>
      <c r="Z45" s="55">
        <f t="shared" si="15"/>
        <v>111</v>
      </c>
      <c r="AA45" s="712">
        <f t="shared" si="3"/>
        <v>1</v>
      </c>
      <c r="AB45" s="712">
        <f t="shared" si="4"/>
        <v>1</v>
      </c>
      <c r="AC45" s="2145">
        <f t="shared" si="5"/>
        <v>1</v>
      </c>
    </row>
    <row r="46" spans="1:29" ht="15">
      <c r="A46" s="431"/>
      <c r="B46" s="1293">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333"/>
      <c r="Q46" s="1536">
        <f t="shared" si="11"/>
        <v>111</v>
      </c>
      <c r="R46" s="713" t="s">
        <v>17</v>
      </c>
      <c r="S46" s="714">
        <f t="shared" si="12"/>
        <v>100</v>
      </c>
      <c r="T46" s="713" t="s">
        <v>17</v>
      </c>
      <c r="U46" s="714">
        <f t="shared" si="13"/>
        <v>100</v>
      </c>
      <c r="V46" s="713" t="s">
        <v>17</v>
      </c>
      <c r="W46" s="714">
        <f t="shared" si="14"/>
        <v>100</v>
      </c>
      <c r="X46" s="1539"/>
      <c r="Y46" s="3294"/>
      <c r="Z46" s="1540">
        <f t="shared" si="15"/>
        <v>111</v>
      </c>
      <c r="AA46" s="1537">
        <f t="shared" si="3"/>
        <v>1</v>
      </c>
      <c r="AB46" s="1537">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334"/>
      <c r="Q47" s="1536">
        <f t="shared" si="11"/>
        <v>111</v>
      </c>
      <c r="R47" s="713" t="s">
        <v>17</v>
      </c>
      <c r="S47" s="714">
        <f t="shared" si="12"/>
        <v>100</v>
      </c>
      <c r="T47" s="713" t="s">
        <v>17</v>
      </c>
      <c r="U47" s="714">
        <f t="shared" si="13"/>
        <v>100</v>
      </c>
      <c r="V47" s="713" t="s">
        <v>17</v>
      </c>
      <c r="W47" s="714">
        <f t="shared" si="14"/>
        <v>100</v>
      </c>
      <c r="X47" s="1539"/>
      <c r="Y47" s="3335"/>
      <c r="Z47" s="1540">
        <f t="shared" si="15"/>
        <v>111</v>
      </c>
      <c r="AA47" s="1537">
        <f t="shared" si="3"/>
        <v>1</v>
      </c>
      <c r="AB47" s="1537">
        <f t="shared" si="4"/>
        <v>1</v>
      </c>
      <c r="AC47" s="2148">
        <f t="shared" si="5"/>
        <v>1</v>
      </c>
    </row>
    <row r="48" spans="1:29" ht="15">
      <c r="A48" s="438" t="s">
        <v>2399</v>
      </c>
      <c r="B48" s="439"/>
      <c r="C48" s="1314" t="s">
        <v>1</v>
      </c>
      <c r="D48" s="1315"/>
      <c r="E48" s="1316"/>
      <c r="F48" s="1317"/>
      <c r="G48" s="1318"/>
      <c r="H48" s="1319"/>
      <c r="I48" s="1316"/>
      <c r="J48" s="444"/>
      <c r="K48" s="722"/>
      <c r="L48" s="2953"/>
      <c r="M48" s="2945"/>
      <c r="N48" s="2945"/>
      <c r="O48" s="2945"/>
      <c r="P48" s="3300" t="str">
        <f>A48</f>
        <v>成交单价（元/平方米）</v>
      </c>
      <c r="Q48" s="3276"/>
      <c r="R48" s="3336">
        <f>E48</f>
        <v>0</v>
      </c>
      <c r="S48" s="3336"/>
      <c r="T48" s="3336">
        <f>G48</f>
        <v>0</v>
      </c>
      <c r="U48" s="3336"/>
      <c r="V48" s="3336">
        <f>I48</f>
        <v>0</v>
      </c>
      <c r="W48" s="3336"/>
      <c r="X48" s="405"/>
      <c r="Y48" s="720"/>
      <c r="Z48" s="405"/>
      <c r="AA48" s="405"/>
      <c r="AB48" s="405"/>
      <c r="AC48" s="585"/>
    </row>
    <row r="49" spans="1:29" ht="15.75" thickBot="1">
      <c r="A49" s="445" t="s">
        <v>2491</v>
      </c>
      <c r="B49" s="446"/>
      <c r="C49" s="1320" t="e">
        <f>R50</f>
        <v>#DIV/0!</v>
      </c>
      <c r="D49" s="2538" t="s">
        <v>2879</v>
      </c>
      <c r="E49" s="1321" t="e">
        <f>R49</f>
        <v>#DIV/0!</v>
      </c>
      <c r="F49" s="2539"/>
      <c r="G49" s="1320" t="e">
        <f>T49</f>
        <v>#DIV/0!</v>
      </c>
      <c r="H49" s="2539"/>
      <c r="I49" s="1321" t="e">
        <f>V49</f>
        <v>#DIV/0!</v>
      </c>
      <c r="J49" s="2539"/>
      <c r="K49" s="2541">
        <f>F49+H49+J49</f>
        <v>0</v>
      </c>
      <c r="L49" s="2953"/>
      <c r="M49" s="2945"/>
      <c r="N49" s="2945"/>
      <c r="O49" s="2945"/>
      <c r="P49" s="3300" t="str">
        <f>A49</f>
        <v>比较价值（元/平方米）</v>
      </c>
      <c r="Q49" s="3276"/>
      <c r="R49" s="3336" t="e">
        <f>IF(F1="售价",ROUND(PRODUCT(R48,AA7:AA47),0),ROUND(PRODUCT(R48,AA7:AA47),1))</f>
        <v>#DIV/0!</v>
      </c>
      <c r="S49" s="3336"/>
      <c r="T49" s="3336" t="e">
        <f>IF(F1="售价",ROUND(PRODUCT(T48,AB7:AB47),0),ROUND(PRODUCT(T48,AB7:AB47),1))</f>
        <v>#DIV/0!</v>
      </c>
      <c r="U49" s="3336"/>
      <c r="V49" s="3336" t="e">
        <f>IF(F1="售价",ROUND(PRODUCT(V48,AC7:AC47),0),ROUND(PRODUCT(V48,AC7:AC47),1))</f>
        <v>#DIV/0!</v>
      </c>
      <c r="W49" s="3336"/>
      <c r="X49" s="405"/>
      <c r="Y49" s="405"/>
      <c r="Z49" s="405"/>
      <c r="AA49" s="405"/>
      <c r="AB49" s="405"/>
      <c r="AC49" s="585"/>
    </row>
    <row r="50" spans="1:29" ht="15.75" thickBot="1">
      <c r="A50" s="449" t="s">
        <v>2492</v>
      </c>
      <c r="B50" s="450"/>
      <c r="C50" s="1323" t="e">
        <f>R50</f>
        <v>#DIV/0!</v>
      </c>
      <c r="D50" s="1323"/>
      <c r="E50" s="1323"/>
      <c r="F50" s="1323"/>
      <c r="G50" s="1323"/>
      <c r="H50" s="1323"/>
      <c r="I50" s="1323"/>
      <c r="J50" s="451"/>
      <c r="K50" s="723"/>
      <c r="L50" s="2953"/>
      <c r="M50" s="2945"/>
      <c r="N50" s="2945"/>
      <c r="O50" s="2945"/>
      <c r="P50" s="3378" t="str">
        <f>A50</f>
        <v>估价对象XX用房的比较价值（楼面单价，元/平方米）</v>
      </c>
      <c r="Q50" s="3379"/>
      <c r="R50" s="3380" t="e">
        <f>IF(F1="售价",ROUND(IF(D49="简单平均",AVERAGE(R49:V49),R49*F49+T49*H49+V49*J49),0),ROUND(IF(D49="简单平均",AVERAGE(R49:V49),R49*F49+T49*H49+V49*J49),1))</f>
        <v>#DIV/0!</v>
      </c>
      <c r="S50" s="3380"/>
      <c r="T50" s="3380"/>
      <c r="U50" s="3380"/>
      <c r="V50" s="3380"/>
      <c r="W50" s="3380"/>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2493</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2494</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2495</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2" t="s">
        <v>2496</v>
      </c>
      <c r="B58" s="698"/>
      <c r="C58" s="703"/>
      <c r="D58" s="703"/>
      <c r="E58" s="703"/>
      <c r="F58" s="704"/>
      <c r="G58" s="704"/>
      <c r="H58" s="703"/>
      <c r="I58" s="703"/>
      <c r="J58" s="703"/>
      <c r="K58" s="705"/>
      <c r="L58" s="1072"/>
      <c r="M58" s="1070"/>
      <c r="N58" s="2998"/>
      <c r="O58" s="2998"/>
      <c r="P58" s="2987"/>
      <c r="Q58" s="2968"/>
      <c r="R58" s="2954"/>
      <c r="S58" s="2954"/>
      <c r="T58" s="2954"/>
      <c r="U58" s="2954"/>
      <c r="V58" s="2954"/>
      <c r="W58" s="2954"/>
      <c r="X58" s="2954"/>
      <c r="Y58" s="2954"/>
      <c r="Z58" s="2954"/>
      <c r="AA58" s="2954"/>
      <c r="AB58" s="2954"/>
      <c r="AC58" s="2954"/>
    </row>
    <row r="59" spans="1:29" s="465" customFormat="1" ht="15">
      <c r="A59" s="462" t="s">
        <v>2370</v>
      </c>
      <c r="B59" s="463"/>
      <c r="C59" s="1344" t="str">
        <f>YEAR(C7)&amp;"-"&amp;MONTH(C7)</f>
        <v>2021-1</v>
      </c>
      <c r="D59" s="1345">
        <f>EDATE(C59,-1)</f>
        <v>44166</v>
      </c>
      <c r="E59" s="1345">
        <f>EDATE(D59,-1)</f>
        <v>44136</v>
      </c>
      <c r="F59" s="1345">
        <f t="shared" ref="F59:O59" si="16">EDATE(E59,-1)</f>
        <v>44105</v>
      </c>
      <c r="G59" s="1345">
        <f t="shared" si="16"/>
        <v>44075</v>
      </c>
      <c r="H59" s="1345">
        <f t="shared" si="16"/>
        <v>44044</v>
      </c>
      <c r="I59" s="1345">
        <f t="shared" si="16"/>
        <v>44013</v>
      </c>
      <c r="J59" s="1345">
        <f t="shared" si="16"/>
        <v>43983</v>
      </c>
      <c r="K59" s="1345">
        <f t="shared" si="16"/>
        <v>43952</v>
      </c>
      <c r="L59" s="1345">
        <f t="shared" si="16"/>
        <v>43922</v>
      </c>
      <c r="M59" s="1345">
        <f t="shared" si="16"/>
        <v>43891</v>
      </c>
      <c r="N59" s="1345">
        <f t="shared" si="16"/>
        <v>43862</v>
      </c>
      <c r="O59" s="1345">
        <f t="shared" si="16"/>
        <v>43831</v>
      </c>
      <c r="P59" s="2988"/>
      <c r="Q59" s="2970"/>
      <c r="R59" s="2970"/>
      <c r="S59" s="2970"/>
      <c r="T59" s="2970"/>
      <c r="U59" s="2970"/>
      <c r="V59" s="2970"/>
      <c r="W59" s="2970"/>
      <c r="X59" s="2970"/>
      <c r="Y59" s="2970"/>
      <c r="Z59" s="2970"/>
      <c r="AA59" s="2970"/>
      <c r="AB59" s="2970"/>
      <c r="AC59" s="2970"/>
    </row>
    <row r="60" spans="1:29" s="113" customFormat="1" ht="15">
      <c r="A60" s="466"/>
      <c r="B60" s="467"/>
      <c r="C60" s="1343">
        <v>100</v>
      </c>
      <c r="D60" s="469"/>
      <c r="E60" s="469"/>
      <c r="F60" s="469"/>
      <c r="G60" s="469"/>
      <c r="H60" s="469"/>
      <c r="I60" s="469"/>
      <c r="J60" s="469"/>
      <c r="K60" s="469"/>
      <c r="L60" s="469"/>
      <c r="M60" s="470"/>
      <c r="N60" s="469"/>
      <c r="O60" s="470"/>
      <c r="P60" s="2989"/>
      <c r="Q60" s="2888"/>
      <c r="R60" s="2888"/>
      <c r="S60" s="2888"/>
      <c r="T60" s="2888"/>
      <c r="U60" s="2888"/>
      <c r="V60" s="2888"/>
      <c r="W60" s="2888"/>
      <c r="X60" s="2888"/>
      <c r="Y60" s="2888"/>
      <c r="Z60" s="2888"/>
      <c r="AA60" s="2888"/>
      <c r="AB60" s="2888"/>
      <c r="AC60" s="2888"/>
    </row>
    <row r="61" spans="1:29" s="113" customFormat="1" ht="15.75" thickBot="1">
      <c r="A61" s="472" t="s">
        <v>2407</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2372</v>
      </c>
      <c r="B62" s="467"/>
      <c r="C62" s="479" t="s">
        <v>2474</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2410</v>
      </c>
      <c r="B64" s="485" t="s">
        <v>2376</v>
      </c>
      <c r="C64" s="486">
        <f>C9</f>
        <v>0</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2379</v>
      </c>
      <c r="C66" s="496" t="s">
        <v>2411</v>
      </c>
      <c r="D66" s="496" t="s">
        <v>2412</v>
      </c>
      <c r="E66" s="496" t="s">
        <v>2413</v>
      </c>
      <c r="F66" s="496" t="s">
        <v>2414</v>
      </c>
      <c r="G66" s="496" t="s">
        <v>2415</v>
      </c>
      <c r="H66" s="496" t="s">
        <v>2416</v>
      </c>
      <c r="I66" s="496" t="s">
        <v>2417</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2380</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c r="D69" s="506"/>
      <c r="E69" s="506"/>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2381</v>
      </c>
      <c r="B77" s="485" t="s">
        <v>2519</v>
      </c>
      <c r="C77" s="530" t="s">
        <v>2419</v>
      </c>
      <c r="D77" s="530" t="s">
        <v>2420</v>
      </c>
      <c r="E77" s="530" t="s">
        <v>2421</v>
      </c>
      <c r="F77" s="530" t="s">
        <v>2422</v>
      </c>
      <c r="G77" s="530" t="s">
        <v>2423</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2424</v>
      </c>
      <c r="C79" s="535" t="s">
        <v>2419</v>
      </c>
      <c r="D79" s="535" t="s">
        <v>2420</v>
      </c>
      <c r="E79" s="535" t="s">
        <v>2421</v>
      </c>
      <c r="F79" s="535" t="s">
        <v>2422</v>
      </c>
      <c r="G79" s="535" t="s">
        <v>2423</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2425</v>
      </c>
      <c r="C81" s="535" t="s">
        <v>2419</v>
      </c>
      <c r="D81" s="535" t="s">
        <v>2420</v>
      </c>
      <c r="E81" s="535" t="s">
        <v>2421</v>
      </c>
      <c r="F81" s="535" t="s">
        <v>2422</v>
      </c>
      <c r="G81" s="535" t="s">
        <v>2423</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2511</v>
      </c>
      <c r="C83" s="615" t="s">
        <v>2497</v>
      </c>
      <c r="D83" s="615" t="s">
        <v>2498</v>
      </c>
      <c r="E83" s="615" t="s">
        <v>2499</v>
      </c>
      <c r="F83" s="615" t="s">
        <v>2500</v>
      </c>
      <c r="G83" s="615" t="s">
        <v>2501</v>
      </c>
      <c r="H83" s="496"/>
      <c r="I83" s="496"/>
      <c r="J83" s="496"/>
      <c r="K83" s="496"/>
      <c r="L83" s="496"/>
      <c r="M83" s="1289"/>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5"/>
      <c r="I84" s="615"/>
      <c r="J84" s="615"/>
      <c r="K84" s="615"/>
      <c r="L84" s="615"/>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2520</v>
      </c>
      <c r="C85" s="535" t="s">
        <v>2419</v>
      </c>
      <c r="D85" s="535" t="s">
        <v>2420</v>
      </c>
      <c r="E85" s="535" t="s">
        <v>2421</v>
      </c>
      <c r="F85" s="535" t="s">
        <v>2422</v>
      </c>
      <c r="G85" s="535" t="s">
        <v>2423</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2521</v>
      </c>
      <c r="C87" s="511"/>
      <c r="D87" s="511"/>
      <c r="E87" s="511"/>
      <c r="F87" s="511"/>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2385</v>
      </c>
      <c r="B101" s="485" t="s">
        <v>2434</v>
      </c>
      <c r="C101" s="487"/>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15.75" thickTop="1">
      <c r="A103" s="491"/>
      <c r="B103" s="495" t="s">
        <v>2435</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7"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c r="D104" s="552"/>
      <c r="E104" s="552"/>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c r="D105" s="493"/>
      <c r="E105" s="493"/>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2436</v>
      </c>
      <c r="C106" s="511"/>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2438</v>
      </c>
      <c r="C108" s="511"/>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8"/>
      <c r="J111" s="578"/>
      <c r="K111" s="579"/>
      <c r="L111" s="580"/>
      <c r="M111" s="581"/>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2522</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2439</v>
      </c>
      <c r="C115" s="511"/>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2440</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1" t="s">
        <v>2523</v>
      </c>
      <c r="C119" s="540"/>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2506</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2442</v>
      </c>
      <c r="C123" s="511"/>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2443</v>
      </c>
      <c r="C125" s="535" t="s">
        <v>2419</v>
      </c>
      <c r="D125" s="535" t="s">
        <v>2420</v>
      </c>
      <c r="E125" s="535" t="s">
        <v>2421</v>
      </c>
      <c r="F125" s="535" t="s">
        <v>2422</v>
      </c>
      <c r="G125" s="535" t="s">
        <v>2423</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2350</v>
      </c>
      <c r="B1" s="2143" t="s">
        <v>2524</v>
      </c>
      <c r="C1" s="1390" t="s">
        <v>2352</v>
      </c>
      <c r="D1" s="1391"/>
      <c r="E1" s="1400"/>
      <c r="F1" s="2065"/>
      <c r="G1" s="1401" t="s">
        <v>2465</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8" customFormat="1" ht="28.5" customHeight="1" thickTop="1">
      <c r="A2" s="1387" t="s">
        <v>2149</v>
      </c>
      <c r="B2" s="1324" t="e">
        <f ca="1">IF(C2="——",ROUND(C43*D3/10000,0),ROUND(C43*D3/10000,0)-D2)</f>
        <v>#DIV/0!</v>
      </c>
      <c r="C2" s="2067"/>
      <c r="D2" s="1037" t="e">
        <f ca="1">SUMIF(INDIRECT("'"&amp;F2&amp;"'"&amp;"!A:A"),"承租人权益价值",INDIRECT("'"&amp;F2&amp;"'"&amp;"!c:c"))</f>
        <v>#REF!</v>
      </c>
      <c r="E2" s="2068" t="s">
        <v>2150</v>
      </c>
      <c r="F2" s="2069"/>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8" customFormat="1" ht="28.5" customHeight="1" thickBot="1">
      <c r="A3" s="209" t="s">
        <v>2151</v>
      </c>
      <c r="B3" s="566" t="e">
        <f ca="1">IF(C2="——",C43,ROUND(B2*10000/D3,0))</f>
        <v>#DIV/0!</v>
      </c>
      <c r="C3" s="360" t="s">
        <v>2466</v>
      </c>
      <c r="D3" s="359">
        <f>IF(D1="",'数据-汇总表'!E3,SUMIF('数据-汇总表'!$C19:$C33,D1,'数据-汇总表'!$E19:$E33))</f>
        <v>27960.83</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1" t="s">
        <v>2467</v>
      </c>
      <c r="B4" s="362"/>
      <c r="C4" s="3277" t="s">
        <v>2468</v>
      </c>
      <c r="D4" s="3278"/>
      <c r="E4" s="3279" t="s">
        <v>2469</v>
      </c>
      <c r="F4" s="3280"/>
      <c r="G4" s="3277" t="s">
        <v>2470</v>
      </c>
      <c r="H4" s="3278"/>
      <c r="I4" s="3277" t="s">
        <v>2471</v>
      </c>
      <c r="J4" s="3278"/>
      <c r="K4" s="567" t="s">
        <v>2472</v>
      </c>
      <c r="L4" s="1043"/>
      <c r="M4" s="1044"/>
      <c r="N4" s="1044"/>
      <c r="O4" s="1044"/>
      <c r="P4" s="3281" t="s">
        <v>2473</v>
      </c>
      <c r="Q4" s="3282"/>
      <c r="R4" s="3264" t="s">
        <v>2469</v>
      </c>
      <c r="S4" s="3265"/>
      <c r="T4" s="3264" t="s">
        <v>2470</v>
      </c>
      <c r="U4" s="3265"/>
      <c r="V4" s="3289" t="s">
        <v>2471</v>
      </c>
      <c r="W4" s="3289"/>
      <c r="X4" s="1539"/>
      <c r="Y4" s="3264" t="s">
        <v>2473</v>
      </c>
      <c r="Z4" s="3265"/>
      <c r="AA4" s="3259" t="s">
        <v>2469</v>
      </c>
      <c r="AB4" s="3260" t="s">
        <v>2470</v>
      </c>
      <c r="AC4" s="3259" t="s">
        <v>2471</v>
      </c>
    </row>
    <row r="5" spans="1:29" ht="15">
      <c r="A5" s="364"/>
      <c r="B5" s="365"/>
      <c r="C5" s="3270" t="s">
        <v>2364</v>
      </c>
      <c r="D5" s="3271"/>
      <c r="E5" s="3268" t="s">
        <v>2365</v>
      </c>
      <c r="F5" s="3269"/>
      <c r="G5" s="3270" t="s">
        <v>2366</v>
      </c>
      <c r="H5" s="3271"/>
      <c r="I5" s="3270" t="s">
        <v>2367</v>
      </c>
      <c r="J5" s="3271"/>
      <c r="K5" s="567"/>
      <c r="L5" s="1043"/>
      <c r="M5" s="1044"/>
      <c r="N5" s="1044"/>
      <c r="O5" s="1044"/>
      <c r="P5" s="3283"/>
      <c r="Q5" s="3284"/>
      <c r="R5" s="3266"/>
      <c r="S5" s="3267"/>
      <c r="T5" s="3266"/>
      <c r="U5" s="3267"/>
      <c r="V5" s="3289"/>
      <c r="W5" s="3289"/>
      <c r="X5" s="1539"/>
      <c r="Y5" s="3266"/>
      <c r="Z5" s="3267"/>
      <c r="AA5" s="3260"/>
      <c r="AB5" s="3260"/>
      <c r="AC5" s="3260"/>
    </row>
    <row r="6" spans="1:29" ht="15.75" thickBot="1">
      <c r="A6" s="366"/>
      <c r="B6" s="367"/>
      <c r="C6" s="3272" t="s">
        <v>2368</v>
      </c>
      <c r="D6" s="3273"/>
      <c r="E6" s="3274" t="s">
        <v>2368</v>
      </c>
      <c r="F6" s="3275"/>
      <c r="G6" s="3272" t="s">
        <v>2368</v>
      </c>
      <c r="H6" s="3273"/>
      <c r="I6" s="3272" t="s">
        <v>2368</v>
      </c>
      <c r="J6" s="3273"/>
      <c r="K6" s="567" t="s">
        <v>2369</v>
      </c>
      <c r="L6" s="1043"/>
      <c r="M6" s="1044"/>
      <c r="N6" s="1044"/>
      <c r="O6" s="1044"/>
      <c r="P6" s="3285"/>
      <c r="Q6" s="3286"/>
      <c r="R6" s="3266"/>
      <c r="S6" s="3267"/>
      <c r="T6" s="3287"/>
      <c r="U6" s="3288"/>
      <c r="V6" s="3289"/>
      <c r="W6" s="3289"/>
      <c r="X6" s="1539"/>
      <c r="Y6" s="3287"/>
      <c r="Z6" s="3288"/>
      <c r="AA6" s="3261"/>
      <c r="AB6" s="3261"/>
      <c r="AC6" s="3261"/>
    </row>
    <row r="7" spans="1:29" s="113" customFormat="1" ht="15.75" thickBot="1">
      <c r="A7" s="368" t="s">
        <v>2370</v>
      </c>
      <c r="B7" s="369"/>
      <c r="C7" s="370">
        <f>'数据-取费表'!B2</f>
        <v>44224</v>
      </c>
      <c r="D7" s="371">
        <v>100</v>
      </c>
      <c r="E7" s="372"/>
      <c r="F7" s="373">
        <f>SUMIF(52:52,YEAR(E7)&amp;"-"&amp;MONTH(E7),53:53)</f>
        <v>0</v>
      </c>
      <c r="G7" s="372"/>
      <c r="H7" s="371">
        <f>SUMIF(52:52,YEAR(G7)&amp;"-"&amp;MONTH(G7),53:53)</f>
        <v>0</v>
      </c>
      <c r="I7" s="372"/>
      <c r="J7" s="371">
        <f>SUMIF(52:52,YEAR(I7)&amp;"-"&amp;MONTH(I7),53:53)</f>
        <v>0</v>
      </c>
      <c r="K7" s="568"/>
      <c r="L7" s="1045"/>
      <c r="M7" s="1046"/>
      <c r="N7" s="1046"/>
      <c r="O7" s="1046"/>
      <c r="P7" s="3262" t="s">
        <v>2371</v>
      </c>
      <c r="Q7" s="3290"/>
      <c r="R7" s="709" t="s">
        <v>17</v>
      </c>
      <c r="S7" s="710">
        <f t="shared" ref="S7:S15" si="0">F7</f>
        <v>0</v>
      </c>
      <c r="T7" s="709" t="s">
        <v>17</v>
      </c>
      <c r="U7" s="710">
        <f t="shared" ref="U7:U15" si="1">H7</f>
        <v>0</v>
      </c>
      <c r="V7" s="709" t="s">
        <v>17</v>
      </c>
      <c r="W7" s="710">
        <f t="shared" ref="W7:W15" si="2">J7</f>
        <v>0</v>
      </c>
      <c r="X7" s="711"/>
      <c r="Y7" s="3262" t="s">
        <v>2371</v>
      </c>
      <c r="Z7" s="3263"/>
      <c r="AA7" s="712" t="e">
        <f>D7/F7</f>
        <v>#DIV/0!</v>
      </c>
      <c r="AB7" s="712" t="e">
        <f>D7/H7</f>
        <v>#DIV/0!</v>
      </c>
      <c r="AC7" s="712" t="e">
        <f>D7/J7</f>
        <v>#DIV/0!</v>
      </c>
    </row>
    <row r="8" spans="1:29" s="113" customFormat="1" ht="15.75" thickBot="1">
      <c r="A8" s="368" t="s">
        <v>2372</v>
      </c>
      <c r="B8" s="369"/>
      <c r="C8" s="374" t="s">
        <v>2373</v>
      </c>
      <c r="D8" s="371">
        <v>100</v>
      </c>
      <c r="E8" s="374"/>
      <c r="F8" s="373">
        <f>SUMIF(55:55,E8,56:56)-SUMIF(55:55,C8,56:56)+100</f>
        <v>0</v>
      </c>
      <c r="G8" s="374"/>
      <c r="H8" s="371">
        <f>SUMIF(55:55,G8,56:56)-SUMIF(55:55,C8,56:56)+100</f>
        <v>0</v>
      </c>
      <c r="I8" s="374"/>
      <c r="J8" s="371">
        <f>SUMIF(55:55,I8,56:56)-SUMIF(55:55,C8,56:56)+100</f>
        <v>0</v>
      </c>
      <c r="K8" s="568"/>
      <c r="L8" s="1045"/>
      <c r="M8" s="1046"/>
      <c r="N8" s="1046"/>
      <c r="O8" s="1046"/>
      <c r="P8" s="3262" t="s">
        <v>2374</v>
      </c>
      <c r="Q8" s="3263"/>
      <c r="R8" s="709" t="s">
        <v>17</v>
      </c>
      <c r="S8" s="710">
        <f t="shared" si="0"/>
        <v>0</v>
      </c>
      <c r="T8" s="709" t="s">
        <v>17</v>
      </c>
      <c r="U8" s="710">
        <f t="shared" si="1"/>
        <v>0</v>
      </c>
      <c r="V8" s="709" t="s">
        <v>17</v>
      </c>
      <c r="W8" s="710">
        <f t="shared" si="2"/>
        <v>0</v>
      </c>
      <c r="X8" s="711"/>
      <c r="Y8" s="3262" t="s">
        <v>2374</v>
      </c>
      <c r="Z8" s="3263"/>
      <c r="AA8" s="712" t="e">
        <f t="shared" ref="AA8:AA40" si="3">D8/F8</f>
        <v>#DIV/0!</v>
      </c>
      <c r="AB8" s="712" t="e">
        <f t="shared" ref="AB8:AB40" si="4">D8/H8</f>
        <v>#DIV/0!</v>
      </c>
      <c r="AC8" s="712" t="e">
        <f t="shared" ref="AC8:AC40" si="5">D8/J8</f>
        <v>#DIV/0!</v>
      </c>
    </row>
    <row r="9" spans="1:29" s="113" customFormat="1">
      <c r="A9" s="375" t="s">
        <v>2375</v>
      </c>
      <c r="B9" s="67" t="s">
        <v>2376</v>
      </c>
      <c r="C9" s="376"/>
      <c r="D9" s="131">
        <v>100</v>
      </c>
      <c r="E9" s="379"/>
      <c r="F9" s="131">
        <f>SUMIF(57:57,E9,58:58)-SUMIF(57:57,C9,58:58)+100</f>
        <v>100</v>
      </c>
      <c r="G9" s="377"/>
      <c r="H9" s="131">
        <f>SUMIF(57:57,G9,58:58)-SUMIF(57:57,C9,58:58)+100</f>
        <v>100</v>
      </c>
      <c r="I9" s="377"/>
      <c r="J9" s="131">
        <f>SUMIF(57:57,I9,58:58)-SUMIF(57:57,C9,58:58)+100</f>
        <v>100</v>
      </c>
      <c r="K9" s="568"/>
      <c r="L9" s="1045"/>
      <c r="M9" s="1046"/>
      <c r="N9" s="1046"/>
      <c r="O9" s="1047"/>
      <c r="P9" s="3276" t="s">
        <v>2377</v>
      </c>
      <c r="Q9" s="1527" t="str">
        <f t="shared" ref="Q9:Q15" si="6">B9</f>
        <v>用途</v>
      </c>
      <c r="R9" s="709" t="s">
        <v>17</v>
      </c>
      <c r="S9" s="710">
        <f t="shared" si="0"/>
        <v>100</v>
      </c>
      <c r="T9" s="709" t="s">
        <v>17</v>
      </c>
      <c r="U9" s="710">
        <f t="shared" si="1"/>
        <v>100</v>
      </c>
      <c r="V9" s="709" t="s">
        <v>17</v>
      </c>
      <c r="W9" s="710">
        <f t="shared" si="2"/>
        <v>100</v>
      </c>
      <c r="X9" s="711"/>
      <c r="Y9" s="3232" t="s">
        <v>2378</v>
      </c>
      <c r="Z9" s="55" t="str">
        <f t="shared" ref="Z9:Z15" si="7">Q9</f>
        <v>用途</v>
      </c>
      <c r="AA9" s="712">
        <f t="shared" si="3"/>
        <v>1</v>
      </c>
      <c r="AB9" s="712">
        <f t="shared" si="4"/>
        <v>1</v>
      </c>
      <c r="AC9" s="712">
        <f t="shared" si="5"/>
        <v>1</v>
      </c>
    </row>
    <row r="10" spans="1:29" s="386" customFormat="1" ht="27">
      <c r="A10" s="380"/>
      <c r="B10" s="381" t="s">
        <v>2379</v>
      </c>
      <c r="C10" s="382"/>
      <c r="D10" s="132">
        <v>100</v>
      </c>
      <c r="E10" s="382"/>
      <c r="F10" s="132">
        <f>SUMIF(59:59,E10,60:60)-SUMIF(59:59,C10,60:60)+100</f>
        <v>100</v>
      </c>
      <c r="G10" s="383"/>
      <c r="H10" s="132">
        <f>SUMIF(59:59,G10,60:60)-SUMIF(59:59,C10,60:60)+100</f>
        <v>100</v>
      </c>
      <c r="I10" s="382"/>
      <c r="J10" s="132">
        <f>SUMIF(59:59,I10,60:60)-SUMIF(59:59,C10,60:60)+100</f>
        <v>100</v>
      </c>
      <c r="K10" s="569"/>
      <c r="L10" s="1048"/>
      <c r="M10" s="1049"/>
      <c r="N10" s="1049"/>
      <c r="O10" s="1050"/>
      <c r="P10" s="3276"/>
      <c r="Q10" s="1527" t="str">
        <f t="shared" si="6"/>
        <v>土地使用年限（年）</v>
      </c>
      <c r="R10" s="709" t="s">
        <v>17</v>
      </c>
      <c r="S10" s="710">
        <f t="shared" si="0"/>
        <v>100</v>
      </c>
      <c r="T10" s="709" t="s">
        <v>17</v>
      </c>
      <c r="U10" s="710">
        <f t="shared" si="1"/>
        <v>100</v>
      </c>
      <c r="V10" s="709" t="s">
        <v>17</v>
      </c>
      <c r="W10" s="710">
        <f t="shared" si="2"/>
        <v>100</v>
      </c>
      <c r="X10" s="711"/>
      <c r="Y10" s="3232"/>
      <c r="Z10" s="55" t="str">
        <f t="shared" si="7"/>
        <v>土地使用年限（年）</v>
      </c>
      <c r="AA10" s="712">
        <f t="shared" si="3"/>
        <v>1</v>
      </c>
      <c r="AB10" s="712">
        <f t="shared" si="4"/>
        <v>1</v>
      </c>
      <c r="AC10" s="712">
        <f t="shared" si="5"/>
        <v>1</v>
      </c>
    </row>
    <row r="11" spans="1:29" ht="15">
      <c r="A11" s="387"/>
      <c r="B11" s="381" t="s">
        <v>2380</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1"/>
      <c r="M11" s="1044"/>
      <c r="N11" s="1044"/>
      <c r="O11" s="1052"/>
      <c r="P11" s="3276"/>
      <c r="Q11" s="1527" t="str">
        <f t="shared" si="6"/>
        <v>容积率</v>
      </c>
      <c r="R11" s="709" t="s">
        <v>17</v>
      </c>
      <c r="S11" s="710" t="e">
        <f t="shared" si="0"/>
        <v>#N/A</v>
      </c>
      <c r="T11" s="709" t="s">
        <v>17</v>
      </c>
      <c r="U11" s="710" t="e">
        <f t="shared" si="1"/>
        <v>#N/A</v>
      </c>
      <c r="V11" s="709" t="s">
        <v>17</v>
      </c>
      <c r="W11" s="710" t="e">
        <f t="shared" si="2"/>
        <v>#N/A</v>
      </c>
      <c r="X11" s="711"/>
      <c r="Y11" s="3232"/>
      <c r="Z11" s="55" t="str">
        <f t="shared" si="7"/>
        <v>容积率</v>
      </c>
      <c r="AA11" s="712" t="e">
        <f t="shared" si="3"/>
        <v>#N/A</v>
      </c>
      <c r="AB11" s="712" t="e">
        <f t="shared" si="4"/>
        <v>#N/A</v>
      </c>
      <c r="AC11" s="712"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5"/>
      <c r="M12" s="1046"/>
      <c r="N12" s="1046"/>
      <c r="O12" s="1047"/>
      <c r="P12" s="3276"/>
      <c r="Q12" s="1527">
        <f t="shared" si="6"/>
        <v>111</v>
      </c>
      <c r="R12" s="709" t="s">
        <v>17</v>
      </c>
      <c r="S12" s="710">
        <f t="shared" si="0"/>
        <v>100</v>
      </c>
      <c r="T12" s="709" t="s">
        <v>17</v>
      </c>
      <c r="U12" s="710">
        <f t="shared" si="1"/>
        <v>100</v>
      </c>
      <c r="V12" s="709" t="s">
        <v>17</v>
      </c>
      <c r="W12" s="710">
        <f t="shared" si="2"/>
        <v>100</v>
      </c>
      <c r="X12" s="711"/>
      <c r="Y12" s="3232"/>
      <c r="Z12" s="55">
        <f t="shared" si="7"/>
        <v>111</v>
      </c>
      <c r="AA12" s="712">
        <f>D12/F12</f>
        <v>1</v>
      </c>
      <c r="AB12" s="712">
        <f>D12/H12</f>
        <v>1</v>
      </c>
      <c r="AC12" s="712">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3"/>
      <c r="M13" s="1044"/>
      <c r="N13" s="1044"/>
      <c r="O13" s="1052"/>
      <c r="P13" s="3276"/>
      <c r="Q13" s="1527">
        <f t="shared" si="6"/>
        <v>111</v>
      </c>
      <c r="R13" s="709" t="s">
        <v>17</v>
      </c>
      <c r="S13" s="710">
        <f t="shared" si="0"/>
        <v>100</v>
      </c>
      <c r="T13" s="709" t="s">
        <v>17</v>
      </c>
      <c r="U13" s="710">
        <f t="shared" si="1"/>
        <v>100</v>
      </c>
      <c r="V13" s="709" t="s">
        <v>17</v>
      </c>
      <c r="W13" s="710">
        <f t="shared" si="2"/>
        <v>100</v>
      </c>
      <c r="X13" s="711"/>
      <c r="Y13" s="3232"/>
      <c r="Z13" s="55">
        <f t="shared" si="7"/>
        <v>111</v>
      </c>
      <c r="AA13" s="712">
        <f t="shared" si="3"/>
        <v>1</v>
      </c>
      <c r="AB13" s="712">
        <f t="shared" si="4"/>
        <v>1</v>
      </c>
      <c r="AC13" s="712">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3"/>
      <c r="M14" s="1044"/>
      <c r="N14" s="1044"/>
      <c r="O14" s="1052"/>
      <c r="P14" s="3276"/>
      <c r="Q14" s="1527">
        <f t="shared" si="6"/>
        <v>111</v>
      </c>
      <c r="R14" s="709" t="s">
        <v>17</v>
      </c>
      <c r="S14" s="710">
        <f t="shared" si="0"/>
        <v>100</v>
      </c>
      <c r="T14" s="709" t="s">
        <v>17</v>
      </c>
      <c r="U14" s="710">
        <f t="shared" si="1"/>
        <v>100</v>
      </c>
      <c r="V14" s="709" t="s">
        <v>17</v>
      </c>
      <c r="W14" s="710">
        <f t="shared" si="2"/>
        <v>100</v>
      </c>
      <c r="X14" s="711"/>
      <c r="Y14" s="3232"/>
      <c r="Z14" s="55">
        <f t="shared" si="7"/>
        <v>111</v>
      </c>
      <c r="AA14" s="712">
        <f t="shared" si="3"/>
        <v>1</v>
      </c>
      <c r="AB14" s="712">
        <f t="shared" si="4"/>
        <v>1</v>
      </c>
      <c r="AC14" s="712">
        <f t="shared" si="5"/>
        <v>1</v>
      </c>
    </row>
    <row r="15" spans="1:29" ht="15">
      <c r="A15" s="399" t="s">
        <v>2381</v>
      </c>
      <c r="B15" s="65" t="s">
        <v>2525</v>
      </c>
      <c r="C15" s="2157">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53"/>
      <c r="M15" s="1044"/>
      <c r="N15" s="1044"/>
      <c r="O15" s="1052"/>
      <c r="P15" s="3291" t="s">
        <v>2382</v>
      </c>
      <c r="Q15" s="1536" t="str">
        <f t="shared" si="6"/>
        <v>产业集聚程度</v>
      </c>
      <c r="R15" s="713" t="s">
        <v>17</v>
      </c>
      <c r="S15" s="714">
        <f t="shared" si="0"/>
        <v>100</v>
      </c>
      <c r="T15" s="713" t="s">
        <v>17</v>
      </c>
      <c r="U15" s="714">
        <f t="shared" si="1"/>
        <v>100</v>
      </c>
      <c r="V15" s="713" t="s">
        <v>17</v>
      </c>
      <c r="W15" s="714">
        <f t="shared" si="2"/>
        <v>100</v>
      </c>
      <c r="X15" s="1539"/>
      <c r="Y15" s="3291" t="s">
        <v>2382</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3"/>
      <c r="M16" s="1044"/>
      <c r="N16" s="1044"/>
      <c r="O16" s="1052"/>
      <c r="P16" s="3292"/>
      <c r="Q16" s="1536"/>
      <c r="R16" s="713"/>
      <c r="S16" s="714"/>
      <c r="T16" s="713"/>
      <c r="U16" s="714"/>
      <c r="V16" s="713"/>
      <c r="W16" s="714"/>
      <c r="X16" s="1539"/>
      <c r="Y16" s="3292"/>
      <c r="Z16" s="1540"/>
      <c r="AA16" s="1537">
        <v>1</v>
      </c>
      <c r="AB16" s="1537">
        <v>1</v>
      </c>
      <c r="AC16" s="1537">
        <v>1</v>
      </c>
    </row>
    <row r="17" spans="1:29" ht="15">
      <c r="A17" s="387"/>
      <c r="B17" s="410" t="s">
        <v>1946</v>
      </c>
      <c r="C17" s="2086">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53"/>
      <c r="M17" s="1044"/>
      <c r="N17" s="1044"/>
      <c r="O17" s="1052"/>
      <c r="P17" s="3292"/>
      <c r="Q17" s="1536" t="str">
        <f>B17</f>
        <v>交通便捷度</v>
      </c>
      <c r="R17" s="713" t="s">
        <v>17</v>
      </c>
      <c r="S17" s="714">
        <f>F17</f>
        <v>100</v>
      </c>
      <c r="T17" s="713" t="s">
        <v>17</v>
      </c>
      <c r="U17" s="714">
        <f>H17</f>
        <v>100</v>
      </c>
      <c r="V17" s="713" t="s">
        <v>17</v>
      </c>
      <c r="W17" s="714">
        <f>J17</f>
        <v>100</v>
      </c>
      <c r="X17" s="1539"/>
      <c r="Y17" s="3292"/>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3"/>
      <c r="M18" s="1044"/>
      <c r="N18" s="1044"/>
      <c r="O18" s="1052"/>
      <c r="P18" s="3292"/>
      <c r="Q18" s="1536"/>
      <c r="R18" s="713"/>
      <c r="S18" s="714"/>
      <c r="T18" s="713"/>
      <c r="U18" s="714"/>
      <c r="V18" s="713"/>
      <c r="W18" s="714"/>
      <c r="X18" s="1539"/>
      <c r="Y18" s="3292"/>
      <c r="Z18" s="1540"/>
      <c r="AA18" s="1537">
        <v>1</v>
      </c>
      <c r="AB18" s="1537">
        <v>1</v>
      </c>
      <c r="AC18" s="1537">
        <v>1</v>
      </c>
    </row>
    <row r="19" spans="1:29" ht="15">
      <c r="A19" s="387"/>
      <c r="B19" s="410" t="s">
        <v>2510</v>
      </c>
      <c r="C19" s="2086">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53"/>
      <c r="M19" s="1044"/>
      <c r="N19" s="1044"/>
      <c r="O19" s="1052"/>
      <c r="P19" s="3292"/>
      <c r="Q19" s="1536" t="str">
        <f>B19</f>
        <v>公共配套设施</v>
      </c>
      <c r="R19" s="713" t="s">
        <v>17</v>
      </c>
      <c r="S19" s="714">
        <f>F19</f>
        <v>100</v>
      </c>
      <c r="T19" s="713" t="s">
        <v>17</v>
      </c>
      <c r="U19" s="714">
        <f>H19</f>
        <v>100</v>
      </c>
      <c r="V19" s="713" t="s">
        <v>17</v>
      </c>
      <c r="W19" s="714">
        <f>J19</f>
        <v>100</v>
      </c>
      <c r="X19" s="1539"/>
      <c r="Y19" s="3292"/>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3"/>
      <c r="M20" s="1044"/>
      <c r="N20" s="1044"/>
      <c r="O20" s="1052"/>
      <c r="P20" s="3292"/>
      <c r="Q20" s="1536"/>
      <c r="R20" s="713"/>
      <c r="S20" s="714"/>
      <c r="T20" s="713"/>
      <c r="U20" s="714"/>
      <c r="V20" s="713"/>
      <c r="W20" s="714"/>
      <c r="X20" s="1539"/>
      <c r="Y20" s="3292"/>
      <c r="Z20" s="1540"/>
      <c r="AA20" s="1537">
        <v>1</v>
      </c>
      <c r="AB20" s="1537">
        <v>1</v>
      </c>
      <c r="AC20" s="1537">
        <v>1</v>
      </c>
    </row>
    <row r="21" spans="1:29" ht="15">
      <c r="A21" s="387"/>
      <c r="B21" s="1291" t="s">
        <v>2511</v>
      </c>
      <c r="C21" s="2086">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53"/>
      <c r="M21" s="1044"/>
      <c r="N21" s="1044"/>
      <c r="O21" s="1052"/>
      <c r="P21" s="3292"/>
      <c r="Q21" s="1536" t="str">
        <f>B21</f>
        <v>基础设施水平</v>
      </c>
      <c r="R21" s="713" t="s">
        <v>17</v>
      </c>
      <c r="S21" s="714">
        <f>F21</f>
        <v>100</v>
      </c>
      <c r="T21" s="713" t="s">
        <v>17</v>
      </c>
      <c r="U21" s="714">
        <f>H21</f>
        <v>100</v>
      </c>
      <c r="V21" s="713" t="s">
        <v>17</v>
      </c>
      <c r="W21" s="714">
        <f>J21</f>
        <v>100</v>
      </c>
      <c r="X21" s="1539"/>
      <c r="Y21" s="3292"/>
      <c r="Z21" s="1540" t="str">
        <f>Q21</f>
        <v>基础设施水平</v>
      </c>
      <c r="AA21" s="1537">
        <f t="shared" ref="AA21" si="8">D21/F21</f>
        <v>1</v>
      </c>
      <c r="AB21" s="1537">
        <f t="shared" ref="AB21" si="9">D21/H21</f>
        <v>1</v>
      </c>
      <c r="AC21" s="1537">
        <f t="shared" ref="AC21" si="10">D21/J21</f>
        <v>1</v>
      </c>
    </row>
    <row r="22" spans="1:29" ht="15">
      <c r="A22" s="387"/>
      <c r="B22" s="1291"/>
      <c r="C22" s="2087"/>
      <c r="D22" s="407"/>
      <c r="E22" s="406"/>
      <c r="F22" s="408"/>
      <c r="G22" s="406"/>
      <c r="H22" s="407"/>
      <c r="I22" s="406"/>
      <c r="J22" s="407"/>
      <c r="K22" s="1290"/>
      <c r="L22" s="1053"/>
      <c r="M22" s="1044"/>
      <c r="N22" s="1044"/>
      <c r="O22" s="1052"/>
      <c r="P22" s="3292"/>
      <c r="Q22" s="1536"/>
      <c r="R22" s="713"/>
      <c r="S22" s="714"/>
      <c r="T22" s="713"/>
      <c r="U22" s="714"/>
      <c r="V22" s="713"/>
      <c r="W22" s="714"/>
      <c r="X22" s="1539"/>
      <c r="Y22" s="3292"/>
      <c r="Z22" s="1540"/>
      <c r="AA22" s="1537">
        <v>1</v>
      </c>
      <c r="AB22" s="1537">
        <v>1</v>
      </c>
      <c r="AC22" s="1537">
        <v>1</v>
      </c>
    </row>
    <row r="23" spans="1:29" ht="15">
      <c r="A23" s="387"/>
      <c r="B23" s="410" t="s">
        <v>2512</v>
      </c>
      <c r="C23" s="2086">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53"/>
      <c r="M23" s="1044"/>
      <c r="N23" s="1044"/>
      <c r="O23" s="1052"/>
      <c r="P23" s="3292"/>
      <c r="Q23" s="1536" t="str">
        <f>B23</f>
        <v>环境质量</v>
      </c>
      <c r="R23" s="713" t="s">
        <v>17</v>
      </c>
      <c r="S23" s="714">
        <f>F23</f>
        <v>100</v>
      </c>
      <c r="T23" s="713" t="s">
        <v>17</v>
      </c>
      <c r="U23" s="714">
        <f>H23</f>
        <v>100</v>
      </c>
      <c r="V23" s="713" t="s">
        <v>17</v>
      </c>
      <c r="W23" s="714">
        <f>J23</f>
        <v>100</v>
      </c>
      <c r="X23" s="1539"/>
      <c r="Y23" s="3292"/>
      <c r="Z23" s="1540" t="str">
        <f>Q23</f>
        <v>环境质量</v>
      </c>
      <c r="AA23" s="1537">
        <f t="shared" si="3"/>
        <v>1</v>
      </c>
      <c r="AB23" s="1537">
        <f t="shared" si="4"/>
        <v>1</v>
      </c>
      <c r="AC23" s="1537">
        <f t="shared" si="5"/>
        <v>1</v>
      </c>
    </row>
    <row r="24" spans="1:29" ht="15">
      <c r="A24" s="387"/>
      <c r="B24" s="1291"/>
      <c r="C24" s="406"/>
      <c r="D24" s="407"/>
      <c r="E24" s="2084"/>
      <c r="F24" s="408"/>
      <c r="G24" s="2083"/>
      <c r="H24" s="407"/>
      <c r="I24" s="2084"/>
      <c r="J24" s="407"/>
      <c r="K24" s="572"/>
      <c r="L24" s="1053"/>
      <c r="M24" s="1044"/>
      <c r="N24" s="1044"/>
      <c r="O24" s="1052"/>
      <c r="P24" s="3292"/>
      <c r="Q24" s="1536"/>
      <c r="R24" s="713"/>
      <c r="S24" s="714"/>
      <c r="T24" s="713"/>
      <c r="U24" s="714"/>
      <c r="V24" s="713"/>
      <c r="W24" s="714"/>
      <c r="X24" s="1539"/>
      <c r="Y24" s="3292"/>
      <c r="Z24" s="1540"/>
      <c r="AA24" s="1537">
        <v>1</v>
      </c>
      <c r="AB24" s="1537">
        <v>1</v>
      </c>
      <c r="AC24" s="1537">
        <v>1</v>
      </c>
    </row>
    <row r="25" spans="1:29" ht="15">
      <c r="A25" s="364"/>
      <c r="B25" s="1293">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3"/>
      <c r="M25" s="1044"/>
      <c r="N25" s="1044"/>
      <c r="O25" s="1052"/>
      <c r="P25" s="3292"/>
      <c r="Q25" s="1536">
        <f>B25</f>
        <v>111</v>
      </c>
      <c r="R25" s="713" t="s">
        <v>17</v>
      </c>
      <c r="S25" s="714">
        <f>F25</f>
        <v>100</v>
      </c>
      <c r="T25" s="713" t="s">
        <v>17</v>
      </c>
      <c r="U25" s="714">
        <f>H25</f>
        <v>100</v>
      </c>
      <c r="V25" s="713" t="s">
        <v>17</v>
      </c>
      <c r="W25" s="714">
        <f>J25</f>
        <v>100</v>
      </c>
      <c r="X25" s="1539"/>
      <c r="Y25" s="3292"/>
      <c r="Z25" s="1540">
        <f>Q25</f>
        <v>111</v>
      </c>
      <c r="AA25" s="1537">
        <f t="shared" si="3"/>
        <v>1</v>
      </c>
      <c r="AB25" s="1537">
        <f t="shared" si="4"/>
        <v>1</v>
      </c>
      <c r="AC25" s="1537">
        <f t="shared" si="5"/>
        <v>1</v>
      </c>
    </row>
    <row r="26" spans="1:29" ht="15">
      <c r="A26" s="387"/>
      <c r="B26" s="1293">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3"/>
      <c r="M26" s="1044"/>
      <c r="N26" s="1044"/>
      <c r="O26" s="1052"/>
      <c r="P26" s="3292"/>
      <c r="Q26" s="1536">
        <f t="shared" ref="Q26:Q40" si="11">B26</f>
        <v>111</v>
      </c>
      <c r="R26" s="713" t="s">
        <v>17</v>
      </c>
      <c r="S26" s="714">
        <f>F26</f>
        <v>100</v>
      </c>
      <c r="T26" s="713" t="s">
        <v>17</v>
      </c>
      <c r="U26" s="714">
        <f>H26</f>
        <v>100</v>
      </c>
      <c r="V26" s="713" t="s">
        <v>17</v>
      </c>
      <c r="W26" s="714">
        <f>J26</f>
        <v>100</v>
      </c>
      <c r="X26" s="1539"/>
      <c r="Y26" s="3292"/>
      <c r="Z26" s="1540">
        <f>Q26</f>
        <v>111</v>
      </c>
      <c r="AA26" s="1537">
        <f t="shared" si="3"/>
        <v>1</v>
      </c>
      <c r="AB26" s="1537">
        <f t="shared" si="4"/>
        <v>1</v>
      </c>
      <c r="AC26" s="1537">
        <f t="shared" si="5"/>
        <v>1</v>
      </c>
    </row>
    <row r="27" spans="1:29" s="113" customFormat="1" ht="15">
      <c r="A27" s="390"/>
      <c r="B27" s="1293">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5"/>
      <c r="M27" s="1046"/>
      <c r="N27" s="1046"/>
      <c r="O27" s="1047"/>
      <c r="P27" s="3292"/>
      <c r="Q27" s="1527">
        <f t="shared" si="11"/>
        <v>111</v>
      </c>
      <c r="R27" s="709" t="s">
        <v>17</v>
      </c>
      <c r="S27" s="710">
        <f>F27</f>
        <v>100</v>
      </c>
      <c r="T27" s="709" t="s">
        <v>17</v>
      </c>
      <c r="U27" s="710">
        <f>H27</f>
        <v>100</v>
      </c>
      <c r="V27" s="709" t="s">
        <v>17</v>
      </c>
      <c r="W27" s="710">
        <f>J27</f>
        <v>100</v>
      </c>
      <c r="X27" s="711"/>
      <c r="Y27" s="3292"/>
      <c r="Z27" s="55">
        <f>Q27</f>
        <v>111</v>
      </c>
      <c r="AA27" s="1537">
        <f>D27/F27</f>
        <v>1</v>
      </c>
      <c r="AB27" s="1537">
        <f>D27/H27</f>
        <v>1</v>
      </c>
      <c r="AC27" s="1537">
        <f>D27/J27</f>
        <v>1</v>
      </c>
    </row>
    <row r="28" spans="1:29" ht="15.75" thickBot="1">
      <c r="A28" s="395"/>
      <c r="B28" s="1293">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3"/>
      <c r="M28" s="1044"/>
      <c r="N28" s="1044"/>
      <c r="O28" s="1052"/>
      <c r="P28" s="3292"/>
      <c r="Q28" s="1536">
        <f t="shared" si="11"/>
        <v>111</v>
      </c>
      <c r="R28" s="713" t="s">
        <v>17</v>
      </c>
      <c r="S28" s="714">
        <f t="shared" ref="S28:S40" si="12">F28</f>
        <v>100</v>
      </c>
      <c r="T28" s="713" t="s">
        <v>17</v>
      </c>
      <c r="U28" s="714">
        <f t="shared" ref="U28:U40" si="13">H28</f>
        <v>100</v>
      </c>
      <c r="V28" s="713" t="s">
        <v>17</v>
      </c>
      <c r="W28" s="714">
        <f t="shared" ref="W28:W40" si="14">J28</f>
        <v>100</v>
      </c>
      <c r="X28" s="1539"/>
      <c r="Y28" s="3292"/>
      <c r="Z28" s="1540">
        <f t="shared" ref="Z28:Z40" si="15">Q28</f>
        <v>111</v>
      </c>
      <c r="AA28" s="1537">
        <f t="shared" si="3"/>
        <v>1</v>
      </c>
      <c r="AB28" s="1537">
        <f t="shared" si="4"/>
        <v>1</v>
      </c>
      <c r="AC28" s="1537">
        <f t="shared" si="5"/>
        <v>1</v>
      </c>
    </row>
    <row r="29" spans="1:29" ht="28.5">
      <c r="A29" s="425" t="s">
        <v>2385</v>
      </c>
      <c r="B29" s="67" t="s">
        <v>2515</v>
      </c>
      <c r="C29" s="2153"/>
      <c r="D29" s="426">
        <v>100</v>
      </c>
      <c r="E29" s="2153"/>
      <c r="F29" s="420">
        <f>SUMIF(88:88,E29,89:89)-SUMIF(88:88,C29,89:89)+100</f>
        <v>100</v>
      </c>
      <c r="G29" s="2153"/>
      <c r="H29" s="394">
        <f>SUMIF(88:88,G29,89:89)-SUMIF(88:88,C29,89:89)+100</f>
        <v>100</v>
      </c>
      <c r="I29" s="2153"/>
      <c r="J29" s="426">
        <f>SUMIF(88:88,I29,89:89)-SUMIF(88:88,C29,89:89)+100</f>
        <v>100</v>
      </c>
      <c r="K29" s="569"/>
      <c r="L29" s="1053"/>
      <c r="M29" s="1044"/>
      <c r="N29" s="1044"/>
      <c r="O29" s="1052"/>
      <c r="P29" s="3293" t="s">
        <v>2387</v>
      </c>
      <c r="Q29" s="1536" t="str">
        <f t="shared" si="11"/>
        <v>建筑类型</v>
      </c>
      <c r="R29" s="713" t="s">
        <v>17</v>
      </c>
      <c r="S29" s="714">
        <f t="shared" si="12"/>
        <v>100</v>
      </c>
      <c r="T29" s="713" t="s">
        <v>17</v>
      </c>
      <c r="U29" s="714">
        <f t="shared" si="13"/>
        <v>100</v>
      </c>
      <c r="V29" s="713" t="s">
        <v>17</v>
      </c>
      <c r="W29" s="714">
        <f t="shared" si="14"/>
        <v>100</v>
      </c>
      <c r="X29" s="1539"/>
      <c r="Y29" s="3294" t="s">
        <v>2387</v>
      </c>
      <c r="Z29" s="1540" t="str">
        <f t="shared" si="15"/>
        <v>建筑类型</v>
      </c>
      <c r="AA29" s="1537">
        <f t="shared" si="3"/>
        <v>1</v>
      </c>
      <c r="AB29" s="1537">
        <f t="shared" si="4"/>
        <v>1</v>
      </c>
      <c r="AC29" s="1537">
        <f t="shared" si="5"/>
        <v>1</v>
      </c>
    </row>
    <row r="30" spans="1:29" s="430" customFormat="1" ht="15">
      <c r="A30" s="427"/>
      <c r="B30" s="381" t="s">
        <v>2388</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1"/>
      <c r="M30" s="1054"/>
      <c r="N30" s="1054"/>
      <c r="O30" s="1055"/>
      <c r="P30" s="3294"/>
      <c r="Q30" s="715" t="str">
        <f t="shared" si="11"/>
        <v>项目建筑规模</v>
      </c>
      <c r="R30" s="716" t="s">
        <v>17</v>
      </c>
      <c r="S30" s="717" t="e">
        <f t="shared" si="12"/>
        <v>#N/A</v>
      </c>
      <c r="T30" s="716" t="s">
        <v>17</v>
      </c>
      <c r="U30" s="717" t="e">
        <f t="shared" si="13"/>
        <v>#N/A</v>
      </c>
      <c r="V30" s="716" t="s">
        <v>17</v>
      </c>
      <c r="W30" s="717" t="e">
        <f t="shared" si="14"/>
        <v>#N/A</v>
      </c>
      <c r="X30" s="718"/>
      <c r="Y30" s="3294"/>
      <c r="Z30" s="719" t="str">
        <f t="shared" si="15"/>
        <v>项目建筑规模</v>
      </c>
      <c r="AA30" s="1537" t="e">
        <f t="shared" si="3"/>
        <v>#N/A</v>
      </c>
      <c r="AB30" s="1537" t="e">
        <f t="shared" si="4"/>
        <v>#N/A</v>
      </c>
      <c r="AC30" s="1537" t="e">
        <f t="shared" si="5"/>
        <v>#N/A</v>
      </c>
    </row>
    <row r="31" spans="1:29" ht="15">
      <c r="A31" s="431"/>
      <c r="B31" s="381" t="s">
        <v>2389</v>
      </c>
      <c r="C31" s="419"/>
      <c r="D31" s="394">
        <v>100</v>
      </c>
      <c r="E31" s="419"/>
      <c r="F31" s="420">
        <f>SUMIF(93:93,E31,94:94)-SUMIF(93:93,C31,94:94)+100</f>
        <v>100</v>
      </c>
      <c r="G31" s="419"/>
      <c r="H31" s="394">
        <f>SUMIF(93:93,G31,94:94)-SUMIF(93:93,C31,94:94)+100</f>
        <v>100</v>
      </c>
      <c r="I31" s="419"/>
      <c r="J31" s="394">
        <f>SUMIF(93:93,I31,94:94)-SUMIF(93:93,C31,94:94)+100</f>
        <v>100</v>
      </c>
      <c r="K31" s="569"/>
      <c r="L31" s="1053"/>
      <c r="M31" s="1044"/>
      <c r="N31" s="1044"/>
      <c r="O31" s="1052"/>
      <c r="P31" s="3294"/>
      <c r="Q31" s="1536" t="str">
        <f t="shared" si="11"/>
        <v>建筑结构</v>
      </c>
      <c r="R31" s="713" t="s">
        <v>17</v>
      </c>
      <c r="S31" s="714">
        <f t="shared" si="12"/>
        <v>100</v>
      </c>
      <c r="T31" s="713" t="s">
        <v>17</v>
      </c>
      <c r="U31" s="714">
        <f t="shared" si="13"/>
        <v>100</v>
      </c>
      <c r="V31" s="713" t="s">
        <v>17</v>
      </c>
      <c r="W31" s="714">
        <f t="shared" si="14"/>
        <v>100</v>
      </c>
      <c r="X31" s="1539"/>
      <c r="Y31" s="3294"/>
      <c r="Z31" s="1540" t="str">
        <f t="shared" si="15"/>
        <v>建筑结构</v>
      </c>
      <c r="AA31" s="1537">
        <f t="shared" si="3"/>
        <v>1</v>
      </c>
      <c r="AB31" s="1537">
        <f t="shared" si="4"/>
        <v>1</v>
      </c>
      <c r="AC31" s="1537">
        <f t="shared" si="5"/>
        <v>1</v>
      </c>
    </row>
    <row r="32" spans="1:29" ht="15">
      <c r="A32" s="431"/>
      <c r="B32" s="381" t="s">
        <v>2483</v>
      </c>
      <c r="C32" s="419"/>
      <c r="D32" s="394">
        <v>100</v>
      </c>
      <c r="E32" s="419"/>
      <c r="F32" s="420">
        <f>SUMIF(95:95,E32,96:96)-SUMIF(95:95,C32,96:96)+100</f>
        <v>100</v>
      </c>
      <c r="G32" s="419"/>
      <c r="H32" s="394">
        <f>SUMIF(95:95,G32,96:96)-SUMIF(95:95,C32,96:96)+100</f>
        <v>100</v>
      </c>
      <c r="I32" s="419"/>
      <c r="J32" s="394">
        <f>SUMIF(95:95,I32,96:96)-SUMIF(95:95,C32,96:96)+100</f>
        <v>100</v>
      </c>
      <c r="K32" s="569"/>
      <c r="L32" s="1053"/>
      <c r="M32" s="1044"/>
      <c r="N32" s="1044"/>
      <c r="O32" s="1052"/>
      <c r="P32" s="3294"/>
      <c r="Q32" s="1536" t="str">
        <f t="shared" si="11"/>
        <v>公共部分装修</v>
      </c>
      <c r="R32" s="713" t="s">
        <v>17</v>
      </c>
      <c r="S32" s="714">
        <f t="shared" si="12"/>
        <v>100</v>
      </c>
      <c r="T32" s="713" t="s">
        <v>17</v>
      </c>
      <c r="U32" s="714">
        <f t="shared" si="13"/>
        <v>100</v>
      </c>
      <c r="V32" s="713" t="s">
        <v>17</v>
      </c>
      <c r="W32" s="714">
        <f t="shared" si="14"/>
        <v>100</v>
      </c>
      <c r="X32" s="1539"/>
      <c r="Y32" s="3294"/>
      <c r="Z32" s="1540" t="str">
        <f t="shared" si="15"/>
        <v>公共部分装修</v>
      </c>
      <c r="AA32" s="1537">
        <f t="shared" si="3"/>
        <v>1</v>
      </c>
      <c r="AB32" s="1537">
        <f t="shared" si="4"/>
        <v>1</v>
      </c>
      <c r="AC32" s="1537">
        <f t="shared" si="5"/>
        <v>1</v>
      </c>
    </row>
    <row r="33" spans="1:29" ht="15">
      <c r="A33" s="431"/>
      <c r="B33" s="381" t="s">
        <v>2484</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3"/>
      <c r="M33" s="1044"/>
      <c r="N33" s="1044"/>
      <c r="O33" s="1052"/>
      <c r="P33" s="3294"/>
      <c r="Q33" s="1536" t="str">
        <f t="shared" si="11"/>
        <v>成新度</v>
      </c>
      <c r="R33" s="713" t="s">
        <v>17</v>
      </c>
      <c r="S33" s="714" t="e">
        <f t="shared" si="12"/>
        <v>#N/A</v>
      </c>
      <c r="T33" s="713" t="s">
        <v>17</v>
      </c>
      <c r="U33" s="714" t="e">
        <f t="shared" si="13"/>
        <v>#N/A</v>
      </c>
      <c r="V33" s="713" t="s">
        <v>17</v>
      </c>
      <c r="W33" s="714" t="e">
        <f t="shared" si="14"/>
        <v>#N/A</v>
      </c>
      <c r="X33" s="1539"/>
      <c r="Y33" s="3294"/>
      <c r="Z33" s="1540" t="str">
        <f t="shared" si="15"/>
        <v>成新度</v>
      </c>
      <c r="AA33" s="1537" t="e">
        <f t="shared" si="3"/>
        <v>#N/A</v>
      </c>
      <c r="AB33" s="1537" t="e">
        <f t="shared" si="4"/>
        <v>#N/A</v>
      </c>
      <c r="AC33" s="1537" t="e">
        <f t="shared" si="5"/>
        <v>#N/A</v>
      </c>
    </row>
    <row r="34" spans="1:29" s="113" customFormat="1" ht="15">
      <c r="A34" s="432"/>
      <c r="B34" s="381" t="s">
        <v>2517</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5"/>
      <c r="M34" s="1046"/>
      <c r="N34" s="1046"/>
      <c r="O34" s="1047"/>
      <c r="P34" s="3294"/>
      <c r="Q34" s="1527" t="str">
        <f t="shared" si="11"/>
        <v>物业管理</v>
      </c>
      <c r="R34" s="709" t="s">
        <v>17</v>
      </c>
      <c r="S34" s="710">
        <f t="shared" si="12"/>
        <v>100</v>
      </c>
      <c r="T34" s="709" t="s">
        <v>17</v>
      </c>
      <c r="U34" s="710">
        <f t="shared" si="13"/>
        <v>100</v>
      </c>
      <c r="V34" s="709" t="s">
        <v>17</v>
      </c>
      <c r="W34" s="710">
        <f t="shared" si="14"/>
        <v>100</v>
      </c>
      <c r="X34" s="711"/>
      <c r="Y34" s="3294"/>
      <c r="Z34" s="55" t="str">
        <f t="shared" si="15"/>
        <v>物业管理</v>
      </c>
      <c r="AA34" s="712">
        <f t="shared" si="3"/>
        <v>1</v>
      </c>
      <c r="AB34" s="712">
        <f t="shared" si="4"/>
        <v>1</v>
      </c>
      <c r="AC34" s="712">
        <f t="shared" si="5"/>
        <v>1</v>
      </c>
    </row>
    <row r="35" spans="1:29" ht="15">
      <c r="A35" s="431"/>
      <c r="B35" s="381" t="s">
        <v>2485</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3"/>
      <c r="M35" s="1044"/>
      <c r="N35" s="1044"/>
      <c r="O35" s="1052"/>
      <c r="P35" s="3294" t="s">
        <v>2387</v>
      </c>
      <c r="Q35" s="1536" t="str">
        <f t="shared" si="11"/>
        <v>市政基础设施</v>
      </c>
      <c r="R35" s="713" t="s">
        <v>17</v>
      </c>
      <c r="S35" s="714">
        <f t="shared" si="12"/>
        <v>100</v>
      </c>
      <c r="T35" s="713" t="s">
        <v>17</v>
      </c>
      <c r="U35" s="714">
        <f t="shared" si="13"/>
        <v>100</v>
      </c>
      <c r="V35" s="713" t="s">
        <v>17</v>
      </c>
      <c r="W35" s="714">
        <f t="shared" si="14"/>
        <v>100</v>
      </c>
      <c r="X35" s="1539"/>
      <c r="Y35" s="3294" t="s">
        <v>2387</v>
      </c>
      <c r="Z35" s="1540" t="str">
        <f t="shared" si="15"/>
        <v>市政基础设施</v>
      </c>
      <c r="AA35" s="1537">
        <f t="shared" si="3"/>
        <v>1</v>
      </c>
      <c r="AB35" s="1537">
        <f t="shared" si="4"/>
        <v>1</v>
      </c>
      <c r="AC35" s="1537">
        <f t="shared" si="5"/>
        <v>1</v>
      </c>
    </row>
    <row r="36" spans="1:29" ht="15">
      <c r="A36" s="431"/>
      <c r="B36" s="381" t="s">
        <v>2490</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3"/>
      <c r="M36" s="1044"/>
      <c r="N36" s="1044"/>
      <c r="O36" s="1052"/>
      <c r="P36" s="3294"/>
      <c r="Q36" s="1536" t="str">
        <f t="shared" si="11"/>
        <v>内部装修</v>
      </c>
      <c r="R36" s="713" t="s">
        <v>17</v>
      </c>
      <c r="S36" s="714">
        <f t="shared" si="12"/>
        <v>100</v>
      </c>
      <c r="T36" s="713" t="s">
        <v>17</v>
      </c>
      <c r="U36" s="714">
        <f t="shared" si="13"/>
        <v>100</v>
      </c>
      <c r="V36" s="713" t="s">
        <v>17</v>
      </c>
      <c r="W36" s="714">
        <f t="shared" si="14"/>
        <v>100</v>
      </c>
      <c r="X36" s="1539"/>
      <c r="Y36" s="3294"/>
      <c r="Z36" s="1540" t="str">
        <f t="shared" si="15"/>
        <v>内部装修</v>
      </c>
      <c r="AA36" s="1537">
        <f t="shared" si="3"/>
        <v>1</v>
      </c>
      <c r="AB36" s="1537">
        <f t="shared" si="4"/>
        <v>1</v>
      </c>
      <c r="AC36" s="1537">
        <f t="shared" si="5"/>
        <v>1</v>
      </c>
    </row>
    <row r="37" spans="1:29" ht="15">
      <c r="A37" s="431"/>
      <c r="B37" s="381" t="s">
        <v>2526</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3"/>
      <c r="M37" s="1044"/>
      <c r="N37" s="1044"/>
      <c r="O37" s="1052"/>
      <c r="P37" s="3294"/>
      <c r="Q37" s="1536" t="str">
        <f t="shared" si="11"/>
        <v>内部装修状况</v>
      </c>
      <c r="R37" s="713" t="s">
        <v>17</v>
      </c>
      <c r="S37" s="714">
        <f t="shared" si="12"/>
        <v>100</v>
      </c>
      <c r="T37" s="713" t="s">
        <v>17</v>
      </c>
      <c r="U37" s="714">
        <f t="shared" si="13"/>
        <v>100</v>
      </c>
      <c r="V37" s="713" t="s">
        <v>17</v>
      </c>
      <c r="W37" s="714">
        <f t="shared" si="14"/>
        <v>100</v>
      </c>
      <c r="X37" s="1539"/>
      <c r="Y37" s="3294"/>
      <c r="Z37" s="1540" t="str">
        <f t="shared" si="15"/>
        <v>内部装修状况</v>
      </c>
      <c r="AA37" s="1537">
        <f t="shared" si="3"/>
        <v>1</v>
      </c>
      <c r="AB37" s="1537">
        <f t="shared" si="4"/>
        <v>1</v>
      </c>
      <c r="AC37" s="1537">
        <f t="shared" si="5"/>
        <v>1</v>
      </c>
    </row>
    <row r="38" spans="1:29" s="430" customFormat="1" ht="15">
      <c r="A38" s="427"/>
      <c r="B38" s="1293">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1"/>
      <c r="M38" s="1054"/>
      <c r="N38" s="1054"/>
      <c r="O38" s="1055"/>
      <c r="P38" s="3294"/>
      <c r="Q38" s="715">
        <f t="shared" si="11"/>
        <v>111</v>
      </c>
      <c r="R38" s="716" t="s">
        <v>17</v>
      </c>
      <c r="S38" s="717">
        <f t="shared" si="12"/>
        <v>100</v>
      </c>
      <c r="T38" s="716" t="s">
        <v>17</v>
      </c>
      <c r="U38" s="717">
        <f t="shared" si="13"/>
        <v>100</v>
      </c>
      <c r="V38" s="716" t="s">
        <v>17</v>
      </c>
      <c r="W38" s="717">
        <f t="shared" si="14"/>
        <v>100</v>
      </c>
      <c r="X38" s="718"/>
      <c r="Y38" s="3294"/>
      <c r="Z38" s="719">
        <f t="shared" si="15"/>
        <v>111</v>
      </c>
      <c r="AA38" s="1537">
        <f t="shared" si="3"/>
        <v>1</v>
      </c>
      <c r="AB38" s="1537">
        <f t="shared" si="4"/>
        <v>1</v>
      </c>
      <c r="AC38" s="1537">
        <f t="shared" si="5"/>
        <v>1</v>
      </c>
    </row>
    <row r="39" spans="1:29" ht="15">
      <c r="A39" s="431"/>
      <c r="B39" s="1293">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3"/>
      <c r="M39" s="1044"/>
      <c r="N39" s="1044"/>
      <c r="O39" s="1052"/>
      <c r="P39" s="3294"/>
      <c r="Q39" s="1536">
        <f t="shared" si="11"/>
        <v>111</v>
      </c>
      <c r="R39" s="713" t="s">
        <v>17</v>
      </c>
      <c r="S39" s="714">
        <f t="shared" si="12"/>
        <v>100</v>
      </c>
      <c r="T39" s="713" t="s">
        <v>17</v>
      </c>
      <c r="U39" s="714">
        <f t="shared" si="13"/>
        <v>100</v>
      </c>
      <c r="V39" s="713" t="s">
        <v>17</v>
      </c>
      <c r="W39" s="714">
        <f t="shared" si="14"/>
        <v>100</v>
      </c>
      <c r="X39" s="1539"/>
      <c r="Y39" s="3294"/>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3"/>
      <c r="M40" s="1044"/>
      <c r="N40" s="1044"/>
      <c r="O40" s="1052"/>
      <c r="P40" s="3335"/>
      <c r="Q40" s="1536">
        <f t="shared" si="11"/>
        <v>111</v>
      </c>
      <c r="R40" s="713" t="s">
        <v>17</v>
      </c>
      <c r="S40" s="714">
        <f t="shared" si="12"/>
        <v>100</v>
      </c>
      <c r="T40" s="713" t="s">
        <v>17</v>
      </c>
      <c r="U40" s="714">
        <f t="shared" si="13"/>
        <v>100</v>
      </c>
      <c r="V40" s="713" t="s">
        <v>17</v>
      </c>
      <c r="W40" s="714">
        <f t="shared" si="14"/>
        <v>100</v>
      </c>
      <c r="X40" s="1539"/>
      <c r="Y40" s="3335"/>
      <c r="Z40" s="1540">
        <f t="shared" si="15"/>
        <v>111</v>
      </c>
      <c r="AA40" s="1537">
        <f t="shared" si="3"/>
        <v>1</v>
      </c>
      <c r="AB40" s="1537">
        <f t="shared" si="4"/>
        <v>1</v>
      </c>
      <c r="AC40" s="1537">
        <f t="shared" si="5"/>
        <v>1</v>
      </c>
    </row>
    <row r="41" spans="1:29" ht="15">
      <c r="A41" s="438" t="s">
        <v>2399</v>
      </c>
      <c r="B41" s="439"/>
      <c r="C41" s="1314" t="s">
        <v>1</v>
      </c>
      <c r="D41" s="1315"/>
      <c r="E41" s="1316"/>
      <c r="F41" s="1317"/>
      <c r="G41" s="1318"/>
      <c r="H41" s="1319"/>
      <c r="I41" s="1316"/>
      <c r="J41" s="1319"/>
      <c r="K41" s="722"/>
      <c r="L41" s="1056"/>
      <c r="M41" s="1057"/>
      <c r="N41" s="1044"/>
      <c r="O41" s="1057"/>
      <c r="P41" s="3276" t="str">
        <f>A41</f>
        <v>成交单价（元/平方米）</v>
      </c>
      <c r="Q41" s="3276"/>
      <c r="R41" s="3336">
        <f>E41</f>
        <v>0</v>
      </c>
      <c r="S41" s="3336"/>
      <c r="T41" s="3336">
        <f>G41</f>
        <v>0</v>
      </c>
      <c r="U41" s="3336"/>
      <c r="V41" s="3336">
        <f>I41</f>
        <v>0</v>
      </c>
      <c r="W41" s="3336"/>
      <c r="X41" s="698"/>
      <c r="Y41" s="720"/>
      <c r="Z41" s="698"/>
      <c r="AA41" s="698"/>
      <c r="AB41" s="698"/>
      <c r="AC41" s="698"/>
    </row>
    <row r="42" spans="1:29" ht="15.75" thickBot="1">
      <c r="A42" s="445" t="s">
        <v>2491</v>
      </c>
      <c r="B42" s="446"/>
      <c r="C42" s="1320" t="e">
        <f>R43</f>
        <v>#DIV/0!</v>
      </c>
      <c r="D42" s="2538" t="s">
        <v>2879</v>
      </c>
      <c r="E42" s="1321" t="e">
        <f>R42</f>
        <v>#DIV/0!</v>
      </c>
      <c r="F42" s="2539"/>
      <c r="G42" s="1320" t="e">
        <f>T42</f>
        <v>#DIV/0!</v>
      </c>
      <c r="H42" s="2539"/>
      <c r="I42" s="1321" t="e">
        <f>V42</f>
        <v>#DIV/0!</v>
      </c>
      <c r="J42" s="2539"/>
      <c r="K42" s="2541">
        <f>F42+H42+J42</f>
        <v>0</v>
      </c>
      <c r="L42" s="1056"/>
      <c r="M42" s="1057"/>
      <c r="N42" s="1044"/>
      <c r="O42" s="1057"/>
      <c r="P42" s="3276" t="str">
        <f>A42</f>
        <v>比较价值（元/平方米）</v>
      </c>
      <c r="Q42" s="3276"/>
      <c r="R42" s="3336" t="e">
        <f>IF(F1="售价",ROUND(PRODUCT(R41,AA7:AA40),0),ROUND(PRODUCT(R41,AA7:AA40),1))</f>
        <v>#DIV/0!</v>
      </c>
      <c r="S42" s="3336"/>
      <c r="T42" s="3336" t="e">
        <f>IF(F1="售价",ROUND(PRODUCT(T41,AB7:AB40),0),ROUND(PRODUCT(T41,AB7:AB40),1))</f>
        <v>#DIV/0!</v>
      </c>
      <c r="U42" s="3336"/>
      <c r="V42" s="3336" t="e">
        <f>IF(F1="售价",ROUND(PRODUCT(V41,AC7:AC40),0),ROUND(PRODUCT(V41,AC7:AC40),1))</f>
        <v>#DIV/0!</v>
      </c>
      <c r="W42" s="3336"/>
      <c r="X42" s="698"/>
      <c r="Y42" s="698"/>
      <c r="Z42" s="698"/>
      <c r="AA42" s="698"/>
      <c r="AB42" s="698"/>
      <c r="AC42" s="698"/>
    </row>
    <row r="43" spans="1:29" ht="15.75" thickBot="1">
      <c r="A43" s="449" t="s">
        <v>2492</v>
      </c>
      <c r="B43" s="450"/>
      <c r="C43" s="1323" t="e">
        <f>R43</f>
        <v>#DIV/0!</v>
      </c>
      <c r="D43" s="1323"/>
      <c r="E43" s="1323"/>
      <c r="F43" s="1323"/>
      <c r="G43" s="1323"/>
      <c r="H43" s="1323"/>
      <c r="I43" s="1323"/>
      <c r="J43" s="1323"/>
      <c r="K43" s="723"/>
      <c r="L43" s="1056"/>
      <c r="M43" s="1057"/>
      <c r="N43" s="1057"/>
      <c r="O43" s="1057"/>
      <c r="P43" s="3296" t="str">
        <f>A43</f>
        <v>估价对象XX用房的比较价值（楼面单价，元/平方米）</v>
      </c>
      <c r="Q43" s="3297"/>
      <c r="R43" s="3337" t="e">
        <f>IF(F1="售价",ROUND(IF(D42="简单平均",AVERAGE(R42:V42),R42*F42+T42*H42+V42*J42),0),ROUND(IF(D42="简单平均",AVERAGE(R42:V42),R42*F42+T42*H42+V42*J42),1))</f>
        <v>#DIV/0!</v>
      </c>
      <c r="S43" s="3337"/>
      <c r="T43" s="3337"/>
      <c r="U43" s="3337"/>
      <c r="V43" s="3337"/>
      <c r="W43" s="3337"/>
      <c r="X43" s="698"/>
      <c r="Y43" s="698"/>
      <c r="Z43" s="698"/>
      <c r="AA43" s="698"/>
      <c r="AB43" s="698"/>
      <c r="AC43" s="698"/>
    </row>
    <row r="44" spans="1:29">
      <c r="A44" s="2954"/>
      <c r="B44" s="2954"/>
      <c r="C44" s="2954"/>
      <c r="D44" s="2954"/>
      <c r="E44" s="2954"/>
      <c r="F44" s="2954"/>
      <c r="G44" s="2958"/>
      <c r="H44" s="2954"/>
      <c r="I44" s="2954"/>
      <c r="J44" s="2954"/>
      <c r="K44" s="2959"/>
      <c r="L44" s="1019"/>
      <c r="M44" s="1057"/>
      <c r="N44" s="1057"/>
      <c r="O44" s="1057"/>
    </row>
    <row r="45" spans="1:29">
      <c r="A45" s="2954"/>
      <c r="B45" s="2954"/>
      <c r="C45" s="2954"/>
      <c r="D45" s="2954"/>
      <c r="E45" s="2954"/>
      <c r="F45" s="2954"/>
      <c r="G45" s="2954"/>
      <c r="H45" s="2954"/>
      <c r="I45" s="2954"/>
      <c r="J45" s="2954"/>
      <c r="K45" s="2959"/>
      <c r="L45" s="1019"/>
      <c r="M45" s="1057"/>
      <c r="N45" s="1057"/>
      <c r="O45" s="1057"/>
    </row>
    <row r="46" spans="1:29" ht="13.5" customHeight="1">
      <c r="A46" s="2954"/>
      <c r="B46" s="2954"/>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19"/>
      <c r="M46" s="1057"/>
      <c r="N46" s="1057"/>
      <c r="O46" s="1057"/>
    </row>
    <row r="47" spans="1:29" ht="13.5" customHeight="1">
      <c r="A47" s="2954"/>
      <c r="B47" s="2954"/>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19"/>
      <c r="M47" s="1057"/>
      <c r="N47" s="1057"/>
      <c r="O47" s="1057"/>
    </row>
    <row r="48" spans="1:29" s="459" customFormat="1" ht="13.5" customHeight="1">
      <c r="A48" s="2957"/>
      <c r="B48" s="2957"/>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0"/>
      <c r="M48" s="1058"/>
      <c r="N48" s="1058"/>
      <c r="O48" s="1058"/>
    </row>
    <row r="49" spans="1:17" s="459" customFormat="1">
      <c r="A49" s="2957"/>
      <c r="B49" s="2960"/>
      <c r="C49" s="2961"/>
      <c r="D49" s="2957"/>
      <c r="E49" s="2957"/>
      <c r="F49" s="2957"/>
      <c r="G49" s="2957"/>
      <c r="H49" s="2957"/>
      <c r="I49" s="2957"/>
      <c r="J49" s="2957"/>
      <c r="K49" s="2962"/>
      <c r="L49" s="1060"/>
      <c r="M49" s="1058"/>
      <c r="N49" s="1058"/>
      <c r="O49" s="1058"/>
    </row>
    <row r="50" spans="1:17">
      <c r="A50" s="2954"/>
      <c r="B50" s="2960"/>
      <c r="C50" s="2961"/>
      <c r="D50" s="2954"/>
      <c r="E50" s="2954"/>
      <c r="F50" s="2954"/>
      <c r="G50" s="2954"/>
      <c r="H50" s="2954"/>
      <c r="I50" s="2954"/>
      <c r="J50" s="2954"/>
      <c r="K50" s="2959"/>
      <c r="L50" s="1019"/>
      <c r="M50" s="1057"/>
      <c r="N50" s="1057"/>
      <c r="O50" s="1057"/>
    </row>
    <row r="51" spans="1:17" ht="21.75" thickBot="1">
      <c r="A51" s="702" t="s">
        <v>2496</v>
      </c>
      <c r="B51" s="698"/>
      <c r="C51" s="703"/>
      <c r="D51" s="703"/>
      <c r="E51" s="703"/>
      <c r="F51" s="704"/>
      <c r="G51" s="704"/>
      <c r="H51" s="703"/>
      <c r="I51" s="703"/>
      <c r="J51" s="703"/>
      <c r="K51" s="1071"/>
      <c r="L51" s="1072"/>
      <c r="M51" s="1070"/>
      <c r="N51" s="1070"/>
      <c r="O51" s="1070"/>
      <c r="P51" s="460"/>
      <c r="Q51" s="461"/>
    </row>
    <row r="52" spans="1:17" s="465" customFormat="1" ht="15">
      <c r="A52" s="462" t="s">
        <v>2370</v>
      </c>
      <c r="B52" s="463"/>
      <c r="C52" s="1344" t="str">
        <f>YEAR(C7)&amp;"-"&amp;MONTH(C7)</f>
        <v>2021-1</v>
      </c>
      <c r="D52" s="1345">
        <f>EDATE(C52,-1)</f>
        <v>44166</v>
      </c>
      <c r="E52" s="1345">
        <f t="shared" ref="E52:O52" si="16">EDATE(D52,-1)</f>
        <v>44136</v>
      </c>
      <c r="F52" s="1345">
        <f t="shared" si="16"/>
        <v>44105</v>
      </c>
      <c r="G52" s="1345">
        <f t="shared" si="16"/>
        <v>44075</v>
      </c>
      <c r="H52" s="1345">
        <f t="shared" si="16"/>
        <v>44044</v>
      </c>
      <c r="I52" s="1345">
        <f t="shared" si="16"/>
        <v>44013</v>
      </c>
      <c r="J52" s="1345">
        <f t="shared" si="16"/>
        <v>43983</v>
      </c>
      <c r="K52" s="1345">
        <f t="shared" si="16"/>
        <v>43952</v>
      </c>
      <c r="L52" s="1345">
        <f t="shared" si="16"/>
        <v>43922</v>
      </c>
      <c r="M52" s="1345">
        <f t="shared" si="16"/>
        <v>43891</v>
      </c>
      <c r="N52" s="1345">
        <f t="shared" si="16"/>
        <v>43862</v>
      </c>
      <c r="O52" s="1345">
        <f t="shared" si="16"/>
        <v>43831</v>
      </c>
      <c r="P52" s="464"/>
    </row>
    <row r="53" spans="1:17" s="113" customFormat="1" ht="15">
      <c r="A53" s="466"/>
      <c r="B53" s="467"/>
      <c r="C53" s="1343">
        <v>100</v>
      </c>
      <c r="D53" s="469"/>
      <c r="E53" s="469"/>
      <c r="F53" s="469"/>
      <c r="G53" s="469"/>
      <c r="H53" s="469"/>
      <c r="I53" s="469"/>
      <c r="J53" s="469"/>
      <c r="K53" s="469"/>
      <c r="L53" s="469"/>
      <c r="M53" s="470"/>
      <c r="N53" s="469"/>
      <c r="O53" s="471"/>
      <c r="P53" s="461"/>
    </row>
    <row r="54" spans="1:17" s="113" customFormat="1" ht="15.75" thickBot="1">
      <c r="A54" s="472" t="s">
        <v>2407</v>
      </c>
      <c r="B54" s="473"/>
      <c r="C54" s="474"/>
      <c r="D54" s="475"/>
      <c r="E54" s="475"/>
      <c r="F54" s="475"/>
      <c r="G54" s="475"/>
      <c r="H54" s="475"/>
      <c r="I54" s="475"/>
      <c r="J54" s="475"/>
      <c r="K54" s="475"/>
      <c r="L54" s="475"/>
      <c r="M54" s="476"/>
      <c r="N54" s="2999"/>
      <c r="O54" s="3000"/>
      <c r="P54" s="461"/>
      <c r="Q54" s="461"/>
    </row>
    <row r="55" spans="1:17" s="113" customFormat="1" ht="15">
      <c r="A55" s="478" t="s">
        <v>2372</v>
      </c>
      <c r="B55" s="467"/>
      <c r="C55" s="479" t="s">
        <v>2474</v>
      </c>
      <c r="D55" s="480"/>
      <c r="E55" s="480"/>
      <c r="F55" s="480"/>
      <c r="G55" s="480"/>
      <c r="H55" s="480"/>
      <c r="I55" s="480"/>
      <c r="J55" s="480"/>
      <c r="K55" s="480"/>
      <c r="L55" s="481"/>
      <c r="M55" s="482"/>
      <c r="N55" s="1062"/>
      <c r="O55" s="1062"/>
      <c r="P55" s="483"/>
      <c r="Q55" s="461"/>
    </row>
    <row r="56" spans="1:17" s="113" customFormat="1" ht="15.75" thickBot="1">
      <c r="A56" s="478"/>
      <c r="B56" s="467"/>
      <c r="C56" s="594">
        <v>100</v>
      </c>
      <c r="D56" s="469"/>
      <c r="E56" s="469"/>
      <c r="F56" s="469"/>
      <c r="G56" s="469"/>
      <c r="H56" s="469"/>
      <c r="I56" s="469"/>
      <c r="J56" s="469"/>
      <c r="K56" s="469"/>
      <c r="L56" s="469"/>
      <c r="M56" s="471"/>
      <c r="N56" s="1062"/>
      <c r="O56" s="1062"/>
      <c r="P56" s="461"/>
      <c r="Q56" s="461"/>
    </row>
    <row r="57" spans="1:17">
      <c r="A57" s="484" t="s">
        <v>2410</v>
      </c>
      <c r="B57" s="485" t="s">
        <v>2376</v>
      </c>
      <c r="C57" s="486">
        <f>C9</f>
        <v>0</v>
      </c>
      <c r="D57" s="487"/>
      <c r="E57" s="487"/>
      <c r="F57" s="487"/>
      <c r="G57" s="487"/>
      <c r="H57" s="487"/>
      <c r="I57" s="487"/>
      <c r="J57" s="487"/>
      <c r="K57" s="488"/>
      <c r="L57" s="489"/>
      <c r="M57" s="490"/>
      <c r="N57" s="1063"/>
      <c r="O57" s="1063"/>
      <c r="P57" s="45"/>
      <c r="Q57" s="461"/>
    </row>
    <row r="58" spans="1:17" ht="15.75" thickBot="1">
      <c r="A58" s="491"/>
      <c r="B58" s="492"/>
      <c r="C58" s="493">
        <v>100</v>
      </c>
      <c r="D58" s="493"/>
      <c r="E58" s="493"/>
      <c r="F58" s="493"/>
      <c r="G58" s="493"/>
      <c r="H58" s="493"/>
      <c r="I58" s="493"/>
      <c r="J58" s="493"/>
      <c r="K58" s="493"/>
      <c r="L58" s="493"/>
      <c r="M58" s="494"/>
      <c r="N58" s="1064"/>
      <c r="O58" s="1064"/>
      <c r="P58" s="45"/>
      <c r="Q58" s="461"/>
    </row>
    <row r="59" spans="1:17" ht="27.75" thickTop="1">
      <c r="A59" s="491"/>
      <c r="B59" s="495" t="s">
        <v>2379</v>
      </c>
      <c r="C59" s="496" t="s">
        <v>2411</v>
      </c>
      <c r="D59" s="496" t="s">
        <v>2412</v>
      </c>
      <c r="E59" s="496" t="s">
        <v>2413</v>
      </c>
      <c r="F59" s="496" t="s">
        <v>2414</v>
      </c>
      <c r="G59" s="496" t="s">
        <v>2415</v>
      </c>
      <c r="H59" s="496" t="s">
        <v>2416</v>
      </c>
      <c r="I59" s="496" t="s">
        <v>2417</v>
      </c>
      <c r="J59" s="496"/>
      <c r="K59" s="497"/>
      <c r="L59" s="498"/>
      <c r="M59" s="499"/>
      <c r="N59" s="1063"/>
      <c r="O59" s="1063"/>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4"/>
      <c r="O60" s="1064"/>
      <c r="P60" s="45"/>
      <c r="Q60" s="461"/>
    </row>
    <row r="61" spans="1:17" ht="15.75" thickTop="1">
      <c r="A61" s="491"/>
      <c r="B61" s="503" t="s">
        <v>2380</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4"/>
      <c r="O61" s="1064"/>
      <c r="P61" s="45"/>
      <c r="Q61" s="461"/>
    </row>
    <row r="62" spans="1:17" ht="15">
      <c r="A62" s="491"/>
      <c r="B62" s="505"/>
      <c r="C62" s="506"/>
      <c r="D62" s="506"/>
      <c r="E62" s="506"/>
      <c r="F62" s="506"/>
      <c r="G62" s="506"/>
      <c r="H62" s="506"/>
      <c r="I62" s="506"/>
      <c r="J62" s="506"/>
      <c r="K62" s="507"/>
      <c r="L62" s="508"/>
      <c r="M62" s="509"/>
      <c r="N62" s="1063"/>
      <c r="O62" s="1063"/>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4"/>
      <c r="O63" s="1064"/>
      <c r="P63" s="45"/>
      <c r="Q63" s="461"/>
    </row>
    <row r="64" spans="1:17" s="430" customFormat="1" ht="15.75" thickTop="1">
      <c r="A64" s="510"/>
      <c r="B64" s="495">
        <f>B12</f>
        <v>111</v>
      </c>
      <c r="C64" s="511"/>
      <c r="D64" s="511"/>
      <c r="E64" s="511"/>
      <c r="F64" s="511"/>
      <c r="G64" s="511"/>
      <c r="H64" s="512"/>
      <c r="I64" s="512"/>
      <c r="J64" s="512"/>
      <c r="K64" s="512"/>
      <c r="L64" s="513"/>
      <c r="M64" s="514"/>
      <c r="N64" s="1065"/>
      <c r="O64" s="1065"/>
      <c r="P64" s="515"/>
      <c r="Q64" s="516"/>
    </row>
    <row r="65" spans="1:17" s="430" customFormat="1" ht="15.75" thickBot="1">
      <c r="A65" s="510"/>
      <c r="B65" s="500"/>
      <c r="C65" s="517"/>
      <c r="D65" s="493"/>
      <c r="E65" s="493"/>
      <c r="F65" s="493"/>
      <c r="G65" s="493"/>
      <c r="H65" s="493"/>
      <c r="I65" s="493"/>
      <c r="J65" s="493"/>
      <c r="K65" s="493"/>
      <c r="L65" s="493"/>
      <c r="M65" s="494"/>
      <c r="N65" s="1064"/>
      <c r="O65" s="1064"/>
      <c r="P65" s="515"/>
      <c r="Q65" s="516"/>
    </row>
    <row r="66" spans="1:17" s="430" customFormat="1" ht="15.75" thickTop="1">
      <c r="A66" s="510"/>
      <c r="B66" s="495">
        <f>B13</f>
        <v>111</v>
      </c>
      <c r="C66" s="511"/>
      <c r="D66" s="511"/>
      <c r="E66" s="511"/>
      <c r="F66" s="511"/>
      <c r="G66" s="511"/>
      <c r="H66" s="512"/>
      <c r="I66" s="512"/>
      <c r="J66" s="512"/>
      <c r="K66" s="512"/>
      <c r="L66" s="513"/>
      <c r="M66" s="514"/>
      <c r="N66" s="1065"/>
      <c r="O66" s="1065"/>
      <c r="P66" s="429"/>
      <c r="Q66" s="518"/>
    </row>
    <row r="67" spans="1:17" s="430" customFormat="1" ht="15.75" thickBot="1">
      <c r="A67" s="510"/>
      <c r="B67" s="500"/>
      <c r="C67" s="517"/>
      <c r="D67" s="493"/>
      <c r="E67" s="493"/>
      <c r="F67" s="493"/>
      <c r="G67" s="517"/>
      <c r="H67" s="519"/>
      <c r="I67" s="519"/>
      <c r="J67" s="519"/>
      <c r="K67" s="519"/>
      <c r="L67" s="519"/>
      <c r="M67" s="520"/>
      <c r="N67" s="1065"/>
      <c r="O67" s="1065"/>
      <c r="P67" s="515"/>
      <c r="Q67" s="516"/>
    </row>
    <row r="68" spans="1:17" s="430" customFormat="1" ht="15.75" thickTop="1">
      <c r="A68" s="510"/>
      <c r="B68" s="503">
        <f>B14</f>
        <v>111</v>
      </c>
      <c r="C68" s="480"/>
      <c r="D68" s="480"/>
      <c r="E68" s="480"/>
      <c r="F68" s="480"/>
      <c r="G68" s="480"/>
      <c r="H68" s="521"/>
      <c r="I68" s="521"/>
      <c r="J68" s="521"/>
      <c r="K68" s="521"/>
      <c r="L68" s="522"/>
      <c r="M68" s="523"/>
      <c r="N68" s="1065"/>
      <c r="O68" s="1065"/>
      <c r="P68" s="524"/>
      <c r="Q68" s="516"/>
    </row>
    <row r="69" spans="1:17" s="430" customFormat="1" ht="15.75" thickBot="1">
      <c r="A69" s="525"/>
      <c r="B69" s="526"/>
      <c r="C69" s="527"/>
      <c r="D69" s="527"/>
      <c r="E69" s="527"/>
      <c r="F69" s="527"/>
      <c r="G69" s="527"/>
      <c r="H69" s="528"/>
      <c r="I69" s="528"/>
      <c r="J69" s="528"/>
      <c r="K69" s="528"/>
      <c r="L69" s="528"/>
      <c r="M69" s="529"/>
      <c r="N69" s="1065"/>
      <c r="O69" s="1065"/>
      <c r="P69" s="515"/>
      <c r="Q69" s="516"/>
    </row>
    <row r="70" spans="1:17">
      <c r="A70" s="484" t="s">
        <v>2381</v>
      </c>
      <c r="B70" s="485" t="s">
        <v>2527</v>
      </c>
      <c r="C70" s="530" t="s">
        <v>2419</v>
      </c>
      <c r="D70" s="530" t="s">
        <v>2420</v>
      </c>
      <c r="E70" s="530" t="s">
        <v>2421</v>
      </c>
      <c r="F70" s="530" t="s">
        <v>2422</v>
      </c>
      <c r="G70" s="530" t="s">
        <v>2423</v>
      </c>
      <c r="H70" s="486"/>
      <c r="I70" s="486"/>
      <c r="J70" s="486"/>
      <c r="K70" s="531"/>
      <c r="L70" s="532"/>
      <c r="M70" s="533"/>
      <c r="N70" s="1063"/>
      <c r="O70" s="1063"/>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4"/>
      <c r="O71" s="1064"/>
      <c r="P71" s="45"/>
      <c r="Q71" s="461"/>
    </row>
    <row r="72" spans="1:17" ht="15.75" thickTop="1">
      <c r="A72" s="491"/>
      <c r="B72" s="495" t="s">
        <v>2424</v>
      </c>
      <c r="C72" s="535" t="s">
        <v>2419</v>
      </c>
      <c r="D72" s="535" t="s">
        <v>2420</v>
      </c>
      <c r="E72" s="535" t="s">
        <v>2421</v>
      </c>
      <c r="F72" s="535" t="s">
        <v>2422</v>
      </c>
      <c r="G72" s="535" t="s">
        <v>2423</v>
      </c>
      <c r="H72" s="496"/>
      <c r="I72" s="496"/>
      <c r="J72" s="496"/>
      <c r="K72" s="497"/>
      <c r="L72" s="498"/>
      <c r="M72" s="499"/>
      <c r="N72" s="1063"/>
      <c r="O72" s="1063"/>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4"/>
      <c r="O73" s="1064"/>
      <c r="P73" s="45"/>
      <c r="Q73" s="461"/>
    </row>
    <row r="74" spans="1:17" ht="15.75" thickTop="1">
      <c r="A74" s="491"/>
      <c r="B74" s="495" t="s">
        <v>2425</v>
      </c>
      <c r="C74" s="535" t="s">
        <v>2419</v>
      </c>
      <c r="D74" s="535" t="s">
        <v>2420</v>
      </c>
      <c r="E74" s="535" t="s">
        <v>2421</v>
      </c>
      <c r="F74" s="535" t="s">
        <v>2422</v>
      </c>
      <c r="G74" s="535" t="s">
        <v>2423</v>
      </c>
      <c r="H74" s="496"/>
      <c r="I74" s="496"/>
      <c r="J74" s="496"/>
      <c r="K74" s="497"/>
      <c r="L74" s="498"/>
      <c r="M74" s="499"/>
      <c r="N74" s="1063"/>
      <c r="O74" s="1063"/>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4"/>
      <c r="O75" s="1064"/>
      <c r="P75" s="45"/>
      <c r="Q75" s="461"/>
    </row>
    <row r="76" spans="1:17" ht="15.75" thickTop="1">
      <c r="A76" s="491"/>
      <c r="B76" s="503" t="s">
        <v>2511</v>
      </c>
      <c r="C76" s="615" t="s">
        <v>2497</v>
      </c>
      <c r="D76" s="615" t="s">
        <v>2498</v>
      </c>
      <c r="E76" s="615" t="s">
        <v>2499</v>
      </c>
      <c r="F76" s="615" t="s">
        <v>2500</v>
      </c>
      <c r="G76" s="615" t="s">
        <v>2501</v>
      </c>
      <c r="H76" s="496"/>
      <c r="I76" s="496"/>
      <c r="J76" s="496"/>
      <c r="K76" s="496"/>
      <c r="L76" s="496"/>
      <c r="M76" s="1289"/>
      <c r="N76" s="1064"/>
      <c r="O76" s="1064"/>
      <c r="P76" s="45"/>
      <c r="Q76" s="461"/>
    </row>
    <row r="77" spans="1:17" ht="15.75" thickBot="1">
      <c r="A77" s="491"/>
      <c r="B77" s="503"/>
      <c r="C77" s="501">
        <v>100</v>
      </c>
      <c r="D77" s="501">
        <f>C77-$K21</f>
        <v>100</v>
      </c>
      <c r="E77" s="501">
        <f>D77-$K21</f>
        <v>100</v>
      </c>
      <c r="F77" s="501">
        <f>E77-$K21</f>
        <v>100</v>
      </c>
      <c r="G77" s="501">
        <f>F77-$K21</f>
        <v>100</v>
      </c>
      <c r="H77" s="615"/>
      <c r="I77" s="615"/>
      <c r="J77" s="615"/>
      <c r="K77" s="615"/>
      <c r="L77" s="615"/>
      <c r="M77" s="409"/>
      <c r="N77" s="1064"/>
      <c r="O77" s="1064"/>
      <c r="P77" s="45"/>
      <c r="Q77" s="461"/>
    </row>
    <row r="78" spans="1:17" ht="15.75" thickTop="1">
      <c r="A78" s="491"/>
      <c r="B78" s="495" t="s">
        <v>2520</v>
      </c>
      <c r="C78" s="535" t="s">
        <v>2419</v>
      </c>
      <c r="D78" s="535" t="s">
        <v>2420</v>
      </c>
      <c r="E78" s="535" t="s">
        <v>2421</v>
      </c>
      <c r="F78" s="535" t="s">
        <v>2422</v>
      </c>
      <c r="G78" s="535" t="s">
        <v>2423</v>
      </c>
      <c r="H78" s="496"/>
      <c r="I78" s="496"/>
      <c r="J78" s="496"/>
      <c r="K78" s="497"/>
      <c r="L78" s="498"/>
      <c r="M78" s="499"/>
      <c r="N78" s="1063"/>
      <c r="O78" s="1063"/>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4"/>
      <c r="O79" s="1064"/>
      <c r="P79" s="45"/>
      <c r="Q79" s="461"/>
    </row>
    <row r="80" spans="1:17" s="113" customFormat="1" ht="15.75" thickTop="1">
      <c r="A80" s="536"/>
      <c r="B80" s="495">
        <f>B25</f>
        <v>111</v>
      </c>
      <c r="C80" s="511"/>
      <c r="D80" s="511"/>
      <c r="E80" s="511"/>
      <c r="F80" s="511"/>
      <c r="G80" s="511"/>
      <c r="H80" s="511"/>
      <c r="I80" s="511"/>
      <c r="J80" s="511"/>
      <c r="K80" s="511"/>
      <c r="L80" s="537"/>
      <c r="M80" s="538"/>
      <c r="N80" s="1062"/>
      <c r="O80" s="1062"/>
      <c r="P80" s="45"/>
      <c r="Q80" s="461"/>
    </row>
    <row r="81" spans="1:17" s="113" customFormat="1" ht="15.75" thickBot="1">
      <c r="A81" s="536"/>
      <c r="B81" s="500"/>
      <c r="C81" s="517"/>
      <c r="D81" s="493"/>
      <c r="E81" s="493"/>
      <c r="F81" s="493"/>
      <c r="G81" s="493"/>
      <c r="H81" s="493"/>
      <c r="I81" s="493"/>
      <c r="J81" s="493"/>
      <c r="K81" s="493"/>
      <c r="L81" s="493"/>
      <c r="M81" s="494"/>
      <c r="N81" s="1064"/>
      <c r="O81" s="1064"/>
      <c r="P81" s="45"/>
      <c r="Q81" s="461"/>
    </row>
    <row r="82" spans="1:17" s="113" customFormat="1" ht="15.75" thickTop="1">
      <c r="A82" s="536"/>
      <c r="B82" s="495">
        <f>B26</f>
        <v>111</v>
      </c>
      <c r="C82" s="511"/>
      <c r="D82" s="511"/>
      <c r="E82" s="511"/>
      <c r="F82" s="511"/>
      <c r="G82" s="511"/>
      <c r="H82" s="511"/>
      <c r="I82" s="511"/>
      <c r="J82" s="511"/>
      <c r="K82" s="511"/>
      <c r="L82" s="537"/>
      <c r="M82" s="538"/>
      <c r="N82" s="1062"/>
      <c r="O82" s="1062"/>
      <c r="P82" s="45"/>
      <c r="Q82" s="461"/>
    </row>
    <row r="83" spans="1:17" s="113" customFormat="1" ht="15.75" thickBot="1">
      <c r="A83" s="536"/>
      <c r="B83" s="500"/>
      <c r="C83" s="517"/>
      <c r="D83" s="493"/>
      <c r="E83" s="493"/>
      <c r="F83" s="493"/>
      <c r="G83" s="493"/>
      <c r="H83" s="493"/>
      <c r="I83" s="493"/>
      <c r="J83" s="493"/>
      <c r="K83" s="493"/>
      <c r="L83" s="493"/>
      <c r="M83" s="494"/>
      <c r="N83" s="1064"/>
      <c r="O83" s="1064"/>
      <c r="P83" s="45"/>
      <c r="Q83" s="461"/>
    </row>
    <row r="84" spans="1:17" s="430" customFormat="1" ht="15.75" thickTop="1">
      <c r="A84" s="510"/>
      <c r="B84" s="495">
        <f>B27</f>
        <v>111</v>
      </c>
      <c r="C84" s="511"/>
      <c r="D84" s="511"/>
      <c r="E84" s="511"/>
      <c r="F84" s="511"/>
      <c r="G84" s="511"/>
      <c r="H84" s="511"/>
      <c r="I84" s="511"/>
      <c r="J84" s="511"/>
      <c r="K84" s="511"/>
      <c r="L84" s="537"/>
      <c r="M84" s="538"/>
      <c r="N84" s="1065"/>
      <c r="O84" s="1065"/>
      <c r="P84" s="515"/>
      <c r="Q84" s="516"/>
    </row>
    <row r="85" spans="1:17" s="430" customFormat="1" ht="15.75" thickBot="1">
      <c r="A85" s="510"/>
      <c r="B85" s="500"/>
      <c r="C85" s="517"/>
      <c r="D85" s="493"/>
      <c r="E85" s="493"/>
      <c r="F85" s="493"/>
      <c r="G85" s="493"/>
      <c r="H85" s="493"/>
      <c r="I85" s="493"/>
      <c r="J85" s="493"/>
      <c r="K85" s="493"/>
      <c r="L85" s="493"/>
      <c r="M85" s="494"/>
      <c r="N85" s="1065"/>
      <c r="O85" s="1065"/>
      <c r="P85" s="515"/>
      <c r="Q85" s="516"/>
    </row>
    <row r="86" spans="1:17" ht="15.75" thickTop="1">
      <c r="A86" s="491"/>
      <c r="B86" s="503">
        <f>B28</f>
        <v>111</v>
      </c>
      <c r="C86" s="480"/>
      <c r="D86" s="480"/>
      <c r="E86" s="480"/>
      <c r="F86" s="480"/>
      <c r="G86" s="544"/>
      <c r="H86" s="544"/>
      <c r="I86" s="544"/>
      <c r="J86" s="544"/>
      <c r="K86" s="545"/>
      <c r="L86" s="546"/>
      <c r="M86" s="547"/>
      <c r="N86" s="1063"/>
      <c r="O86" s="1063"/>
      <c r="P86" s="45"/>
      <c r="Q86" s="461"/>
    </row>
    <row r="87" spans="1:17" ht="15.75" thickBot="1">
      <c r="A87" s="2114"/>
      <c r="B87" s="526"/>
      <c r="C87" s="527"/>
      <c r="D87" s="527"/>
      <c r="E87" s="527"/>
      <c r="F87" s="527"/>
      <c r="G87" s="548"/>
      <c r="H87" s="548"/>
      <c r="I87" s="548"/>
      <c r="J87" s="548"/>
      <c r="K87" s="548"/>
      <c r="L87" s="548"/>
      <c r="M87" s="549"/>
      <c r="N87" s="1064"/>
      <c r="O87" s="1064"/>
      <c r="P87" s="45"/>
      <c r="Q87" s="461"/>
    </row>
    <row r="88" spans="1:17">
      <c r="A88" s="484" t="s">
        <v>2385</v>
      </c>
      <c r="B88" s="485" t="s">
        <v>2434</v>
      </c>
      <c r="C88" s="487"/>
      <c r="D88" s="487"/>
      <c r="E88" s="487"/>
      <c r="F88" s="487"/>
      <c r="G88" s="487"/>
      <c r="H88" s="487"/>
      <c r="I88" s="487"/>
      <c r="J88" s="487"/>
      <c r="K88" s="488"/>
      <c r="L88" s="489"/>
      <c r="M88" s="490"/>
      <c r="N88" s="1063"/>
      <c r="O88" s="1063"/>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4"/>
      <c r="O89" s="1064"/>
      <c r="P89" s="45"/>
      <c r="Q89" s="461"/>
    </row>
    <row r="90" spans="1:17" ht="15.75" thickTop="1">
      <c r="A90" s="491"/>
      <c r="B90" s="495" t="s">
        <v>2435</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7" t="str">
        <f>M91&amp;"(含)"&amp;"-"&amp;P91</f>
        <v>(含)-</v>
      </c>
      <c r="N90" s="1062"/>
      <c r="O90" s="1062"/>
      <c r="P90" s="45"/>
      <c r="Q90" s="461"/>
    </row>
    <row r="91" spans="1:17" s="430" customFormat="1">
      <c r="A91" s="550"/>
      <c r="B91" s="551"/>
      <c r="C91" s="552"/>
      <c r="D91" s="552"/>
      <c r="E91" s="552"/>
      <c r="F91" s="552"/>
      <c r="G91" s="552"/>
      <c r="H91" s="552"/>
      <c r="I91" s="552"/>
      <c r="J91" s="553"/>
      <c r="K91" s="553"/>
      <c r="L91" s="554"/>
      <c r="M91" s="555"/>
      <c r="N91" s="1065"/>
      <c r="O91" s="1065"/>
      <c r="P91" s="515"/>
      <c r="Q91" s="516"/>
    </row>
    <row r="92" spans="1:17" s="430" customFormat="1" ht="15.75" thickBot="1">
      <c r="A92" s="510"/>
      <c r="B92" s="500"/>
      <c r="C92" s="517"/>
      <c r="D92" s="493"/>
      <c r="E92" s="493"/>
      <c r="F92" s="493"/>
      <c r="G92" s="493"/>
      <c r="H92" s="493"/>
      <c r="I92" s="493"/>
      <c r="J92" s="493"/>
      <c r="K92" s="493"/>
      <c r="L92" s="493"/>
      <c r="M92" s="494"/>
      <c r="N92" s="1064"/>
      <c r="O92" s="1064"/>
      <c r="P92" s="515"/>
      <c r="Q92" s="516"/>
    </row>
    <row r="93" spans="1:17" ht="15" thickTop="1">
      <c r="A93" s="556"/>
      <c r="B93" s="495" t="s">
        <v>2436</v>
      </c>
      <c r="C93" s="511"/>
      <c r="D93" s="511"/>
      <c r="E93" s="540"/>
      <c r="F93" s="540"/>
      <c r="G93" s="540"/>
      <c r="H93" s="540"/>
      <c r="I93" s="540"/>
      <c r="J93" s="540"/>
      <c r="K93" s="541"/>
      <c r="L93" s="542"/>
      <c r="M93" s="543"/>
      <c r="N93" s="1063"/>
      <c r="O93" s="1063"/>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4"/>
      <c r="O94" s="1064"/>
      <c r="P94" s="45"/>
      <c r="Q94" s="461"/>
    </row>
    <row r="95" spans="1:17" ht="15" thickTop="1">
      <c r="A95" s="556"/>
      <c r="B95" s="495" t="s">
        <v>2438</v>
      </c>
      <c r="C95" s="511"/>
      <c r="D95" s="511"/>
      <c r="E95" s="511"/>
      <c r="F95" s="540"/>
      <c r="G95" s="540"/>
      <c r="H95" s="540"/>
      <c r="I95" s="540"/>
      <c r="J95" s="540"/>
      <c r="K95" s="541"/>
      <c r="L95" s="542"/>
      <c r="M95" s="543"/>
      <c r="N95" s="1063"/>
      <c r="O95" s="1063"/>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4"/>
      <c r="O96" s="1064"/>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3"/>
      <c r="O97" s="1063"/>
      <c r="P97" s="45"/>
      <c r="Q97" s="461"/>
    </row>
    <row r="98" spans="1:17">
      <c r="A98" s="556"/>
      <c r="B98" s="503"/>
      <c r="C98" s="560">
        <v>0.5</v>
      </c>
      <c r="D98" s="560">
        <v>0.6</v>
      </c>
      <c r="E98" s="560">
        <v>0.7</v>
      </c>
      <c r="F98" s="560">
        <v>0.8</v>
      </c>
      <c r="G98" s="560">
        <v>0.9</v>
      </c>
      <c r="H98" s="560">
        <v>1.0001</v>
      </c>
      <c r="I98" s="578"/>
      <c r="J98" s="578"/>
      <c r="K98" s="579"/>
      <c r="L98" s="580"/>
      <c r="M98" s="581"/>
      <c r="N98" s="1063"/>
      <c r="O98" s="1063"/>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4"/>
      <c r="O99" s="1064"/>
      <c r="P99" s="45"/>
      <c r="Q99" s="461"/>
    </row>
    <row r="100" spans="1:17" s="430" customFormat="1" ht="15" thickTop="1">
      <c r="A100" s="550"/>
      <c r="B100" s="495" t="s">
        <v>2439</v>
      </c>
      <c r="C100" s="511"/>
      <c r="D100" s="511"/>
      <c r="E100" s="511"/>
      <c r="F100" s="511"/>
      <c r="G100" s="511"/>
      <c r="H100" s="540"/>
      <c r="I100" s="540"/>
      <c r="J100" s="540"/>
      <c r="K100" s="541"/>
      <c r="L100" s="542"/>
      <c r="M100" s="543"/>
      <c r="N100" s="1065"/>
      <c r="O100" s="1065"/>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5"/>
      <c r="O101" s="1065"/>
      <c r="P101" s="515"/>
      <c r="Q101" s="516"/>
    </row>
    <row r="102" spans="1:17" ht="15" thickTop="1">
      <c r="A102" s="556"/>
      <c r="B102" s="495" t="s">
        <v>2440</v>
      </c>
      <c r="C102" s="511"/>
      <c r="D102" s="511"/>
      <c r="E102" s="511"/>
      <c r="F102" s="511"/>
      <c r="G102" s="511"/>
      <c r="H102" s="540"/>
      <c r="I102" s="540"/>
      <c r="J102" s="540"/>
      <c r="K102" s="541"/>
      <c r="L102" s="542"/>
      <c r="M102" s="543"/>
      <c r="N102" s="1063"/>
      <c r="O102" s="1063"/>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4"/>
      <c r="O103" s="1064"/>
      <c r="P103" s="45"/>
      <c r="Q103" s="461"/>
    </row>
    <row r="104" spans="1:17" ht="15" thickTop="1">
      <c r="A104" s="556"/>
      <c r="B104" s="495" t="s">
        <v>2442</v>
      </c>
      <c r="C104" s="511"/>
      <c r="D104" s="511"/>
      <c r="E104" s="511"/>
      <c r="F104" s="511"/>
      <c r="G104" s="511"/>
      <c r="H104" s="540"/>
      <c r="I104" s="540"/>
      <c r="J104" s="540"/>
      <c r="K104" s="541"/>
      <c r="L104" s="542"/>
      <c r="M104" s="543"/>
      <c r="N104" s="1063"/>
      <c r="O104" s="1063"/>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4"/>
      <c r="O105" s="1064"/>
      <c r="P105" s="45"/>
      <c r="Q105" s="461"/>
    </row>
    <row r="106" spans="1:17" ht="15" thickTop="1">
      <c r="A106" s="556"/>
      <c r="B106" s="591" t="s">
        <v>2528</v>
      </c>
      <c r="C106" s="535" t="s">
        <v>2419</v>
      </c>
      <c r="D106" s="535" t="s">
        <v>2420</v>
      </c>
      <c r="E106" s="535" t="s">
        <v>2421</v>
      </c>
      <c r="F106" s="535" t="s">
        <v>2422</v>
      </c>
      <c r="G106" s="535" t="s">
        <v>2423</v>
      </c>
      <c r="H106" s="496"/>
      <c r="I106" s="496"/>
      <c r="J106" s="496"/>
      <c r="K106" s="497"/>
      <c r="L106" s="498"/>
      <c r="M106" s="499"/>
      <c r="N106" s="1064"/>
      <c r="O106" s="1064"/>
      <c r="P106" s="592"/>
      <c r="Q106" s="593"/>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4"/>
      <c r="O107" s="1064"/>
      <c r="P107" s="45"/>
      <c r="Q107" s="461"/>
    </row>
    <row r="108" spans="1:17" s="430" customFormat="1" ht="15" thickTop="1">
      <c r="A108" s="550"/>
      <c r="B108" s="495">
        <f>B38</f>
        <v>111</v>
      </c>
      <c r="C108" s="511"/>
      <c r="D108" s="511"/>
      <c r="E108" s="511"/>
      <c r="F108" s="511"/>
      <c r="G108" s="511"/>
      <c r="H108" s="512"/>
      <c r="I108" s="512"/>
      <c r="J108" s="512"/>
      <c r="K108" s="512"/>
      <c r="L108" s="513"/>
      <c r="M108" s="514"/>
      <c r="N108" s="1065"/>
      <c r="O108" s="1065"/>
      <c r="P108" s="515"/>
      <c r="Q108" s="516"/>
    </row>
    <row r="109" spans="1:17" s="430" customFormat="1" ht="15.75" thickBot="1">
      <c r="A109" s="510"/>
      <c r="B109" s="492"/>
      <c r="C109" s="517"/>
      <c r="D109" s="493"/>
      <c r="E109" s="493"/>
      <c r="F109" s="493"/>
      <c r="G109" s="517"/>
      <c r="H109" s="519"/>
      <c r="I109" s="519"/>
      <c r="J109" s="519"/>
      <c r="K109" s="519"/>
      <c r="L109" s="519"/>
      <c r="M109" s="520"/>
      <c r="N109" s="1065"/>
      <c r="O109" s="1065"/>
      <c r="P109" s="515"/>
      <c r="Q109" s="516"/>
    </row>
    <row r="110" spans="1:17" ht="15" thickTop="1">
      <c r="A110" s="556"/>
      <c r="B110" s="495">
        <f>B39</f>
        <v>111</v>
      </c>
      <c r="C110" s="511"/>
      <c r="D110" s="511"/>
      <c r="E110" s="511"/>
      <c r="F110" s="511"/>
      <c r="G110" s="511"/>
      <c r="H110" s="512"/>
      <c r="I110" s="512"/>
      <c r="J110" s="512"/>
      <c r="K110" s="512"/>
      <c r="L110" s="513"/>
      <c r="M110" s="514"/>
      <c r="N110" s="1063"/>
      <c r="O110" s="1063"/>
      <c r="P110" s="45"/>
      <c r="Q110" s="461"/>
    </row>
    <row r="111" spans="1:17" ht="15.75" thickBot="1">
      <c r="A111" s="491"/>
      <c r="B111" s="500"/>
      <c r="C111" s="517"/>
      <c r="D111" s="493"/>
      <c r="E111" s="493"/>
      <c r="F111" s="493"/>
      <c r="G111" s="517"/>
      <c r="H111" s="519"/>
      <c r="I111" s="519"/>
      <c r="J111" s="519"/>
      <c r="K111" s="519"/>
      <c r="L111" s="519"/>
      <c r="M111" s="520"/>
      <c r="N111" s="1064"/>
      <c r="O111" s="1064"/>
      <c r="P111" s="45"/>
      <c r="Q111" s="461"/>
    </row>
    <row r="112" spans="1:17" ht="15" thickTop="1">
      <c r="A112" s="556"/>
      <c r="B112" s="503">
        <f>B40</f>
        <v>111</v>
      </c>
      <c r="C112" s="480"/>
      <c r="D112" s="480"/>
      <c r="E112" s="480"/>
      <c r="F112" s="480"/>
      <c r="G112" s="544"/>
      <c r="H112" s="544"/>
      <c r="I112" s="544"/>
      <c r="J112" s="544"/>
      <c r="K112" s="480"/>
      <c r="L112" s="481"/>
      <c r="M112" s="547"/>
      <c r="N112" s="1063"/>
      <c r="O112" s="1063"/>
      <c r="P112" s="45"/>
      <c r="Q112" s="461"/>
    </row>
    <row r="113" spans="1:17" ht="15.75" thickBot="1">
      <c r="A113" s="2114"/>
      <c r="B113" s="526"/>
      <c r="C113" s="527"/>
      <c r="D113" s="527"/>
      <c r="E113" s="527"/>
      <c r="F113" s="527"/>
      <c r="G113" s="548"/>
      <c r="H113" s="548"/>
      <c r="I113" s="548"/>
      <c r="J113" s="548"/>
      <c r="K113" s="548"/>
      <c r="L113" s="548"/>
      <c r="M113" s="549"/>
      <c r="N113" s="1064"/>
      <c r="O113" s="1064"/>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2529</v>
      </c>
      <c r="B1" s="1389"/>
      <c r="C1" s="1390" t="s">
        <v>2352</v>
      </c>
      <c r="D1" s="1391"/>
      <c r="E1" s="1392"/>
      <c r="F1" s="2065"/>
      <c r="G1" s="1393" t="s">
        <v>2465</v>
      </c>
      <c r="H1" s="1392"/>
      <c r="I1" s="1392"/>
      <c r="J1" s="1392"/>
      <c r="K1" s="1394"/>
      <c r="L1" s="1395"/>
      <c r="M1" s="1396"/>
      <c r="N1" s="1396"/>
      <c r="O1" s="1396"/>
      <c r="P1" s="1397"/>
      <c r="Q1" s="1390"/>
      <c r="R1" s="1390"/>
      <c r="S1" s="1390"/>
      <c r="T1" s="1390"/>
      <c r="U1" s="1390"/>
      <c r="V1" s="1390"/>
      <c r="W1" s="1390"/>
      <c r="X1" s="1390"/>
      <c r="Y1" s="1390"/>
      <c r="Z1" s="1390"/>
      <c r="AA1" s="1390"/>
      <c r="AB1" s="1390"/>
      <c r="AC1" s="1398"/>
    </row>
    <row r="2" spans="1:29" s="358" customFormat="1" ht="28.5" customHeight="1" thickTop="1">
      <c r="A2" s="1387" t="s">
        <v>2149</v>
      </c>
      <c r="B2" s="1324" t="e">
        <f ca="1">IF(C2="——",IF(B37="元/平方米",ROUND(C39*D3/10000,0),ROUND(F3*C39/10000,0)),IF(B37="元/平方米",ROUND(C39*D3/10000,0),ROUND(F3*C39/10000,0))-D2)</f>
        <v>#DIV/0!</v>
      </c>
      <c r="C2" s="2067"/>
      <c r="D2" s="1037" t="e">
        <f ca="1">SUMIF(INDIRECT("'"&amp;F2&amp;"'"&amp;"!A:A"),"承租人权益价值",INDIRECT("'"&amp;F2&amp;"'"&amp;"!c:c"))</f>
        <v>#REF!</v>
      </c>
      <c r="E2" s="2068" t="s">
        <v>2150</v>
      </c>
      <c r="F2" s="2069"/>
      <c r="G2" s="1038"/>
      <c r="H2" s="1038"/>
      <c r="I2" s="1038"/>
      <c r="J2" s="1038"/>
      <c r="K2" s="1040"/>
      <c r="L2" s="2963"/>
      <c r="M2" s="2964"/>
      <c r="N2" s="2964"/>
      <c r="O2" s="2964"/>
      <c r="P2" s="1325"/>
      <c r="Q2" s="707"/>
      <c r="R2" s="707"/>
      <c r="S2" s="707"/>
      <c r="T2" s="707"/>
      <c r="U2" s="707"/>
      <c r="V2" s="707"/>
      <c r="W2" s="707"/>
      <c r="X2" s="707"/>
      <c r="Y2" s="707"/>
      <c r="Z2" s="707"/>
      <c r="AA2" s="707"/>
      <c r="AB2" s="707"/>
      <c r="AC2" s="708"/>
    </row>
    <row r="3" spans="1:29" s="358" customFormat="1" ht="28.5" customHeight="1" thickBot="1">
      <c r="A3" s="209" t="s">
        <v>2151</v>
      </c>
      <c r="B3" s="566" t="e">
        <f ca="1">IF(AND(C2="——",B37="元/平方米"),C39,ROUND(B2*10000/D3,0))</f>
        <v>#DIV/0!</v>
      </c>
      <c r="C3" s="360" t="s">
        <v>2466</v>
      </c>
      <c r="D3" s="359">
        <f>SUMIF('数据-汇总表'!$C19:$C33,D1,'数据-汇总表'!$E19:$E33)</f>
        <v>0</v>
      </c>
      <c r="E3" s="360" t="s">
        <v>2530</v>
      </c>
      <c r="F3" s="359">
        <f>SUMIF('数据-取费表'!A5:A15,D1,'数据-取费表'!AH5:AH15)</f>
        <v>0</v>
      </c>
      <c r="G3" s="1038"/>
      <c r="H3" s="1038"/>
      <c r="I3" s="1038"/>
      <c r="J3" s="1038"/>
      <c r="K3" s="1040"/>
      <c r="L3" s="2963"/>
      <c r="M3" s="2964"/>
      <c r="N3" s="2964"/>
      <c r="O3" s="2964"/>
      <c r="P3" s="1325"/>
      <c r="Q3" s="707"/>
      <c r="R3" s="707"/>
      <c r="S3" s="707"/>
      <c r="T3" s="707"/>
      <c r="U3" s="707"/>
      <c r="V3" s="707"/>
      <c r="W3" s="707"/>
      <c r="X3" s="707"/>
      <c r="Y3" s="707"/>
      <c r="Z3" s="707"/>
      <c r="AA3" s="707"/>
      <c r="AB3" s="724"/>
      <c r="AC3" s="721"/>
    </row>
    <row r="4" spans="1:29" ht="15">
      <c r="A4" s="361" t="s">
        <v>2467</v>
      </c>
      <c r="B4" s="362"/>
      <c r="C4" s="3277" t="s">
        <v>2468</v>
      </c>
      <c r="D4" s="3278"/>
      <c r="E4" s="3279" t="s">
        <v>2469</v>
      </c>
      <c r="F4" s="3280"/>
      <c r="G4" s="3277" t="s">
        <v>2470</v>
      </c>
      <c r="H4" s="3278"/>
      <c r="I4" s="3277" t="s">
        <v>2471</v>
      </c>
      <c r="J4" s="3278"/>
      <c r="K4" s="567" t="s">
        <v>2472</v>
      </c>
      <c r="L4" s="2944"/>
      <c r="M4" s="2945"/>
      <c r="N4" s="2945"/>
      <c r="O4" s="2945"/>
      <c r="P4" s="3281" t="s">
        <v>2473</v>
      </c>
      <c r="Q4" s="3282"/>
      <c r="R4" s="3264" t="s">
        <v>2469</v>
      </c>
      <c r="S4" s="3265"/>
      <c r="T4" s="3264" t="s">
        <v>2470</v>
      </c>
      <c r="U4" s="3265"/>
      <c r="V4" s="3289" t="s">
        <v>2471</v>
      </c>
      <c r="W4" s="3289"/>
      <c r="X4" s="1539"/>
      <c r="Y4" s="3264" t="s">
        <v>2473</v>
      </c>
      <c r="Z4" s="3265"/>
      <c r="AA4" s="3259" t="s">
        <v>2469</v>
      </c>
      <c r="AB4" s="3260" t="s">
        <v>2470</v>
      </c>
      <c r="AC4" s="3259" t="s">
        <v>2471</v>
      </c>
    </row>
    <row r="5" spans="1:29" ht="15">
      <c r="A5" s="364"/>
      <c r="B5" s="365"/>
      <c r="C5" s="3270" t="s">
        <v>2364</v>
      </c>
      <c r="D5" s="3271"/>
      <c r="E5" s="3268" t="s">
        <v>2365</v>
      </c>
      <c r="F5" s="3269"/>
      <c r="G5" s="3270" t="s">
        <v>2366</v>
      </c>
      <c r="H5" s="3271"/>
      <c r="I5" s="3270" t="s">
        <v>2367</v>
      </c>
      <c r="J5" s="3271"/>
      <c r="K5" s="567"/>
      <c r="L5" s="2944"/>
      <c r="M5" s="2945"/>
      <c r="N5" s="2945"/>
      <c r="O5" s="2945"/>
      <c r="P5" s="3283"/>
      <c r="Q5" s="3284"/>
      <c r="R5" s="3266"/>
      <c r="S5" s="3267"/>
      <c r="T5" s="3266"/>
      <c r="U5" s="3267"/>
      <c r="V5" s="3289"/>
      <c r="W5" s="3289"/>
      <c r="X5" s="1539"/>
      <c r="Y5" s="3266"/>
      <c r="Z5" s="3267"/>
      <c r="AA5" s="3260"/>
      <c r="AB5" s="3260"/>
      <c r="AC5" s="3260"/>
    </row>
    <row r="6" spans="1:29" ht="15.75" thickBot="1">
      <c r="A6" s="366"/>
      <c r="B6" s="367"/>
      <c r="C6" s="3272" t="s">
        <v>2368</v>
      </c>
      <c r="D6" s="3273"/>
      <c r="E6" s="3274" t="s">
        <v>2368</v>
      </c>
      <c r="F6" s="3275"/>
      <c r="G6" s="3272" t="s">
        <v>2368</v>
      </c>
      <c r="H6" s="3273"/>
      <c r="I6" s="3272" t="s">
        <v>2368</v>
      </c>
      <c r="J6" s="3273"/>
      <c r="K6" s="567" t="s">
        <v>2369</v>
      </c>
      <c r="L6" s="2944"/>
      <c r="M6" s="2945"/>
      <c r="N6" s="2945"/>
      <c r="O6" s="2945"/>
      <c r="P6" s="3285"/>
      <c r="Q6" s="3286"/>
      <c r="R6" s="3266"/>
      <c r="S6" s="3267"/>
      <c r="T6" s="3287"/>
      <c r="U6" s="3288"/>
      <c r="V6" s="3289"/>
      <c r="W6" s="3289"/>
      <c r="X6" s="1539"/>
      <c r="Y6" s="3287"/>
      <c r="Z6" s="3288"/>
      <c r="AA6" s="3261"/>
      <c r="AB6" s="3261"/>
      <c r="AC6" s="3261"/>
    </row>
    <row r="7" spans="1:29" s="113" customFormat="1" ht="15.75" thickBot="1">
      <c r="A7" s="368" t="s">
        <v>2370</v>
      </c>
      <c r="B7" s="369"/>
      <c r="C7" s="370">
        <f>'数据-取费表'!B2</f>
        <v>44224</v>
      </c>
      <c r="D7" s="371">
        <v>100</v>
      </c>
      <c r="E7" s="372"/>
      <c r="F7" s="373">
        <f>SUMIF(48:48,YEAR(E7)&amp;"-"&amp;MONTH(E7),49:49)</f>
        <v>0</v>
      </c>
      <c r="G7" s="372"/>
      <c r="H7" s="371">
        <f>SUMIF(48:48,YEAR(G7)&amp;"-"&amp;MONTH(G7),49:49)</f>
        <v>0</v>
      </c>
      <c r="I7" s="372"/>
      <c r="J7" s="371">
        <f>SUMIF(48:48,YEAR(I7)&amp;"-"&amp;MONTH(I7),49:49)</f>
        <v>0</v>
      </c>
      <c r="K7" s="568"/>
      <c r="L7" s="2946"/>
      <c r="M7" s="2947"/>
      <c r="N7" s="2947"/>
      <c r="O7" s="2947"/>
      <c r="P7" s="3262" t="s">
        <v>2371</v>
      </c>
      <c r="Q7" s="3290"/>
      <c r="R7" s="709" t="s">
        <v>17</v>
      </c>
      <c r="S7" s="710">
        <f t="shared" ref="S7:S14" si="0">F7</f>
        <v>0</v>
      </c>
      <c r="T7" s="709" t="s">
        <v>17</v>
      </c>
      <c r="U7" s="710">
        <f t="shared" ref="U7:U14" si="1">H7</f>
        <v>0</v>
      </c>
      <c r="V7" s="709" t="s">
        <v>17</v>
      </c>
      <c r="W7" s="710">
        <f t="shared" ref="W7:W14" si="2">J7</f>
        <v>0</v>
      </c>
      <c r="X7" s="711"/>
      <c r="Y7" s="3262" t="s">
        <v>2371</v>
      </c>
      <c r="Z7" s="3263"/>
      <c r="AA7" s="712" t="e">
        <f>D7/F7</f>
        <v>#DIV/0!</v>
      </c>
      <c r="AB7" s="712" t="e">
        <f>D7/H7</f>
        <v>#DIV/0!</v>
      </c>
      <c r="AC7" s="712" t="e">
        <f>D7/J7</f>
        <v>#DIV/0!</v>
      </c>
    </row>
    <row r="8" spans="1:29" s="113" customFormat="1" ht="15.75" thickBot="1">
      <c r="A8" s="368" t="s">
        <v>2372</v>
      </c>
      <c r="B8" s="369"/>
      <c r="C8" s="374" t="s">
        <v>2474</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262" t="s">
        <v>2374</v>
      </c>
      <c r="Q8" s="3263"/>
      <c r="R8" s="709" t="s">
        <v>17</v>
      </c>
      <c r="S8" s="710">
        <f t="shared" si="0"/>
        <v>0</v>
      </c>
      <c r="T8" s="709" t="s">
        <v>17</v>
      </c>
      <c r="U8" s="710">
        <f t="shared" si="1"/>
        <v>0</v>
      </c>
      <c r="V8" s="709" t="s">
        <v>17</v>
      </c>
      <c r="W8" s="710">
        <f t="shared" si="2"/>
        <v>0</v>
      </c>
      <c r="X8" s="711"/>
      <c r="Y8" s="3262" t="s">
        <v>2374</v>
      </c>
      <c r="Z8" s="3263"/>
      <c r="AA8" s="712" t="e">
        <f t="shared" ref="AA8:AA36" si="3">D8/F8</f>
        <v>#DIV/0!</v>
      </c>
      <c r="AB8" s="712" t="e">
        <f t="shared" ref="AB8:AB36" si="4">D8/H8</f>
        <v>#DIV/0!</v>
      </c>
      <c r="AC8" s="712" t="e">
        <f t="shared" ref="AC8:AC36" si="5">D8/J8</f>
        <v>#DIV/0!</v>
      </c>
    </row>
    <row r="9" spans="1:29" s="113" customFormat="1">
      <c r="A9" s="64" t="s">
        <v>2375</v>
      </c>
      <c r="B9" s="595" t="s">
        <v>2376</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276" t="s">
        <v>2377</v>
      </c>
      <c r="Q9" s="1527" t="str">
        <f t="shared" ref="Q9:Q14" si="6">B9</f>
        <v>用途</v>
      </c>
      <c r="R9" s="709" t="s">
        <v>17</v>
      </c>
      <c r="S9" s="710">
        <f t="shared" si="0"/>
        <v>100</v>
      </c>
      <c r="T9" s="709" t="s">
        <v>17</v>
      </c>
      <c r="U9" s="710">
        <f t="shared" si="1"/>
        <v>100</v>
      </c>
      <c r="V9" s="709" t="s">
        <v>17</v>
      </c>
      <c r="W9" s="710">
        <f t="shared" si="2"/>
        <v>100</v>
      </c>
      <c r="X9" s="711"/>
      <c r="Y9" s="3232" t="s">
        <v>2378</v>
      </c>
      <c r="Z9" s="55" t="str">
        <f t="shared" ref="Z9:Z14" si="7">Q9</f>
        <v>用途</v>
      </c>
      <c r="AA9" s="712">
        <f t="shared" si="3"/>
        <v>1</v>
      </c>
      <c r="AB9" s="712">
        <f t="shared" si="4"/>
        <v>1</v>
      </c>
      <c r="AC9" s="712">
        <f t="shared" si="5"/>
        <v>1</v>
      </c>
    </row>
    <row r="10" spans="1:29" s="386" customFormat="1" ht="27">
      <c r="A10" s="596"/>
      <c r="B10" s="597" t="s">
        <v>2379</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276"/>
      <c r="Q10" s="1527" t="str">
        <f t="shared" si="6"/>
        <v>土地使用年限（年）</v>
      </c>
      <c r="R10" s="709" t="s">
        <v>17</v>
      </c>
      <c r="S10" s="710">
        <f t="shared" si="0"/>
        <v>100</v>
      </c>
      <c r="T10" s="709" t="s">
        <v>17</v>
      </c>
      <c r="U10" s="710">
        <f t="shared" si="1"/>
        <v>100</v>
      </c>
      <c r="V10" s="709" t="s">
        <v>17</v>
      </c>
      <c r="W10" s="710">
        <f t="shared" si="2"/>
        <v>100</v>
      </c>
      <c r="X10" s="711"/>
      <c r="Y10" s="3232"/>
      <c r="Z10" s="55" t="str">
        <f t="shared" si="7"/>
        <v>土地使用年限（年）</v>
      </c>
      <c r="AA10" s="712">
        <f t="shared" si="3"/>
        <v>1</v>
      </c>
      <c r="AB10" s="712">
        <f t="shared" si="4"/>
        <v>1</v>
      </c>
      <c r="AC10" s="712">
        <f t="shared" si="5"/>
        <v>1</v>
      </c>
    </row>
    <row r="11" spans="1:29" ht="15">
      <c r="A11" s="598"/>
      <c r="B11" s="599">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276"/>
      <c r="Q11" s="1527">
        <f t="shared" si="6"/>
        <v>111</v>
      </c>
      <c r="R11" s="709" t="s">
        <v>17</v>
      </c>
      <c r="S11" s="710">
        <f t="shared" si="0"/>
        <v>100</v>
      </c>
      <c r="T11" s="709" t="s">
        <v>17</v>
      </c>
      <c r="U11" s="710">
        <f t="shared" si="1"/>
        <v>100</v>
      </c>
      <c r="V11" s="709" t="s">
        <v>17</v>
      </c>
      <c r="W11" s="710">
        <f t="shared" si="2"/>
        <v>100</v>
      </c>
      <c r="X11" s="711"/>
      <c r="Y11" s="3232"/>
      <c r="Z11" s="55">
        <f t="shared" si="7"/>
        <v>111</v>
      </c>
      <c r="AA11" s="712">
        <f t="shared" si="3"/>
        <v>1</v>
      </c>
      <c r="AB11" s="712">
        <f t="shared" si="4"/>
        <v>1</v>
      </c>
      <c r="AC11" s="712">
        <f t="shared" si="5"/>
        <v>1</v>
      </c>
    </row>
    <row r="12" spans="1:29" s="113" customFormat="1" ht="15">
      <c r="A12" s="600"/>
      <c r="B12" s="599">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276"/>
      <c r="Q12" s="1527">
        <f t="shared" si="6"/>
        <v>111</v>
      </c>
      <c r="R12" s="709" t="s">
        <v>17</v>
      </c>
      <c r="S12" s="710">
        <f t="shared" si="0"/>
        <v>100</v>
      </c>
      <c r="T12" s="709" t="s">
        <v>17</v>
      </c>
      <c r="U12" s="710">
        <f t="shared" si="1"/>
        <v>100</v>
      </c>
      <c r="V12" s="709" t="s">
        <v>17</v>
      </c>
      <c r="W12" s="710">
        <f t="shared" si="2"/>
        <v>100</v>
      </c>
      <c r="X12" s="711"/>
      <c r="Y12" s="3232"/>
      <c r="Z12" s="55">
        <f t="shared" si="7"/>
        <v>111</v>
      </c>
      <c r="AA12" s="712">
        <f>D12/F12</f>
        <v>1</v>
      </c>
      <c r="AB12" s="712">
        <f>D12/H12</f>
        <v>1</v>
      </c>
      <c r="AC12" s="712">
        <f>D12/J12</f>
        <v>1</v>
      </c>
    </row>
    <row r="13" spans="1:29" ht="15.75" thickBot="1">
      <c r="A13" s="601"/>
      <c r="B13" s="599">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276"/>
      <c r="Q13" s="1527">
        <f t="shared" si="6"/>
        <v>111</v>
      </c>
      <c r="R13" s="709" t="s">
        <v>17</v>
      </c>
      <c r="S13" s="710">
        <f t="shared" si="0"/>
        <v>100</v>
      </c>
      <c r="T13" s="709" t="s">
        <v>17</v>
      </c>
      <c r="U13" s="710">
        <f t="shared" si="1"/>
        <v>100</v>
      </c>
      <c r="V13" s="709" t="s">
        <v>17</v>
      </c>
      <c r="W13" s="710">
        <f t="shared" si="2"/>
        <v>100</v>
      </c>
      <c r="X13" s="711"/>
      <c r="Y13" s="3232"/>
      <c r="Z13" s="55">
        <f t="shared" si="7"/>
        <v>111</v>
      </c>
      <c r="AA13" s="712">
        <f t="shared" si="3"/>
        <v>1</v>
      </c>
      <c r="AB13" s="712">
        <f t="shared" si="4"/>
        <v>1</v>
      </c>
      <c r="AC13" s="712">
        <f t="shared" si="5"/>
        <v>1</v>
      </c>
    </row>
    <row r="14" spans="1:29" ht="15">
      <c r="A14" s="361" t="s">
        <v>2381</v>
      </c>
      <c r="B14" s="584" t="s">
        <v>2531</v>
      </c>
      <c r="C14" s="2157">
        <f>IF(B1="工业",估价对象房地状况!G4,估价对象房地状况!C6)</f>
        <v>0</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291" t="s">
        <v>2382</v>
      </c>
      <c r="Q14" s="1536" t="str">
        <f t="shared" si="6"/>
        <v>交通便捷度</v>
      </c>
      <c r="R14" s="713" t="s">
        <v>17</v>
      </c>
      <c r="S14" s="714">
        <f t="shared" si="0"/>
        <v>100</v>
      </c>
      <c r="T14" s="713" t="s">
        <v>17</v>
      </c>
      <c r="U14" s="714">
        <f t="shared" si="1"/>
        <v>100</v>
      </c>
      <c r="V14" s="713" t="s">
        <v>17</v>
      </c>
      <c r="W14" s="714">
        <f t="shared" si="2"/>
        <v>100</v>
      </c>
      <c r="X14" s="1539"/>
      <c r="Y14" s="3291" t="s">
        <v>2382</v>
      </c>
      <c r="Z14" s="1540" t="str">
        <f t="shared" si="7"/>
        <v>交通便捷度</v>
      </c>
      <c r="AA14" s="1537">
        <f t="shared" si="3"/>
        <v>1</v>
      </c>
      <c r="AB14" s="1537">
        <f t="shared" si="4"/>
        <v>1</v>
      </c>
      <c r="AC14" s="1537">
        <f t="shared" si="5"/>
        <v>1</v>
      </c>
    </row>
    <row r="15" spans="1:29" ht="15">
      <c r="A15" s="364"/>
      <c r="B15" s="602"/>
      <c r="C15" s="406"/>
      <c r="D15" s="407"/>
      <c r="E15" s="406"/>
      <c r="F15" s="408"/>
      <c r="G15" s="406"/>
      <c r="H15" s="409"/>
      <c r="I15" s="406"/>
      <c r="J15" s="407"/>
      <c r="K15" s="572"/>
      <c r="L15" s="2951"/>
      <c r="M15" s="2945"/>
      <c r="N15" s="2945"/>
      <c r="O15" s="2945"/>
      <c r="P15" s="3292"/>
      <c r="Q15" s="1536"/>
      <c r="R15" s="713"/>
      <c r="S15" s="714"/>
      <c r="T15" s="713"/>
      <c r="U15" s="714"/>
      <c r="V15" s="713"/>
      <c r="W15" s="714"/>
      <c r="X15" s="1539"/>
      <c r="Y15" s="3292"/>
      <c r="Z15" s="1540"/>
      <c r="AA15" s="1537">
        <v>1</v>
      </c>
      <c r="AB15" s="1537">
        <v>1</v>
      </c>
      <c r="AC15" s="1537">
        <v>1</v>
      </c>
    </row>
    <row r="16" spans="1:29" ht="15">
      <c r="A16" s="364"/>
      <c r="B16" s="586" t="s">
        <v>2510</v>
      </c>
      <c r="C16" s="2086">
        <f>IF(B1="工业",估价对象房地状况!G5,估价对象房地状况!C7)</f>
        <v>0</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292"/>
      <c r="Q16" s="1536" t="str">
        <f>B16</f>
        <v>公共配套设施</v>
      </c>
      <c r="R16" s="713" t="s">
        <v>17</v>
      </c>
      <c r="S16" s="714">
        <f>F16</f>
        <v>100</v>
      </c>
      <c r="T16" s="713" t="s">
        <v>17</v>
      </c>
      <c r="U16" s="714">
        <f>H16</f>
        <v>100</v>
      </c>
      <c r="V16" s="713" t="s">
        <v>17</v>
      </c>
      <c r="W16" s="714">
        <f>J16</f>
        <v>100</v>
      </c>
      <c r="X16" s="1539"/>
      <c r="Y16" s="3292"/>
      <c r="Z16" s="1540" t="str">
        <f>Q16</f>
        <v>公共配套设施</v>
      </c>
      <c r="AA16" s="1537">
        <f t="shared" si="3"/>
        <v>1</v>
      </c>
      <c r="AB16" s="1537">
        <f t="shared" si="4"/>
        <v>1</v>
      </c>
      <c r="AC16" s="1537">
        <f t="shared" si="5"/>
        <v>1</v>
      </c>
    </row>
    <row r="17" spans="1:29" ht="15">
      <c r="A17" s="364"/>
      <c r="B17" s="587"/>
      <c r="C17" s="2087"/>
      <c r="D17" s="407"/>
      <c r="E17" s="406"/>
      <c r="F17" s="408"/>
      <c r="G17" s="406"/>
      <c r="H17" s="407"/>
      <c r="I17" s="406"/>
      <c r="J17" s="407"/>
      <c r="K17" s="572"/>
      <c r="L17" s="2951"/>
      <c r="M17" s="2945"/>
      <c r="N17" s="2945"/>
      <c r="O17" s="2945"/>
      <c r="P17" s="3292"/>
      <c r="Q17" s="1536"/>
      <c r="R17" s="713"/>
      <c r="S17" s="714"/>
      <c r="T17" s="713"/>
      <c r="U17" s="714"/>
      <c r="V17" s="713"/>
      <c r="W17" s="714"/>
      <c r="X17" s="1539"/>
      <c r="Y17" s="3292"/>
      <c r="Z17" s="1540"/>
      <c r="AA17" s="1537">
        <v>1</v>
      </c>
      <c r="AB17" s="1537">
        <v>1</v>
      </c>
      <c r="AC17" s="1537">
        <v>1</v>
      </c>
    </row>
    <row r="18" spans="1:29" ht="15">
      <c r="A18" s="364"/>
      <c r="B18" s="588" t="s">
        <v>2511</v>
      </c>
      <c r="C18" s="2086">
        <f>IF(B1="工业",估价对象房地状况!G6,估价对象房地状况!C8)</f>
        <v>0</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292"/>
      <c r="Q18" s="1536" t="str">
        <f>B18</f>
        <v>基础设施水平</v>
      </c>
      <c r="R18" s="713" t="s">
        <v>17</v>
      </c>
      <c r="S18" s="714">
        <f>F18</f>
        <v>100</v>
      </c>
      <c r="T18" s="713" t="s">
        <v>17</v>
      </c>
      <c r="U18" s="714">
        <f>H18</f>
        <v>100</v>
      </c>
      <c r="V18" s="713" t="s">
        <v>17</v>
      </c>
      <c r="W18" s="714">
        <f>J18</f>
        <v>100</v>
      </c>
      <c r="X18" s="1539"/>
      <c r="Y18" s="3292"/>
      <c r="Z18" s="1540" t="str">
        <f>Q18</f>
        <v>基础设施水平</v>
      </c>
      <c r="AA18" s="1537">
        <f t="shared" ref="AA18" si="8">D18/F18</f>
        <v>1</v>
      </c>
      <c r="AB18" s="1537">
        <f t="shared" ref="AB18" si="9">D18/H18</f>
        <v>1</v>
      </c>
      <c r="AC18" s="1537">
        <f t="shared" ref="AC18" si="10">D18/J18</f>
        <v>1</v>
      </c>
    </row>
    <row r="19" spans="1:29" ht="15">
      <c r="A19" s="364"/>
      <c r="B19" s="588"/>
      <c r="C19" s="2087"/>
      <c r="D19" s="409"/>
      <c r="E19" s="2087"/>
      <c r="F19" s="412"/>
      <c r="G19" s="2087"/>
      <c r="H19" s="407"/>
      <c r="I19" s="406"/>
      <c r="J19" s="407"/>
      <c r="K19" s="1290"/>
      <c r="L19" s="2951"/>
      <c r="M19" s="2945"/>
      <c r="N19" s="2945"/>
      <c r="O19" s="2945"/>
      <c r="P19" s="3292"/>
      <c r="Q19" s="1536"/>
      <c r="R19" s="713"/>
      <c r="S19" s="714"/>
      <c r="T19" s="713"/>
      <c r="U19" s="714"/>
      <c r="V19" s="713"/>
      <c r="W19" s="714"/>
      <c r="X19" s="1539"/>
      <c r="Y19" s="3292"/>
      <c r="Z19" s="1540"/>
      <c r="AA19" s="1537">
        <v>1</v>
      </c>
      <c r="AB19" s="1537">
        <v>1</v>
      </c>
      <c r="AC19" s="1537">
        <v>1</v>
      </c>
    </row>
    <row r="20" spans="1:29" ht="15">
      <c r="A20" s="364"/>
      <c r="B20" s="586" t="s">
        <v>2532</v>
      </c>
      <c r="C20" s="2086">
        <f>IF(B1="工业",估价对象房地状况!G7,估价对象房地状况!C9)</f>
        <v>0</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292"/>
      <c r="Q20" s="1536" t="str">
        <f>B20</f>
        <v>自然及人文环境</v>
      </c>
      <c r="R20" s="713" t="s">
        <v>17</v>
      </c>
      <c r="S20" s="714">
        <f>F20</f>
        <v>100</v>
      </c>
      <c r="T20" s="713" t="s">
        <v>17</v>
      </c>
      <c r="U20" s="714">
        <f>H20</f>
        <v>100</v>
      </c>
      <c r="V20" s="713" t="s">
        <v>17</v>
      </c>
      <c r="W20" s="714">
        <f>J20</f>
        <v>100</v>
      </c>
      <c r="X20" s="1539"/>
      <c r="Y20" s="3292"/>
      <c r="Z20" s="1540" t="str">
        <f>Q20</f>
        <v>自然及人文环境</v>
      </c>
      <c r="AA20" s="1537">
        <f t="shared" si="3"/>
        <v>1</v>
      </c>
      <c r="AB20" s="1537">
        <f t="shared" si="4"/>
        <v>1</v>
      </c>
      <c r="AC20" s="1537">
        <f t="shared" si="5"/>
        <v>1</v>
      </c>
    </row>
    <row r="21" spans="1:29" ht="15">
      <c r="A21" s="364"/>
      <c r="B21" s="587"/>
      <c r="C21" s="406"/>
      <c r="D21" s="407"/>
      <c r="E21" s="406"/>
      <c r="F21" s="408"/>
      <c r="G21" s="406"/>
      <c r="H21" s="407"/>
      <c r="I21" s="406"/>
      <c r="J21" s="407"/>
      <c r="K21" s="572"/>
      <c r="L21" s="2951"/>
      <c r="M21" s="2945"/>
      <c r="N21" s="2945"/>
      <c r="O21" s="2945"/>
      <c r="P21" s="3292"/>
      <c r="Q21" s="1536"/>
      <c r="R21" s="713"/>
      <c r="S21" s="714"/>
      <c r="T21" s="713"/>
      <c r="U21" s="714"/>
      <c r="V21" s="713"/>
      <c r="W21" s="714"/>
      <c r="X21" s="1539"/>
      <c r="Y21" s="3292"/>
      <c r="Z21" s="1540"/>
      <c r="AA21" s="1537">
        <v>1</v>
      </c>
      <c r="AB21" s="1537">
        <v>1</v>
      </c>
      <c r="AC21" s="1537">
        <v>1</v>
      </c>
    </row>
    <row r="22" spans="1:29" ht="15">
      <c r="A22" s="364"/>
      <c r="B22" s="586" t="s">
        <v>2533</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292"/>
      <c r="Q22" s="1536" t="str">
        <f>B22</f>
        <v>楼层</v>
      </c>
      <c r="R22" s="713" t="s">
        <v>17</v>
      </c>
      <c r="S22" s="714">
        <f>F22</f>
        <v>100</v>
      </c>
      <c r="T22" s="713" t="s">
        <v>17</v>
      </c>
      <c r="U22" s="714">
        <f>H22</f>
        <v>100</v>
      </c>
      <c r="V22" s="713" t="s">
        <v>17</v>
      </c>
      <c r="W22" s="714">
        <f>J22</f>
        <v>100</v>
      </c>
      <c r="X22" s="1539"/>
      <c r="Y22" s="3292"/>
      <c r="Z22" s="1540" t="str">
        <f>Q22</f>
        <v>楼层</v>
      </c>
      <c r="AA22" s="1537">
        <f t="shared" si="3"/>
        <v>1</v>
      </c>
      <c r="AB22" s="1537">
        <f t="shared" si="4"/>
        <v>1</v>
      </c>
      <c r="AC22" s="1537">
        <f t="shared" si="5"/>
        <v>1</v>
      </c>
    </row>
    <row r="23" spans="1:29" ht="15">
      <c r="A23" s="364"/>
      <c r="B23" s="603">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292"/>
      <c r="Q23" s="1536">
        <f>B23</f>
        <v>111</v>
      </c>
      <c r="R23" s="713" t="s">
        <v>17</v>
      </c>
      <c r="S23" s="714">
        <f>F23</f>
        <v>100</v>
      </c>
      <c r="T23" s="713" t="s">
        <v>17</v>
      </c>
      <c r="U23" s="714">
        <f>H23</f>
        <v>100</v>
      </c>
      <c r="V23" s="713" t="s">
        <v>17</v>
      </c>
      <c r="W23" s="714">
        <f>J23</f>
        <v>100</v>
      </c>
      <c r="X23" s="1539"/>
      <c r="Y23" s="3292"/>
      <c r="Z23" s="1540">
        <f>Q23</f>
        <v>111</v>
      </c>
      <c r="AA23" s="1537">
        <f t="shared" si="3"/>
        <v>1</v>
      </c>
      <c r="AB23" s="1537">
        <f t="shared" si="4"/>
        <v>1</v>
      </c>
      <c r="AC23" s="1537">
        <f t="shared" si="5"/>
        <v>1</v>
      </c>
    </row>
    <row r="24" spans="1:29" ht="15">
      <c r="A24" s="364"/>
      <c r="B24" s="603">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292"/>
      <c r="Q24" s="1536">
        <f t="shared" ref="Q24:Q36" si="11">B24</f>
        <v>111</v>
      </c>
      <c r="R24" s="713" t="s">
        <v>17</v>
      </c>
      <c r="S24" s="714">
        <f>F24</f>
        <v>100</v>
      </c>
      <c r="T24" s="713" t="s">
        <v>17</v>
      </c>
      <c r="U24" s="714">
        <f>H24</f>
        <v>100</v>
      </c>
      <c r="V24" s="713" t="s">
        <v>17</v>
      </c>
      <c r="W24" s="714">
        <f>J24</f>
        <v>100</v>
      </c>
      <c r="X24" s="1539"/>
      <c r="Y24" s="3292"/>
      <c r="Z24" s="1540">
        <f>Q24</f>
        <v>111</v>
      </c>
      <c r="AA24" s="1537">
        <f t="shared" si="3"/>
        <v>1</v>
      </c>
      <c r="AB24" s="1537">
        <f t="shared" si="4"/>
        <v>1</v>
      </c>
      <c r="AC24" s="1537">
        <f t="shared" si="5"/>
        <v>1</v>
      </c>
    </row>
    <row r="25" spans="1:29" s="113" customFormat="1" ht="15.75" thickBot="1">
      <c r="A25" s="604"/>
      <c r="B25" s="590">
        <v>111</v>
      </c>
      <c r="C25" s="396"/>
      <c r="D25" s="605">
        <v>100</v>
      </c>
      <c r="E25" s="583"/>
      <c r="F25" s="606">
        <f>SUMIF(77:77,E25,78:78)-SUMIF(77:77,C25,78:78)+100</f>
        <v>100</v>
      </c>
      <c r="G25" s="583"/>
      <c r="H25" s="605">
        <f>SUMIF(77:77,G25,78:78)-SUMIF(77:77,C25,78:78)+100</f>
        <v>100</v>
      </c>
      <c r="I25" s="583"/>
      <c r="J25" s="605">
        <f>SUMIF(77:77,I25,78:78)-SUMIF(77:77,C25,78:78)+100</f>
        <v>100</v>
      </c>
      <c r="K25" s="570"/>
      <c r="L25" s="2946"/>
      <c r="M25" s="2947"/>
      <c r="N25" s="2947"/>
      <c r="O25" s="2947"/>
      <c r="P25" s="3292"/>
      <c r="Q25" s="1527">
        <f t="shared" si="11"/>
        <v>111</v>
      </c>
      <c r="R25" s="709" t="s">
        <v>17</v>
      </c>
      <c r="S25" s="710">
        <f>F25</f>
        <v>100</v>
      </c>
      <c r="T25" s="709" t="s">
        <v>17</v>
      </c>
      <c r="U25" s="710">
        <f>H25</f>
        <v>100</v>
      </c>
      <c r="V25" s="709" t="s">
        <v>17</v>
      </c>
      <c r="W25" s="710">
        <f>J25</f>
        <v>100</v>
      </c>
      <c r="X25" s="711"/>
      <c r="Y25" s="3292"/>
      <c r="Z25" s="55">
        <f>Q25</f>
        <v>111</v>
      </c>
      <c r="AA25" s="1537">
        <f>D25/F25</f>
        <v>1</v>
      </c>
      <c r="AB25" s="1537">
        <f>D25/H25</f>
        <v>1</v>
      </c>
      <c r="AC25" s="1537">
        <f>D25/J25</f>
        <v>1</v>
      </c>
    </row>
    <row r="26" spans="1:29" ht="28.5">
      <c r="A26" s="607" t="s">
        <v>2385</v>
      </c>
      <c r="B26" s="66" t="s">
        <v>2534</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293" t="s">
        <v>2387</v>
      </c>
      <c r="Q26" s="1536" t="str">
        <f t="shared" si="11"/>
        <v>配套类型</v>
      </c>
      <c r="R26" s="713" t="s">
        <v>17</v>
      </c>
      <c r="S26" s="714">
        <f t="shared" ref="S26:S36" si="12">F26</f>
        <v>100</v>
      </c>
      <c r="T26" s="713" t="s">
        <v>17</v>
      </c>
      <c r="U26" s="714">
        <f t="shared" ref="U26:U36" si="13">H26</f>
        <v>100</v>
      </c>
      <c r="V26" s="713" t="s">
        <v>17</v>
      </c>
      <c r="W26" s="714">
        <f t="shared" ref="W26:W36" si="14">J26</f>
        <v>100</v>
      </c>
      <c r="X26" s="1539"/>
      <c r="Y26" s="3294" t="s">
        <v>2387</v>
      </c>
      <c r="Z26" s="1540" t="str">
        <f t="shared" ref="Z26:Z36" si="15">Q26</f>
        <v>配套类型</v>
      </c>
      <c r="AA26" s="1537">
        <f t="shared" si="3"/>
        <v>1</v>
      </c>
      <c r="AB26" s="1537">
        <f t="shared" si="4"/>
        <v>1</v>
      </c>
      <c r="AC26" s="1537">
        <f t="shared" si="5"/>
        <v>1</v>
      </c>
    </row>
    <row r="27" spans="1:29" s="430" customFormat="1" ht="15">
      <c r="A27" s="608"/>
      <c r="B27" s="609" t="s">
        <v>2535</v>
      </c>
      <c r="C27" s="610"/>
      <c r="D27" s="132">
        <v>100</v>
      </c>
      <c r="E27" s="610"/>
      <c r="F27" s="420">
        <f>SUMIF(81:81,E27,82:82)-SUMIF(81:81,C27,82:82)+100</f>
        <v>100</v>
      </c>
      <c r="G27" s="610"/>
      <c r="H27" s="394">
        <f>SUMIF(81:81,G27,82:82)-SUMIF(81:81,C27,82:82)+100</f>
        <v>100</v>
      </c>
      <c r="I27" s="610"/>
      <c r="J27" s="394">
        <f>SUMIF(81:81,I27,82:82)-SUMIF(81:81,C27,82:82)+100</f>
        <v>100</v>
      </c>
      <c r="K27" s="570"/>
      <c r="L27" s="2950"/>
      <c r="M27" s="2952"/>
      <c r="N27" s="2952"/>
      <c r="O27" s="2952"/>
      <c r="P27" s="3294"/>
      <c r="Q27" s="715" t="str">
        <f t="shared" si="11"/>
        <v>项目停车位配比</v>
      </c>
      <c r="R27" s="716" t="s">
        <v>17</v>
      </c>
      <c r="S27" s="717">
        <f t="shared" si="12"/>
        <v>100</v>
      </c>
      <c r="T27" s="716" t="s">
        <v>17</v>
      </c>
      <c r="U27" s="717">
        <f t="shared" si="13"/>
        <v>100</v>
      </c>
      <c r="V27" s="716" t="s">
        <v>17</v>
      </c>
      <c r="W27" s="717">
        <f t="shared" si="14"/>
        <v>100</v>
      </c>
      <c r="X27" s="718"/>
      <c r="Y27" s="3294"/>
      <c r="Z27" s="719" t="str">
        <f t="shared" si="15"/>
        <v>项目停车位配比</v>
      </c>
      <c r="AA27" s="1537">
        <f t="shared" si="3"/>
        <v>1</v>
      </c>
      <c r="AB27" s="1537">
        <f t="shared" si="4"/>
        <v>1</v>
      </c>
      <c r="AC27" s="1537">
        <f t="shared" si="5"/>
        <v>1</v>
      </c>
    </row>
    <row r="28" spans="1:29" ht="15">
      <c r="A28" s="611"/>
      <c r="B28" s="609" t="s">
        <v>2536</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294"/>
      <c r="Q28" s="1536" t="str">
        <f t="shared" si="11"/>
        <v>公共部分装修</v>
      </c>
      <c r="R28" s="713" t="s">
        <v>17</v>
      </c>
      <c r="S28" s="714">
        <f t="shared" si="12"/>
        <v>100</v>
      </c>
      <c r="T28" s="713" t="s">
        <v>17</v>
      </c>
      <c r="U28" s="714">
        <f t="shared" si="13"/>
        <v>100</v>
      </c>
      <c r="V28" s="713" t="s">
        <v>17</v>
      </c>
      <c r="W28" s="714">
        <f t="shared" si="14"/>
        <v>100</v>
      </c>
      <c r="X28" s="1539"/>
      <c r="Y28" s="3294"/>
      <c r="Z28" s="1540" t="str">
        <f t="shared" si="15"/>
        <v>公共部分装修</v>
      </c>
      <c r="AA28" s="1537">
        <f t="shared" si="3"/>
        <v>1</v>
      </c>
      <c r="AB28" s="1537">
        <f t="shared" si="4"/>
        <v>1</v>
      </c>
      <c r="AC28" s="1537">
        <f t="shared" si="5"/>
        <v>1</v>
      </c>
    </row>
    <row r="29" spans="1:29" ht="15">
      <c r="A29" s="611"/>
      <c r="B29" s="609" t="s">
        <v>2537</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294"/>
      <c r="Q29" s="1536" t="str">
        <f t="shared" si="11"/>
        <v>成新率</v>
      </c>
      <c r="R29" s="713" t="s">
        <v>17</v>
      </c>
      <c r="S29" s="714" t="e">
        <f t="shared" si="12"/>
        <v>#N/A</v>
      </c>
      <c r="T29" s="713" t="s">
        <v>17</v>
      </c>
      <c r="U29" s="714" t="e">
        <f t="shared" si="13"/>
        <v>#N/A</v>
      </c>
      <c r="V29" s="713" t="s">
        <v>17</v>
      </c>
      <c r="W29" s="714" t="e">
        <f t="shared" si="14"/>
        <v>#N/A</v>
      </c>
      <c r="X29" s="1539"/>
      <c r="Y29" s="3294"/>
      <c r="Z29" s="1540" t="str">
        <f t="shared" si="15"/>
        <v>成新率</v>
      </c>
      <c r="AA29" s="1537" t="e">
        <f t="shared" si="3"/>
        <v>#N/A</v>
      </c>
      <c r="AB29" s="1537" t="e">
        <f t="shared" si="4"/>
        <v>#N/A</v>
      </c>
      <c r="AC29" s="1537" t="e">
        <f t="shared" si="5"/>
        <v>#N/A</v>
      </c>
    </row>
    <row r="30" spans="1:29" ht="15">
      <c r="A30" s="611"/>
      <c r="B30" s="609" t="s">
        <v>2538</v>
      </c>
      <c r="C30" s="612"/>
      <c r="D30" s="394">
        <v>100</v>
      </c>
      <c r="E30" s="612"/>
      <c r="F30" s="420">
        <f>SUMIF(88:88,E30,89:89)-SUMIF(88:88,C30,89:89)+100</f>
        <v>100</v>
      </c>
      <c r="G30" s="612"/>
      <c r="H30" s="394">
        <f>SUMIF(88:88,E30,89:89)-SUMIF(88:88,C30,89:89)+100</f>
        <v>100</v>
      </c>
      <c r="I30" s="612"/>
      <c r="J30" s="394">
        <f>SUMIF(88:88,E30,89:89)-SUMIF(88:88,C30,89:89)+100</f>
        <v>100</v>
      </c>
      <c r="K30" s="569"/>
      <c r="L30" s="2951"/>
      <c r="M30" s="2945"/>
      <c r="N30" s="2945"/>
      <c r="O30" s="2945"/>
      <c r="P30" s="3294"/>
      <c r="Q30" s="1536" t="str">
        <f t="shared" si="11"/>
        <v>物业等级</v>
      </c>
      <c r="R30" s="713" t="s">
        <v>17</v>
      </c>
      <c r="S30" s="714">
        <f t="shared" si="12"/>
        <v>100</v>
      </c>
      <c r="T30" s="713" t="s">
        <v>17</v>
      </c>
      <c r="U30" s="714">
        <f t="shared" si="13"/>
        <v>100</v>
      </c>
      <c r="V30" s="713" t="s">
        <v>17</v>
      </c>
      <c r="W30" s="714">
        <f t="shared" si="14"/>
        <v>100</v>
      </c>
      <c r="X30" s="1539"/>
      <c r="Y30" s="3294"/>
      <c r="Z30" s="1540" t="str">
        <f t="shared" si="15"/>
        <v>物业等级</v>
      </c>
      <c r="AA30" s="1537">
        <f t="shared" si="3"/>
        <v>1</v>
      </c>
      <c r="AB30" s="1537">
        <f t="shared" si="4"/>
        <v>1</v>
      </c>
      <c r="AC30" s="1537">
        <f t="shared" si="5"/>
        <v>1</v>
      </c>
    </row>
    <row r="31" spans="1:29" s="113" customFormat="1" ht="15">
      <c r="A31" s="613"/>
      <c r="B31" s="609" t="s">
        <v>2539</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294"/>
      <c r="Q31" s="1527" t="str">
        <f t="shared" si="11"/>
        <v>停车位面积</v>
      </c>
      <c r="R31" s="709" t="s">
        <v>17</v>
      </c>
      <c r="S31" s="710" t="e">
        <f t="shared" si="12"/>
        <v>#N/A</v>
      </c>
      <c r="T31" s="709" t="s">
        <v>17</v>
      </c>
      <c r="U31" s="710" t="e">
        <f t="shared" si="13"/>
        <v>#N/A</v>
      </c>
      <c r="V31" s="709" t="s">
        <v>17</v>
      </c>
      <c r="W31" s="710" t="e">
        <f t="shared" si="14"/>
        <v>#N/A</v>
      </c>
      <c r="X31" s="711"/>
      <c r="Y31" s="3294"/>
      <c r="Z31" s="55" t="str">
        <f t="shared" si="15"/>
        <v>停车位面积</v>
      </c>
      <c r="AA31" s="712" t="e">
        <f t="shared" si="3"/>
        <v>#N/A</v>
      </c>
      <c r="AB31" s="712" t="e">
        <f t="shared" si="4"/>
        <v>#N/A</v>
      </c>
      <c r="AC31" s="712" t="e">
        <f t="shared" si="5"/>
        <v>#N/A</v>
      </c>
    </row>
    <row r="32" spans="1:29" ht="15">
      <c r="A32" s="611"/>
      <c r="B32" s="609" t="s">
        <v>2540</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294" t="s">
        <v>2387</v>
      </c>
      <c r="Q32" s="1536" t="str">
        <f t="shared" si="11"/>
        <v>车位类型</v>
      </c>
      <c r="R32" s="713" t="s">
        <v>17</v>
      </c>
      <c r="S32" s="714">
        <f t="shared" si="12"/>
        <v>100</v>
      </c>
      <c r="T32" s="713" t="s">
        <v>17</v>
      </c>
      <c r="U32" s="714">
        <f t="shared" si="13"/>
        <v>100</v>
      </c>
      <c r="V32" s="713" t="s">
        <v>17</v>
      </c>
      <c r="W32" s="714">
        <f t="shared" si="14"/>
        <v>100</v>
      </c>
      <c r="X32" s="1539"/>
      <c r="Y32" s="3294" t="s">
        <v>2387</v>
      </c>
      <c r="Z32" s="1540" t="str">
        <f t="shared" si="15"/>
        <v>车位类型</v>
      </c>
      <c r="AA32" s="1537">
        <f t="shared" si="3"/>
        <v>1</v>
      </c>
      <c r="AB32" s="1537">
        <f t="shared" si="4"/>
        <v>1</v>
      </c>
      <c r="AC32" s="1537">
        <f t="shared" si="5"/>
        <v>1</v>
      </c>
    </row>
    <row r="33" spans="1:29" ht="15">
      <c r="A33" s="611"/>
      <c r="B33" s="609" t="s">
        <v>2541</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294"/>
      <c r="Q33" s="1536" t="str">
        <f t="shared" si="11"/>
        <v>是否直接入户</v>
      </c>
      <c r="R33" s="713" t="s">
        <v>17</v>
      </c>
      <c r="S33" s="714">
        <f t="shared" si="12"/>
        <v>100</v>
      </c>
      <c r="T33" s="713" t="s">
        <v>17</v>
      </c>
      <c r="U33" s="714">
        <f t="shared" si="13"/>
        <v>100</v>
      </c>
      <c r="V33" s="713" t="s">
        <v>17</v>
      </c>
      <c r="W33" s="714">
        <f t="shared" si="14"/>
        <v>100</v>
      </c>
      <c r="X33" s="1539"/>
      <c r="Y33" s="3294"/>
      <c r="Z33" s="1540" t="str">
        <f t="shared" si="15"/>
        <v>是否直接入户</v>
      </c>
      <c r="AA33" s="1537">
        <f t="shared" si="3"/>
        <v>1</v>
      </c>
      <c r="AB33" s="1537">
        <f t="shared" si="4"/>
        <v>1</v>
      </c>
      <c r="AC33" s="1537">
        <f t="shared" si="5"/>
        <v>1</v>
      </c>
    </row>
    <row r="34" spans="1:29" ht="15">
      <c r="A34" s="611"/>
      <c r="B34" s="603">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294"/>
      <c r="Q34" s="1536">
        <f t="shared" si="11"/>
        <v>111</v>
      </c>
      <c r="R34" s="713" t="s">
        <v>17</v>
      </c>
      <c r="S34" s="714">
        <f t="shared" si="12"/>
        <v>100</v>
      </c>
      <c r="T34" s="713" t="s">
        <v>17</v>
      </c>
      <c r="U34" s="714">
        <f t="shared" si="13"/>
        <v>100</v>
      </c>
      <c r="V34" s="713" t="s">
        <v>17</v>
      </c>
      <c r="W34" s="714">
        <f t="shared" si="14"/>
        <v>100</v>
      </c>
      <c r="X34" s="1539"/>
      <c r="Y34" s="3294"/>
      <c r="Z34" s="1540">
        <f t="shared" si="15"/>
        <v>111</v>
      </c>
      <c r="AA34" s="1537">
        <f t="shared" si="3"/>
        <v>1</v>
      </c>
      <c r="AB34" s="1537">
        <f t="shared" si="4"/>
        <v>1</v>
      </c>
      <c r="AC34" s="1537">
        <f t="shared" si="5"/>
        <v>1</v>
      </c>
    </row>
    <row r="35" spans="1:29" s="430" customFormat="1" ht="15">
      <c r="A35" s="608"/>
      <c r="B35" s="603">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294"/>
      <c r="Q35" s="715">
        <f t="shared" si="11"/>
        <v>111</v>
      </c>
      <c r="R35" s="716" t="s">
        <v>17</v>
      </c>
      <c r="S35" s="717">
        <f t="shared" si="12"/>
        <v>100</v>
      </c>
      <c r="T35" s="716" t="s">
        <v>17</v>
      </c>
      <c r="U35" s="717">
        <f t="shared" si="13"/>
        <v>100</v>
      </c>
      <c r="V35" s="716" t="s">
        <v>17</v>
      </c>
      <c r="W35" s="717">
        <f t="shared" si="14"/>
        <v>100</v>
      </c>
      <c r="X35" s="718"/>
      <c r="Y35" s="3294"/>
      <c r="Z35" s="719">
        <f t="shared" si="15"/>
        <v>111</v>
      </c>
      <c r="AA35" s="1537">
        <f t="shared" si="3"/>
        <v>1</v>
      </c>
      <c r="AB35" s="1537">
        <f t="shared" si="4"/>
        <v>1</v>
      </c>
      <c r="AC35" s="1537">
        <f t="shared" si="5"/>
        <v>1</v>
      </c>
    </row>
    <row r="36" spans="1:29" ht="15.75" thickBot="1">
      <c r="A36" s="614"/>
      <c r="B36" s="590">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294"/>
      <c r="Q36" s="1536">
        <f t="shared" si="11"/>
        <v>111</v>
      </c>
      <c r="R36" s="713" t="s">
        <v>17</v>
      </c>
      <c r="S36" s="714">
        <f t="shared" si="12"/>
        <v>100</v>
      </c>
      <c r="T36" s="713" t="s">
        <v>17</v>
      </c>
      <c r="U36" s="714">
        <f t="shared" si="13"/>
        <v>100</v>
      </c>
      <c r="V36" s="713" t="s">
        <v>17</v>
      </c>
      <c r="W36" s="714">
        <f t="shared" si="14"/>
        <v>100</v>
      </c>
      <c r="X36" s="1539"/>
      <c r="Y36" s="3294"/>
      <c r="Z36" s="1540">
        <f t="shared" si="15"/>
        <v>111</v>
      </c>
      <c r="AA36" s="1537">
        <f t="shared" si="3"/>
        <v>1</v>
      </c>
      <c r="AB36" s="1537">
        <f t="shared" si="4"/>
        <v>1</v>
      </c>
      <c r="AC36" s="1537">
        <f t="shared" si="5"/>
        <v>1</v>
      </c>
    </row>
    <row r="37" spans="1:29" ht="15">
      <c r="A37" s="438" t="s">
        <v>2542</v>
      </c>
      <c r="B37" s="2159" t="s">
        <v>2543</v>
      </c>
      <c r="C37" s="1314" t="s">
        <v>1</v>
      </c>
      <c r="D37" s="1315"/>
      <c r="E37" s="1316"/>
      <c r="F37" s="1317"/>
      <c r="G37" s="1318"/>
      <c r="H37" s="1319"/>
      <c r="I37" s="1316"/>
      <c r="J37" s="1319"/>
      <c r="K37" s="575"/>
      <c r="L37" s="2953"/>
      <c r="M37" s="2954"/>
      <c r="N37" s="2945"/>
      <c r="O37" s="2954"/>
      <c r="P37" s="3276" t="str">
        <f>A37</f>
        <v>成交单价</v>
      </c>
      <c r="Q37" s="3276"/>
      <c r="R37" s="3336">
        <f>E37</f>
        <v>0</v>
      </c>
      <c r="S37" s="3336"/>
      <c r="T37" s="3336">
        <f>G37</f>
        <v>0</v>
      </c>
      <c r="U37" s="3336"/>
      <c r="V37" s="3336">
        <f>I37</f>
        <v>0</v>
      </c>
      <c r="W37" s="3336"/>
      <c r="X37" s="698"/>
      <c r="Y37" s="720"/>
      <c r="Z37" s="698"/>
      <c r="AA37" s="698"/>
      <c r="AB37" s="698"/>
      <c r="AC37" s="698"/>
    </row>
    <row r="38" spans="1:29" ht="15.75" thickBot="1">
      <c r="A38" s="445" t="s">
        <v>2544</v>
      </c>
      <c r="B38" s="446" t="str">
        <f>B37</f>
        <v>元/车位</v>
      </c>
      <c r="C38" s="1320" t="e">
        <f>R39</f>
        <v>#DIV/0!</v>
      </c>
      <c r="D38" s="2538" t="s">
        <v>2879</v>
      </c>
      <c r="E38" s="1321" t="e">
        <f>R38</f>
        <v>#DIV/0!</v>
      </c>
      <c r="F38" s="2539"/>
      <c r="G38" s="1320" t="e">
        <f>T38</f>
        <v>#DIV/0!</v>
      </c>
      <c r="H38" s="2539"/>
      <c r="I38" s="1321" t="e">
        <f>V38</f>
        <v>#DIV/0!</v>
      </c>
      <c r="J38" s="2539"/>
      <c r="K38" s="2541">
        <f>F38+H38+J38</f>
        <v>0</v>
      </c>
      <c r="L38" s="2953"/>
      <c r="M38" s="2954"/>
      <c r="N38" s="2954"/>
      <c r="O38" s="2954"/>
      <c r="P38" s="3276" t="str">
        <f>A38</f>
        <v>比较价值（元/平方米）</v>
      </c>
      <c r="Q38" s="3276"/>
      <c r="R38" s="3336" t="e">
        <f>IF(F1="售价",ROUND(PRODUCT(R37,AA7:AA36),0),ROUND(PRODUCT(R37,AA7:AA36),1))</f>
        <v>#DIV/0!</v>
      </c>
      <c r="S38" s="3336"/>
      <c r="T38" s="3336" t="e">
        <f>IF(F1="售价",ROUND(PRODUCT(T37,AB7:AB36),0),ROUND(PRODUCT(T37,AB7:AB36),1))</f>
        <v>#DIV/0!</v>
      </c>
      <c r="U38" s="3336"/>
      <c r="V38" s="3336" t="e">
        <f>IF(F1="售价",ROUND(PRODUCT(V37,AC7:AC36),0),ROUND(PRODUCT(V37,AC7:AC36),1))</f>
        <v>#DIV/0!</v>
      </c>
      <c r="W38" s="3336"/>
      <c r="X38" s="698"/>
      <c r="Y38" s="698"/>
      <c r="Z38" s="698"/>
      <c r="AA38" s="698"/>
      <c r="AB38" s="698"/>
      <c r="AC38" s="698"/>
    </row>
    <row r="39" spans="1:29" ht="15.75" thickBot="1">
      <c r="A39" s="449" t="s">
        <v>2545</v>
      </c>
      <c r="B39" s="450"/>
      <c r="C39" s="1323" t="e">
        <f>R39</f>
        <v>#DIV/0!</v>
      </c>
      <c r="D39" s="1323"/>
      <c r="E39" s="1323"/>
      <c r="F39" s="1323"/>
      <c r="G39" s="1323"/>
      <c r="H39" s="1323"/>
      <c r="I39" s="1323"/>
      <c r="J39" s="1323"/>
      <c r="K39" s="576"/>
      <c r="L39" s="2953"/>
      <c r="M39" s="2954"/>
      <c r="N39" s="2954"/>
      <c r="O39" s="2954"/>
      <c r="P39" s="3296" t="str">
        <f>A39</f>
        <v>估价对象XX用房的比较价值（楼面单价，元/平方米）</v>
      </c>
      <c r="Q39" s="3297"/>
      <c r="R39" s="3381" t="e">
        <f>IF(F1="售价",ROUND(IF(D38="简单平均",AVERAGE(R38:W38),R38*F38+T38*H38+V38*J38),0),ROUND(IF(D38="简单平均",AVERAGE(R38:V38),R38*F38+T38*H38+V38*J38),1))</f>
        <v>#DIV/0!</v>
      </c>
      <c r="S39" s="3381"/>
      <c r="T39" s="3381"/>
      <c r="U39" s="3381"/>
      <c r="V39" s="3381"/>
      <c r="W39" s="3381"/>
      <c r="X39" s="698"/>
      <c r="Y39" s="698"/>
      <c r="Z39" s="698"/>
      <c r="AA39" s="698"/>
      <c r="AB39" s="698"/>
      <c r="AC39" s="698"/>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2546</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2547</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2548</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6" t="s">
        <v>2549</v>
      </c>
      <c r="B47" s="1057"/>
      <c r="C47" s="1070"/>
      <c r="D47" s="1070"/>
      <c r="E47" s="1070"/>
      <c r="F47" s="1327"/>
      <c r="G47" s="1327"/>
      <c r="H47" s="1070"/>
      <c r="I47" s="1070"/>
      <c r="J47" s="1070"/>
      <c r="K47" s="1071"/>
      <c r="L47" s="1072"/>
      <c r="M47" s="1070"/>
      <c r="N47" s="2998"/>
      <c r="O47" s="2998"/>
      <c r="P47" s="2987"/>
      <c r="Q47" s="2968"/>
      <c r="R47" s="2954"/>
      <c r="S47" s="2954"/>
      <c r="T47" s="2954"/>
      <c r="U47" s="2954"/>
      <c r="V47" s="2954"/>
      <c r="W47" s="2954"/>
      <c r="X47" s="2954"/>
      <c r="Y47" s="2954"/>
      <c r="Z47" s="2954"/>
      <c r="AA47" s="2954"/>
      <c r="AB47" s="2954"/>
      <c r="AC47" s="2954"/>
    </row>
    <row r="48" spans="1:29" s="465" customFormat="1" ht="15">
      <c r="A48" s="462" t="s">
        <v>2550</v>
      </c>
      <c r="B48" s="463"/>
      <c r="C48" s="1344" t="str">
        <f>YEAR(C7)&amp;"-"&amp;MONTH(C7)</f>
        <v>2021-1</v>
      </c>
      <c r="D48" s="1345">
        <f>EDATE(C48,-1)</f>
        <v>44166</v>
      </c>
      <c r="E48" s="1345">
        <f t="shared" ref="E48:O48" si="16">EDATE(D48,-1)</f>
        <v>44136</v>
      </c>
      <c r="F48" s="1345">
        <f t="shared" si="16"/>
        <v>44105</v>
      </c>
      <c r="G48" s="1345">
        <f t="shared" si="16"/>
        <v>44075</v>
      </c>
      <c r="H48" s="1345">
        <f t="shared" si="16"/>
        <v>44044</v>
      </c>
      <c r="I48" s="1345">
        <f t="shared" si="16"/>
        <v>44013</v>
      </c>
      <c r="J48" s="1345">
        <f t="shared" si="16"/>
        <v>43983</v>
      </c>
      <c r="K48" s="1345">
        <f t="shared" si="16"/>
        <v>43952</v>
      </c>
      <c r="L48" s="1345">
        <f t="shared" si="16"/>
        <v>43922</v>
      </c>
      <c r="M48" s="1345">
        <f t="shared" si="16"/>
        <v>43891</v>
      </c>
      <c r="N48" s="1345">
        <f t="shared" si="16"/>
        <v>43862</v>
      </c>
      <c r="O48" s="1345">
        <f t="shared" si="16"/>
        <v>43831</v>
      </c>
      <c r="P48" s="2988"/>
      <c r="Q48" s="2970"/>
      <c r="R48" s="2970"/>
      <c r="S48" s="2970"/>
      <c r="T48" s="2970"/>
      <c r="U48" s="2970"/>
      <c r="V48" s="2970"/>
      <c r="W48" s="2970"/>
      <c r="X48" s="2970"/>
      <c r="Y48" s="2970"/>
      <c r="Z48" s="2970"/>
      <c r="AA48" s="2970"/>
      <c r="AB48" s="2970"/>
      <c r="AC48" s="2970"/>
    </row>
    <row r="49" spans="1:29" s="113" customFormat="1" ht="15">
      <c r="A49" s="466"/>
      <c r="B49" s="467"/>
      <c r="C49" s="1337">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2407</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2372</v>
      </c>
      <c r="B51" s="467"/>
      <c r="C51" s="479" t="s">
        <v>2474</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4">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2410</v>
      </c>
      <c r="B53" s="485" t="s">
        <v>2376</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2379</v>
      </c>
      <c r="C55" s="496" t="s">
        <v>2411</v>
      </c>
      <c r="D55" s="496" t="s">
        <v>2412</v>
      </c>
      <c r="E55" s="496" t="s">
        <v>2413</v>
      </c>
      <c r="F55" s="496" t="s">
        <v>2414</v>
      </c>
      <c r="G55" s="496" t="s">
        <v>2415</v>
      </c>
      <c r="H55" s="496" t="s">
        <v>2416</v>
      </c>
      <c r="I55" s="496" t="s">
        <v>2417</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5">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2381</v>
      </c>
      <c r="B63" s="485" t="s">
        <v>2424</v>
      </c>
      <c r="C63" s="530" t="s">
        <v>2419</v>
      </c>
      <c r="D63" s="530" t="s">
        <v>2420</v>
      </c>
      <c r="E63" s="530" t="s">
        <v>2421</v>
      </c>
      <c r="F63" s="530" t="s">
        <v>2422</v>
      </c>
      <c r="G63" s="530" t="s">
        <v>2423</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2425</v>
      </c>
      <c r="C65" s="535" t="s">
        <v>2419</v>
      </c>
      <c r="D65" s="535" t="s">
        <v>2420</v>
      </c>
      <c r="E65" s="535" t="s">
        <v>2421</v>
      </c>
      <c r="F65" s="535" t="s">
        <v>2422</v>
      </c>
      <c r="G65" s="535" t="s">
        <v>2423</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2511</v>
      </c>
      <c r="C67" s="615" t="s">
        <v>2497</v>
      </c>
      <c r="D67" s="615" t="s">
        <v>2498</v>
      </c>
      <c r="E67" s="615" t="s">
        <v>2499</v>
      </c>
      <c r="F67" s="615" t="s">
        <v>2500</v>
      </c>
      <c r="G67" s="615" t="s">
        <v>2501</v>
      </c>
      <c r="H67" s="496"/>
      <c r="I67" s="496"/>
      <c r="J67" s="496"/>
      <c r="K67" s="496"/>
      <c r="L67" s="496"/>
      <c r="M67" s="1289"/>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5"/>
      <c r="I68" s="615"/>
      <c r="J68" s="615"/>
      <c r="K68" s="615"/>
      <c r="L68" s="615"/>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2431</v>
      </c>
      <c r="C69" s="535" t="s">
        <v>2419</v>
      </c>
      <c r="D69" s="535" t="s">
        <v>2420</v>
      </c>
      <c r="E69" s="535" t="s">
        <v>2421</v>
      </c>
      <c r="F69" s="535" t="s">
        <v>2422</v>
      </c>
      <c r="G69" s="535" t="s">
        <v>2423</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2551</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2385</v>
      </c>
      <c r="B79" s="485" t="s">
        <v>2552</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2553</v>
      </c>
      <c r="C81" s="616"/>
      <c r="D81" s="616"/>
      <c r="E81" s="616"/>
      <c r="F81" s="616"/>
      <c r="G81" s="616"/>
      <c r="H81" s="616"/>
      <c r="I81" s="616"/>
      <c r="J81" s="616"/>
      <c r="K81" s="617"/>
      <c r="L81" s="618"/>
      <c r="M81" s="619"/>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2438</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2554</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8"/>
      <c r="J86" s="578"/>
      <c r="K86" s="579"/>
      <c r="L86" s="580"/>
      <c r="M86" s="581"/>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2555</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2556</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7"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2557</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2558</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1">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9" customFormat="1" ht="28.5" customHeight="1" thickBot="1">
      <c r="A1" s="1388" t="s">
        <v>2529</v>
      </c>
      <c r="B1" s="1389"/>
      <c r="C1" s="1390" t="s">
        <v>2352</v>
      </c>
      <c r="D1" s="1391"/>
      <c r="E1" s="1400"/>
      <c r="F1" s="2065"/>
      <c r="G1" s="1401" t="s">
        <v>2465</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8" customFormat="1" ht="28.5" customHeight="1" thickTop="1">
      <c r="A2" s="1387" t="s">
        <v>2149</v>
      </c>
      <c r="B2" s="1324" t="e">
        <f ca="1">IF(C2="——",ROUND(C37*D3/10000,0),ROUND(C37*D3/10000,0)-D2)</f>
        <v>#DIV/0!</v>
      </c>
      <c r="C2" s="2067"/>
      <c r="D2" s="1037" t="e">
        <f ca="1">SUMIF(INDIRECT("'"&amp;F2&amp;"'"&amp;"!A:A"),"承租人权益价值",INDIRECT("'"&amp;F2&amp;"'"&amp;"!c:c"))</f>
        <v>#REF!</v>
      </c>
      <c r="E2" s="2068" t="s">
        <v>2150</v>
      </c>
      <c r="F2" s="2069"/>
      <c r="G2" s="1038"/>
      <c r="H2" s="1038"/>
      <c r="I2" s="1038"/>
      <c r="J2" s="1038"/>
      <c r="K2" s="1040"/>
      <c r="L2" s="2963"/>
      <c r="M2" s="2964"/>
      <c r="N2" s="2964"/>
      <c r="O2" s="2964"/>
      <c r="P2" s="707"/>
      <c r="Q2" s="707"/>
      <c r="R2" s="707"/>
      <c r="S2" s="707"/>
      <c r="T2" s="707"/>
      <c r="U2" s="707"/>
      <c r="V2" s="707"/>
      <c r="W2" s="707"/>
      <c r="X2" s="707"/>
      <c r="Y2" s="707"/>
      <c r="Z2" s="707"/>
      <c r="AA2" s="707"/>
      <c r="AB2" s="707"/>
      <c r="AC2" s="708"/>
    </row>
    <row r="3" spans="1:29" s="358" customFormat="1" ht="28.5" customHeight="1" thickBot="1">
      <c r="A3" s="209" t="s">
        <v>2151</v>
      </c>
      <c r="B3" s="566" t="e">
        <f ca="1">IF(C2="——",C37,ROUND(B2*10000/D3,0))</f>
        <v>#DIV/0!</v>
      </c>
      <c r="C3" s="360" t="s">
        <v>2466</v>
      </c>
      <c r="D3" s="359">
        <f>SUMIF('数据-汇总表'!$C19:$C33,D1,'数据-汇总表'!$E19:$E33)</f>
        <v>0</v>
      </c>
      <c r="E3" s="1038"/>
      <c r="F3" s="1039"/>
      <c r="G3" s="1038"/>
      <c r="H3" s="1038"/>
      <c r="I3" s="1038"/>
      <c r="J3" s="1038"/>
      <c r="K3" s="1040"/>
      <c r="L3" s="2963"/>
      <c r="M3" s="2964"/>
      <c r="N3" s="2964"/>
      <c r="O3" s="2964"/>
      <c r="P3" s="707"/>
      <c r="Q3" s="707"/>
      <c r="R3" s="707"/>
      <c r="S3" s="707"/>
      <c r="T3" s="707"/>
      <c r="U3" s="707"/>
      <c r="V3" s="707"/>
      <c r="W3" s="707"/>
      <c r="X3" s="707"/>
      <c r="Y3" s="707"/>
      <c r="Z3" s="707"/>
      <c r="AA3" s="707"/>
      <c r="AB3" s="724"/>
      <c r="AC3" s="721"/>
    </row>
    <row r="4" spans="1:29" ht="15">
      <c r="A4" s="361" t="s">
        <v>2467</v>
      </c>
      <c r="B4" s="362"/>
      <c r="C4" s="3277" t="s">
        <v>2468</v>
      </c>
      <c r="D4" s="3278"/>
      <c r="E4" s="3279" t="s">
        <v>2469</v>
      </c>
      <c r="F4" s="3280"/>
      <c r="G4" s="3277" t="s">
        <v>2470</v>
      </c>
      <c r="H4" s="3278"/>
      <c r="I4" s="3277" t="s">
        <v>2471</v>
      </c>
      <c r="J4" s="3278"/>
      <c r="K4" s="567" t="s">
        <v>2472</v>
      </c>
      <c r="L4" s="2944"/>
      <c r="M4" s="2945"/>
      <c r="N4" s="2945"/>
      <c r="O4" s="2945"/>
      <c r="P4" s="3281" t="s">
        <v>2473</v>
      </c>
      <c r="Q4" s="3282"/>
      <c r="R4" s="3264" t="s">
        <v>2469</v>
      </c>
      <c r="S4" s="3265"/>
      <c r="T4" s="3264" t="s">
        <v>2470</v>
      </c>
      <c r="U4" s="3265"/>
      <c r="V4" s="3289" t="s">
        <v>2471</v>
      </c>
      <c r="W4" s="3289"/>
      <c r="X4" s="1539"/>
      <c r="Y4" s="3264" t="s">
        <v>2473</v>
      </c>
      <c r="Z4" s="3265"/>
      <c r="AA4" s="3259" t="s">
        <v>2469</v>
      </c>
      <c r="AB4" s="3260" t="s">
        <v>2470</v>
      </c>
      <c r="AC4" s="3259" t="s">
        <v>2471</v>
      </c>
    </row>
    <row r="5" spans="1:29" ht="15">
      <c r="A5" s="364"/>
      <c r="B5" s="365"/>
      <c r="C5" s="3270" t="s">
        <v>2364</v>
      </c>
      <c r="D5" s="3271"/>
      <c r="E5" s="3268" t="s">
        <v>2365</v>
      </c>
      <c r="F5" s="3269"/>
      <c r="G5" s="3270" t="s">
        <v>2366</v>
      </c>
      <c r="H5" s="3271"/>
      <c r="I5" s="3270" t="s">
        <v>2367</v>
      </c>
      <c r="J5" s="3271"/>
      <c r="K5" s="567"/>
      <c r="L5" s="2944"/>
      <c r="M5" s="2945"/>
      <c r="N5" s="2945"/>
      <c r="O5" s="2945"/>
      <c r="P5" s="3283"/>
      <c r="Q5" s="3284"/>
      <c r="R5" s="3266"/>
      <c r="S5" s="3267"/>
      <c r="T5" s="3266"/>
      <c r="U5" s="3267"/>
      <c r="V5" s="3289"/>
      <c r="W5" s="3289"/>
      <c r="X5" s="1539"/>
      <c r="Y5" s="3266"/>
      <c r="Z5" s="3267"/>
      <c r="AA5" s="3260"/>
      <c r="AB5" s="3260"/>
      <c r="AC5" s="3260"/>
    </row>
    <row r="6" spans="1:29" ht="15.75" thickBot="1">
      <c r="A6" s="366"/>
      <c r="B6" s="367"/>
      <c r="C6" s="3272" t="s">
        <v>2368</v>
      </c>
      <c r="D6" s="3273"/>
      <c r="E6" s="3274" t="s">
        <v>2368</v>
      </c>
      <c r="F6" s="3275"/>
      <c r="G6" s="3272" t="s">
        <v>2368</v>
      </c>
      <c r="H6" s="3273"/>
      <c r="I6" s="3272" t="s">
        <v>2368</v>
      </c>
      <c r="J6" s="3273"/>
      <c r="K6" s="567" t="s">
        <v>2369</v>
      </c>
      <c r="L6" s="2944"/>
      <c r="M6" s="2945"/>
      <c r="N6" s="2945"/>
      <c r="O6" s="2945"/>
      <c r="P6" s="3285"/>
      <c r="Q6" s="3286"/>
      <c r="R6" s="3266"/>
      <c r="S6" s="3267"/>
      <c r="T6" s="3287"/>
      <c r="U6" s="3288"/>
      <c r="V6" s="3289"/>
      <c r="W6" s="3289"/>
      <c r="X6" s="1539"/>
      <c r="Y6" s="3287"/>
      <c r="Z6" s="3288"/>
      <c r="AA6" s="3261"/>
      <c r="AB6" s="3261"/>
      <c r="AC6" s="3261"/>
    </row>
    <row r="7" spans="1:29" s="113" customFormat="1" ht="15.75" thickBot="1">
      <c r="A7" s="368" t="s">
        <v>2370</v>
      </c>
      <c r="B7" s="369"/>
      <c r="C7" s="370">
        <f>'数据-取费表'!B2</f>
        <v>44224</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262" t="s">
        <v>2371</v>
      </c>
      <c r="Q7" s="3290"/>
      <c r="R7" s="709" t="s">
        <v>17</v>
      </c>
      <c r="S7" s="710">
        <f t="shared" ref="S7:S14" si="0">F7</f>
        <v>0</v>
      </c>
      <c r="T7" s="709" t="s">
        <v>17</v>
      </c>
      <c r="U7" s="710">
        <f t="shared" ref="U7:U14" si="1">H7</f>
        <v>0</v>
      </c>
      <c r="V7" s="709" t="s">
        <v>17</v>
      </c>
      <c r="W7" s="710">
        <f t="shared" ref="W7:W14" si="2">J7</f>
        <v>0</v>
      </c>
      <c r="X7" s="711"/>
      <c r="Y7" s="3262" t="s">
        <v>2371</v>
      </c>
      <c r="Z7" s="3263"/>
      <c r="AA7" s="712" t="e">
        <f>D7/F7</f>
        <v>#DIV/0!</v>
      </c>
      <c r="AB7" s="712" t="e">
        <f>D7/H7</f>
        <v>#DIV/0!</v>
      </c>
      <c r="AC7" s="712" t="e">
        <f>D7/J7</f>
        <v>#DIV/0!</v>
      </c>
    </row>
    <row r="8" spans="1:29" s="113" customFormat="1" ht="15.75" thickBot="1">
      <c r="A8" s="368" t="s">
        <v>2372</v>
      </c>
      <c r="B8" s="369"/>
      <c r="C8" s="374" t="s">
        <v>2474</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262" t="s">
        <v>2374</v>
      </c>
      <c r="Q8" s="3263"/>
      <c r="R8" s="709" t="s">
        <v>17</v>
      </c>
      <c r="S8" s="710">
        <f t="shared" si="0"/>
        <v>0</v>
      </c>
      <c r="T8" s="709" t="s">
        <v>17</v>
      </c>
      <c r="U8" s="710">
        <f t="shared" si="1"/>
        <v>0</v>
      </c>
      <c r="V8" s="709" t="s">
        <v>17</v>
      </c>
      <c r="W8" s="710">
        <f t="shared" si="2"/>
        <v>0</v>
      </c>
      <c r="X8" s="711"/>
      <c r="Y8" s="3262" t="s">
        <v>2374</v>
      </c>
      <c r="Z8" s="3263"/>
      <c r="AA8" s="712" t="e">
        <f t="shared" ref="AA8:AA34" si="3">D8/F8</f>
        <v>#DIV/0!</v>
      </c>
      <c r="AB8" s="712" t="e">
        <f t="shared" ref="AB8:AB34" si="4">D8/H8</f>
        <v>#DIV/0!</v>
      </c>
      <c r="AC8" s="712" t="e">
        <f t="shared" ref="AC8:AC34" si="5">D8/J8</f>
        <v>#DIV/0!</v>
      </c>
    </row>
    <row r="9" spans="1:29" s="113" customFormat="1">
      <c r="A9" s="375" t="s">
        <v>2375</v>
      </c>
      <c r="B9" s="67" t="s">
        <v>2376</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276" t="s">
        <v>2377</v>
      </c>
      <c r="Q9" s="1527" t="str">
        <f t="shared" ref="Q9:Q14" si="6">B9</f>
        <v>用途</v>
      </c>
      <c r="R9" s="709" t="s">
        <v>17</v>
      </c>
      <c r="S9" s="710">
        <f t="shared" si="0"/>
        <v>100</v>
      </c>
      <c r="T9" s="709" t="s">
        <v>17</v>
      </c>
      <c r="U9" s="710">
        <f t="shared" si="1"/>
        <v>100</v>
      </c>
      <c r="V9" s="709" t="s">
        <v>17</v>
      </c>
      <c r="W9" s="710">
        <f t="shared" si="2"/>
        <v>100</v>
      </c>
      <c r="X9" s="711"/>
      <c r="Y9" s="3232" t="s">
        <v>2378</v>
      </c>
      <c r="Z9" s="55" t="str">
        <f t="shared" ref="Z9:Z14" si="7">Q9</f>
        <v>用途</v>
      </c>
      <c r="AA9" s="712">
        <f t="shared" si="3"/>
        <v>1</v>
      </c>
      <c r="AB9" s="712">
        <f t="shared" si="4"/>
        <v>1</v>
      </c>
      <c r="AC9" s="712">
        <f t="shared" si="5"/>
        <v>1</v>
      </c>
    </row>
    <row r="10" spans="1:29" s="386" customFormat="1" ht="27">
      <c r="A10" s="380"/>
      <c r="B10" s="381" t="s">
        <v>2379</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276"/>
      <c r="Q10" s="1527" t="str">
        <f t="shared" si="6"/>
        <v>土地使用年限（年）</v>
      </c>
      <c r="R10" s="709" t="s">
        <v>17</v>
      </c>
      <c r="S10" s="710">
        <f t="shared" si="0"/>
        <v>100</v>
      </c>
      <c r="T10" s="709" t="s">
        <v>17</v>
      </c>
      <c r="U10" s="710">
        <f t="shared" si="1"/>
        <v>100</v>
      </c>
      <c r="V10" s="709" t="s">
        <v>17</v>
      </c>
      <c r="W10" s="710">
        <f t="shared" si="2"/>
        <v>100</v>
      </c>
      <c r="X10" s="711"/>
      <c r="Y10" s="3232"/>
      <c r="Z10" s="55" t="str">
        <f t="shared" si="7"/>
        <v>土地使用年限（年）</v>
      </c>
      <c r="AA10" s="712">
        <f t="shared" si="3"/>
        <v>1</v>
      </c>
      <c r="AB10" s="712">
        <f t="shared" si="4"/>
        <v>1</v>
      </c>
      <c r="AC10" s="712">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276"/>
      <c r="Q11" s="1527">
        <f t="shared" si="6"/>
        <v>111</v>
      </c>
      <c r="R11" s="709" t="s">
        <v>17</v>
      </c>
      <c r="S11" s="710">
        <f t="shared" si="0"/>
        <v>100</v>
      </c>
      <c r="T11" s="709" t="s">
        <v>17</v>
      </c>
      <c r="U11" s="710">
        <f t="shared" si="1"/>
        <v>100</v>
      </c>
      <c r="V11" s="709" t="s">
        <v>17</v>
      </c>
      <c r="W11" s="710">
        <f t="shared" si="2"/>
        <v>100</v>
      </c>
      <c r="X11" s="711"/>
      <c r="Y11" s="3232"/>
      <c r="Z11" s="55">
        <f t="shared" si="7"/>
        <v>111</v>
      </c>
      <c r="AA11" s="712">
        <f t="shared" si="3"/>
        <v>1</v>
      </c>
      <c r="AB11" s="712">
        <f t="shared" si="4"/>
        <v>1</v>
      </c>
      <c r="AC11" s="712">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276"/>
      <c r="Q12" s="1527">
        <f t="shared" si="6"/>
        <v>111</v>
      </c>
      <c r="R12" s="709" t="s">
        <v>17</v>
      </c>
      <c r="S12" s="710">
        <f t="shared" si="0"/>
        <v>100</v>
      </c>
      <c r="T12" s="709" t="s">
        <v>17</v>
      </c>
      <c r="U12" s="710">
        <f t="shared" si="1"/>
        <v>100</v>
      </c>
      <c r="V12" s="709" t="s">
        <v>17</v>
      </c>
      <c r="W12" s="710">
        <f t="shared" si="2"/>
        <v>100</v>
      </c>
      <c r="X12" s="711"/>
      <c r="Y12" s="3232"/>
      <c r="Z12" s="55">
        <f t="shared" si="7"/>
        <v>111</v>
      </c>
      <c r="AA12" s="712">
        <f>D12/F12</f>
        <v>1</v>
      </c>
      <c r="AB12" s="712">
        <f>D12/H12</f>
        <v>1</v>
      </c>
      <c r="AC12" s="712">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276"/>
      <c r="Q13" s="1527">
        <f t="shared" si="6"/>
        <v>111</v>
      </c>
      <c r="R13" s="709" t="s">
        <v>17</v>
      </c>
      <c r="S13" s="710">
        <f t="shared" si="0"/>
        <v>100</v>
      </c>
      <c r="T13" s="709" t="s">
        <v>17</v>
      </c>
      <c r="U13" s="710">
        <f t="shared" si="1"/>
        <v>100</v>
      </c>
      <c r="V13" s="709" t="s">
        <v>17</v>
      </c>
      <c r="W13" s="710">
        <f t="shared" si="2"/>
        <v>100</v>
      </c>
      <c r="X13" s="711"/>
      <c r="Y13" s="3232"/>
      <c r="Z13" s="55">
        <f t="shared" si="7"/>
        <v>111</v>
      </c>
      <c r="AA13" s="712">
        <f t="shared" si="3"/>
        <v>1</v>
      </c>
      <c r="AB13" s="712">
        <f t="shared" si="4"/>
        <v>1</v>
      </c>
      <c r="AC13" s="712">
        <f t="shared" si="5"/>
        <v>1</v>
      </c>
    </row>
    <row r="14" spans="1:29" ht="15">
      <c r="A14" s="399" t="s">
        <v>2381</v>
      </c>
      <c r="B14" s="65" t="s">
        <v>2531</v>
      </c>
      <c r="C14" s="2157">
        <f>IF(B1="工业",估价对象房地状况!G4,估价对象房地状况!C6)</f>
        <v>0</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291" t="s">
        <v>2382</v>
      </c>
      <c r="Q14" s="1536" t="str">
        <f t="shared" si="6"/>
        <v>交通便捷度</v>
      </c>
      <c r="R14" s="713" t="s">
        <v>17</v>
      </c>
      <c r="S14" s="714">
        <f t="shared" si="0"/>
        <v>100</v>
      </c>
      <c r="T14" s="713" t="s">
        <v>17</v>
      </c>
      <c r="U14" s="714">
        <f t="shared" si="1"/>
        <v>100</v>
      </c>
      <c r="V14" s="713" t="s">
        <v>17</v>
      </c>
      <c r="W14" s="714">
        <f t="shared" si="2"/>
        <v>100</v>
      </c>
      <c r="X14" s="1539"/>
      <c r="Y14" s="3291" t="s">
        <v>2382</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292"/>
      <c r="Q15" s="1536"/>
      <c r="R15" s="713"/>
      <c r="S15" s="714"/>
      <c r="T15" s="713"/>
      <c r="U15" s="714"/>
      <c r="V15" s="713"/>
      <c r="W15" s="714"/>
      <c r="X15" s="1539"/>
      <c r="Y15" s="3292"/>
      <c r="Z15" s="1540"/>
      <c r="AA15" s="1537">
        <v>1</v>
      </c>
      <c r="AB15" s="1537">
        <v>1</v>
      </c>
      <c r="AC15" s="1537">
        <v>1</v>
      </c>
    </row>
    <row r="16" spans="1:29" ht="15">
      <c r="A16" s="387"/>
      <c r="B16" s="410" t="s">
        <v>2510</v>
      </c>
      <c r="C16" s="2086">
        <f>IF(B1="工业",估价对象房地状况!G5,估价对象房地状况!C7)</f>
        <v>0</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292"/>
      <c r="Q16" s="1536" t="str">
        <f>B16</f>
        <v>公共配套设施</v>
      </c>
      <c r="R16" s="713" t="s">
        <v>17</v>
      </c>
      <c r="S16" s="714">
        <f>F16</f>
        <v>100</v>
      </c>
      <c r="T16" s="713" t="s">
        <v>17</v>
      </c>
      <c r="U16" s="714">
        <f>H16</f>
        <v>100</v>
      </c>
      <c r="V16" s="713" t="s">
        <v>17</v>
      </c>
      <c r="W16" s="714">
        <f>J16</f>
        <v>100</v>
      </c>
      <c r="X16" s="1539"/>
      <c r="Y16" s="3292"/>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292"/>
      <c r="Q17" s="1536"/>
      <c r="R17" s="713"/>
      <c r="S17" s="714"/>
      <c r="T17" s="713"/>
      <c r="U17" s="714"/>
      <c r="V17" s="713"/>
      <c r="W17" s="714"/>
      <c r="X17" s="1539"/>
      <c r="Y17" s="3292"/>
      <c r="Z17" s="1540"/>
      <c r="AA17" s="1537">
        <v>1</v>
      </c>
      <c r="AB17" s="1537">
        <v>1</v>
      </c>
      <c r="AC17" s="1537">
        <v>1</v>
      </c>
    </row>
    <row r="18" spans="1:29" ht="15">
      <c r="A18" s="387"/>
      <c r="B18" s="1291" t="s">
        <v>2511</v>
      </c>
      <c r="C18" s="2086">
        <f>IF(B1="工业",估价对象房地状况!G6,估价对象房地状况!C8)</f>
        <v>0</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292"/>
      <c r="Q18" s="1536" t="str">
        <f>B18</f>
        <v>基础设施水平</v>
      </c>
      <c r="R18" s="713" t="s">
        <v>17</v>
      </c>
      <c r="S18" s="714">
        <f>F18</f>
        <v>100</v>
      </c>
      <c r="T18" s="713" t="s">
        <v>17</v>
      </c>
      <c r="U18" s="714">
        <f>H18</f>
        <v>100</v>
      </c>
      <c r="V18" s="713" t="s">
        <v>17</v>
      </c>
      <c r="W18" s="714">
        <f>J18</f>
        <v>100</v>
      </c>
      <c r="X18" s="1539"/>
      <c r="Y18" s="3292"/>
      <c r="Z18" s="1540" t="str">
        <f>Q18</f>
        <v>基础设施水平</v>
      </c>
      <c r="AA18" s="1537">
        <f t="shared" ref="AA18" si="8">D18/F18</f>
        <v>1</v>
      </c>
      <c r="AB18" s="1537">
        <f t="shared" ref="AB18" si="9">D18/H18</f>
        <v>1</v>
      </c>
      <c r="AC18" s="1537">
        <f t="shared" ref="AC18" si="10">D18/J18</f>
        <v>1</v>
      </c>
    </row>
    <row r="19" spans="1:29" ht="15">
      <c r="A19" s="387"/>
      <c r="B19" s="1291"/>
      <c r="C19" s="2087"/>
      <c r="D19" s="409"/>
      <c r="E19" s="2087"/>
      <c r="F19" s="412"/>
      <c r="G19" s="2087"/>
      <c r="H19" s="407"/>
      <c r="I19" s="406"/>
      <c r="J19" s="407"/>
      <c r="K19" s="1290"/>
      <c r="L19" s="2951"/>
      <c r="M19" s="2945"/>
      <c r="N19" s="2945"/>
      <c r="O19" s="3003"/>
      <c r="P19" s="3292"/>
      <c r="Q19" s="1536"/>
      <c r="R19" s="713"/>
      <c r="S19" s="714"/>
      <c r="T19" s="713"/>
      <c r="U19" s="714"/>
      <c r="V19" s="713"/>
      <c r="W19" s="714"/>
      <c r="X19" s="1539"/>
      <c r="Y19" s="3292"/>
      <c r="Z19" s="1540"/>
      <c r="AA19" s="1537">
        <v>1</v>
      </c>
      <c r="AB19" s="1537">
        <v>1</v>
      </c>
      <c r="AC19" s="1537">
        <v>1</v>
      </c>
    </row>
    <row r="20" spans="1:29" ht="15">
      <c r="A20" s="387"/>
      <c r="B20" s="410" t="s">
        <v>2532</v>
      </c>
      <c r="C20" s="2086">
        <f>IF(B1="工业",估价对象房地状况!G7,估价对象房地状况!C9)</f>
        <v>0</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292"/>
      <c r="Q20" s="1536" t="str">
        <f>B20</f>
        <v>自然及人文环境</v>
      </c>
      <c r="R20" s="713" t="s">
        <v>17</v>
      </c>
      <c r="S20" s="714">
        <f>F20</f>
        <v>100</v>
      </c>
      <c r="T20" s="713" t="s">
        <v>17</v>
      </c>
      <c r="U20" s="714">
        <f>H20</f>
        <v>100</v>
      </c>
      <c r="V20" s="713" t="s">
        <v>17</v>
      </c>
      <c r="W20" s="714">
        <f>J20</f>
        <v>100</v>
      </c>
      <c r="X20" s="1539"/>
      <c r="Y20" s="3292"/>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292"/>
      <c r="Q21" s="1536"/>
      <c r="R21" s="713"/>
      <c r="S21" s="714"/>
      <c r="T21" s="713"/>
      <c r="U21" s="714"/>
      <c r="V21" s="713"/>
      <c r="W21" s="714"/>
      <c r="X21" s="1539"/>
      <c r="Y21" s="3292"/>
      <c r="Z21" s="1540"/>
      <c r="AA21" s="1537">
        <v>1</v>
      </c>
      <c r="AB21" s="1537">
        <v>1</v>
      </c>
      <c r="AC21" s="1537">
        <v>1</v>
      </c>
    </row>
    <row r="22" spans="1:29" ht="15">
      <c r="A22" s="387"/>
      <c r="B22" s="410" t="s">
        <v>2533</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292"/>
      <c r="Q22" s="1536" t="str">
        <f>B22</f>
        <v>楼层</v>
      </c>
      <c r="R22" s="713" t="s">
        <v>17</v>
      </c>
      <c r="S22" s="714">
        <f>F22</f>
        <v>100</v>
      </c>
      <c r="T22" s="713" t="s">
        <v>17</v>
      </c>
      <c r="U22" s="714">
        <f>H22</f>
        <v>100</v>
      </c>
      <c r="V22" s="713" t="s">
        <v>17</v>
      </c>
      <c r="W22" s="714">
        <f>J22</f>
        <v>100</v>
      </c>
      <c r="X22" s="1539"/>
      <c r="Y22" s="3292"/>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292"/>
      <c r="Q23" s="1536">
        <f>B23</f>
        <v>111</v>
      </c>
      <c r="R23" s="713" t="s">
        <v>17</v>
      </c>
      <c r="S23" s="714">
        <f>F23</f>
        <v>100</v>
      </c>
      <c r="T23" s="713" t="s">
        <v>17</v>
      </c>
      <c r="U23" s="714">
        <f>H23</f>
        <v>100</v>
      </c>
      <c r="V23" s="713" t="s">
        <v>17</v>
      </c>
      <c r="W23" s="714">
        <f>J23</f>
        <v>100</v>
      </c>
      <c r="X23" s="1539"/>
      <c r="Y23" s="3292"/>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292"/>
      <c r="Q24" s="1536">
        <f t="shared" ref="Q24:Q34" si="11">B24</f>
        <v>111</v>
      </c>
      <c r="R24" s="713" t="s">
        <v>17</v>
      </c>
      <c r="S24" s="714">
        <f>F24</f>
        <v>100</v>
      </c>
      <c r="T24" s="713" t="s">
        <v>17</v>
      </c>
      <c r="U24" s="714">
        <f>H24</f>
        <v>100</v>
      </c>
      <c r="V24" s="713" t="s">
        <v>17</v>
      </c>
      <c r="W24" s="714">
        <f>J24</f>
        <v>100</v>
      </c>
      <c r="X24" s="1539"/>
      <c r="Y24" s="3292"/>
      <c r="Z24" s="1540">
        <f>Q24</f>
        <v>111</v>
      </c>
      <c r="AA24" s="1537">
        <f t="shared" si="3"/>
        <v>1</v>
      </c>
      <c r="AB24" s="1537">
        <f t="shared" si="4"/>
        <v>1</v>
      </c>
      <c r="AC24" s="1537">
        <f t="shared" si="5"/>
        <v>1</v>
      </c>
    </row>
    <row r="25" spans="1:29" s="113" customFormat="1" ht="15.75" thickBot="1">
      <c r="A25" s="390"/>
      <c r="B25" s="2079">
        <v>111</v>
      </c>
      <c r="C25" s="2162"/>
      <c r="D25" s="620">
        <v>100</v>
      </c>
      <c r="E25" s="2162"/>
      <c r="F25" s="621">
        <f>SUMIF(75:75,E25,76:76)-SUMIF(75:75,C25,76:76)+100</f>
        <v>100</v>
      </c>
      <c r="G25" s="2162"/>
      <c r="H25" s="620">
        <f>SUMIF(75:75,G25,76:76)-SUMIF(75:75,C25,76:76)+100</f>
        <v>100</v>
      </c>
      <c r="I25" s="2162"/>
      <c r="J25" s="620">
        <f>SUMIF(75:75,I25,76:76)-SUMIF(75:75,C25,76:76)+100</f>
        <v>100</v>
      </c>
      <c r="K25" s="570"/>
      <c r="L25" s="2946"/>
      <c r="M25" s="2947"/>
      <c r="N25" s="2947"/>
      <c r="O25" s="3001"/>
      <c r="P25" s="3292"/>
      <c r="Q25" s="1527">
        <f t="shared" si="11"/>
        <v>111</v>
      </c>
      <c r="R25" s="709" t="s">
        <v>17</v>
      </c>
      <c r="S25" s="710">
        <f>F25</f>
        <v>100</v>
      </c>
      <c r="T25" s="709" t="s">
        <v>17</v>
      </c>
      <c r="U25" s="710">
        <f>H25</f>
        <v>100</v>
      </c>
      <c r="V25" s="709" t="s">
        <v>17</v>
      </c>
      <c r="W25" s="710">
        <f>J25</f>
        <v>100</v>
      </c>
      <c r="X25" s="711"/>
      <c r="Y25" s="3292"/>
      <c r="Z25" s="55">
        <f>Q25</f>
        <v>111</v>
      </c>
      <c r="AA25" s="1537">
        <f>D25/F25</f>
        <v>1</v>
      </c>
      <c r="AB25" s="1537">
        <f>D25/H25</f>
        <v>1</v>
      </c>
      <c r="AC25" s="1537">
        <f>D25/J25</f>
        <v>1</v>
      </c>
    </row>
    <row r="26" spans="1:29" ht="28.5">
      <c r="A26" s="425" t="s">
        <v>2385</v>
      </c>
      <c r="B26" s="67" t="s">
        <v>2536</v>
      </c>
      <c r="C26" s="2153"/>
      <c r="D26" s="426">
        <v>100</v>
      </c>
      <c r="E26" s="2153"/>
      <c r="F26" s="622">
        <f>SUMIF(77:77,E26,78:78)-SUMIF(77:77,C26,78:78)+100</f>
        <v>100</v>
      </c>
      <c r="G26" s="2153"/>
      <c r="H26" s="426">
        <f>SUMIF(77:77,G26,78:78)-SUMIF(77:77,C26,78:78)+100</f>
        <v>100</v>
      </c>
      <c r="I26" s="2153"/>
      <c r="J26" s="426">
        <f>SUMIF(77:77,I26,78:78)-SUMIF(77:77,C26,78:78)+100</f>
        <v>100</v>
      </c>
      <c r="K26" s="569"/>
      <c r="L26" s="2951"/>
      <c r="M26" s="2945"/>
      <c r="N26" s="2945"/>
      <c r="O26" s="3003"/>
      <c r="P26" s="3293" t="s">
        <v>2387</v>
      </c>
      <c r="Q26" s="1536" t="str">
        <f t="shared" si="11"/>
        <v>公共部分装修</v>
      </c>
      <c r="R26" s="713" t="s">
        <v>17</v>
      </c>
      <c r="S26" s="714">
        <f t="shared" ref="S26:S34" si="12">F26</f>
        <v>100</v>
      </c>
      <c r="T26" s="713" t="s">
        <v>17</v>
      </c>
      <c r="U26" s="714">
        <f t="shared" ref="U26:U34" si="13">H26</f>
        <v>100</v>
      </c>
      <c r="V26" s="713" t="s">
        <v>17</v>
      </c>
      <c r="W26" s="714">
        <f t="shared" ref="W26:W34" si="14">J26</f>
        <v>100</v>
      </c>
      <c r="X26" s="1539"/>
      <c r="Y26" s="3294" t="s">
        <v>2387</v>
      </c>
      <c r="Z26" s="1540" t="str">
        <f t="shared" ref="Z26:Z34" si="15">Q26</f>
        <v>公共部分装修</v>
      </c>
      <c r="AA26" s="1537">
        <f t="shared" si="3"/>
        <v>1</v>
      </c>
      <c r="AB26" s="1537">
        <f t="shared" si="4"/>
        <v>1</v>
      </c>
      <c r="AC26" s="1537">
        <f t="shared" si="5"/>
        <v>1</v>
      </c>
    </row>
    <row r="27" spans="1:29" s="430" customFormat="1" ht="15">
      <c r="A27" s="427"/>
      <c r="B27" s="381" t="s">
        <v>2537</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294"/>
      <c r="Q27" s="715" t="str">
        <f t="shared" si="11"/>
        <v>成新率</v>
      </c>
      <c r="R27" s="716" t="s">
        <v>17</v>
      </c>
      <c r="S27" s="717" t="e">
        <f t="shared" si="12"/>
        <v>#N/A</v>
      </c>
      <c r="T27" s="716" t="s">
        <v>17</v>
      </c>
      <c r="U27" s="717" t="e">
        <f t="shared" si="13"/>
        <v>#N/A</v>
      </c>
      <c r="V27" s="716" t="s">
        <v>17</v>
      </c>
      <c r="W27" s="717" t="e">
        <f t="shared" si="14"/>
        <v>#N/A</v>
      </c>
      <c r="X27" s="718"/>
      <c r="Y27" s="3294"/>
      <c r="Z27" s="719" t="str">
        <f t="shared" si="15"/>
        <v>成新率</v>
      </c>
      <c r="AA27" s="1537" t="e">
        <f t="shared" si="3"/>
        <v>#N/A</v>
      </c>
      <c r="AB27" s="1537" t="e">
        <f t="shared" si="4"/>
        <v>#N/A</v>
      </c>
      <c r="AC27" s="1537" t="e">
        <f t="shared" si="5"/>
        <v>#N/A</v>
      </c>
    </row>
    <row r="28" spans="1:29" ht="15">
      <c r="A28" s="431"/>
      <c r="B28" s="381" t="s">
        <v>2538</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294"/>
      <c r="Q28" s="1536" t="str">
        <f t="shared" si="11"/>
        <v>物业等级</v>
      </c>
      <c r="R28" s="713" t="s">
        <v>17</v>
      </c>
      <c r="S28" s="714">
        <f t="shared" si="12"/>
        <v>100</v>
      </c>
      <c r="T28" s="713" t="s">
        <v>17</v>
      </c>
      <c r="U28" s="714">
        <f t="shared" si="13"/>
        <v>100</v>
      </c>
      <c r="V28" s="713" t="s">
        <v>17</v>
      </c>
      <c r="W28" s="714">
        <f t="shared" si="14"/>
        <v>100</v>
      </c>
      <c r="X28" s="1539"/>
      <c r="Y28" s="3294"/>
      <c r="Z28" s="1540" t="str">
        <f t="shared" si="15"/>
        <v>物业等级</v>
      </c>
      <c r="AA28" s="1537">
        <f t="shared" si="3"/>
        <v>1</v>
      </c>
      <c r="AB28" s="1537">
        <f t="shared" si="4"/>
        <v>1</v>
      </c>
      <c r="AC28" s="1537">
        <f t="shared" si="5"/>
        <v>1</v>
      </c>
    </row>
    <row r="29" spans="1:29" ht="15">
      <c r="A29" s="431"/>
      <c r="B29" s="381" t="s">
        <v>2559</v>
      </c>
      <c r="C29" s="612"/>
      <c r="D29" s="394">
        <v>100</v>
      </c>
      <c r="E29" s="612"/>
      <c r="F29" s="420">
        <f>SUMIF(84:84,E29,85:85)-SUMIF(84:84,C29,85:85)+100</f>
        <v>100</v>
      </c>
      <c r="G29" s="612"/>
      <c r="H29" s="394">
        <f>SUMIF(84:84,G29,85:85)-SUMIF(84:84,C29,85:85)+100</f>
        <v>100</v>
      </c>
      <c r="I29" s="612"/>
      <c r="J29" s="394">
        <f>SUMIF(84:84,I29,85:85)-SUMIF(84:84,C29,85:85)+100</f>
        <v>100</v>
      </c>
      <c r="K29" s="569"/>
      <c r="L29" s="2951"/>
      <c r="M29" s="2945"/>
      <c r="N29" s="2945"/>
      <c r="O29" s="3003"/>
      <c r="P29" s="3294"/>
      <c r="Q29" s="1536" t="str">
        <f t="shared" si="11"/>
        <v>有无电梯</v>
      </c>
      <c r="R29" s="713" t="s">
        <v>17</v>
      </c>
      <c r="S29" s="714">
        <f t="shared" si="12"/>
        <v>100</v>
      </c>
      <c r="T29" s="713" t="s">
        <v>17</v>
      </c>
      <c r="U29" s="714">
        <f t="shared" si="13"/>
        <v>100</v>
      </c>
      <c r="V29" s="713" t="s">
        <v>17</v>
      </c>
      <c r="W29" s="714">
        <f t="shared" si="14"/>
        <v>100</v>
      </c>
      <c r="X29" s="1539"/>
      <c r="Y29" s="3294"/>
      <c r="Z29" s="1540" t="str">
        <f t="shared" si="15"/>
        <v>有无电梯</v>
      </c>
      <c r="AA29" s="1537">
        <f t="shared" si="3"/>
        <v>1</v>
      </c>
      <c r="AB29" s="1537">
        <f t="shared" si="4"/>
        <v>1</v>
      </c>
      <c r="AC29" s="1537">
        <f t="shared" si="5"/>
        <v>1</v>
      </c>
    </row>
    <row r="30" spans="1:29" ht="15">
      <c r="A30" s="431"/>
      <c r="B30" s="381" t="s">
        <v>2560</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294"/>
      <c r="Q30" s="1536" t="str">
        <f t="shared" si="11"/>
        <v>建筑面积</v>
      </c>
      <c r="R30" s="713" t="s">
        <v>17</v>
      </c>
      <c r="S30" s="714" t="e">
        <f t="shared" si="12"/>
        <v>#N/A</v>
      </c>
      <c r="T30" s="713" t="s">
        <v>17</v>
      </c>
      <c r="U30" s="714" t="e">
        <f t="shared" si="13"/>
        <v>#N/A</v>
      </c>
      <c r="V30" s="713" t="s">
        <v>17</v>
      </c>
      <c r="W30" s="714" t="e">
        <f t="shared" si="14"/>
        <v>#N/A</v>
      </c>
      <c r="X30" s="1539"/>
      <c r="Y30" s="3294"/>
      <c r="Z30" s="1540" t="str">
        <f t="shared" si="15"/>
        <v>建筑面积</v>
      </c>
      <c r="AA30" s="1537" t="e">
        <f t="shared" si="3"/>
        <v>#N/A</v>
      </c>
      <c r="AB30" s="1537" t="e">
        <f t="shared" si="4"/>
        <v>#N/A</v>
      </c>
      <c r="AC30" s="1537" t="e">
        <f t="shared" si="5"/>
        <v>#N/A</v>
      </c>
    </row>
    <row r="31" spans="1:29" s="113" customFormat="1" ht="15">
      <c r="A31" s="432"/>
      <c r="B31" s="381" t="s">
        <v>2561</v>
      </c>
      <c r="C31" s="612"/>
      <c r="D31" s="132">
        <v>100</v>
      </c>
      <c r="E31" s="612"/>
      <c r="F31" s="420">
        <f>SUMIF(89:89,E31,90:90)-SUMIF(89:89,C31,90:90)+100</f>
        <v>100</v>
      </c>
      <c r="G31" s="612"/>
      <c r="H31" s="394">
        <f>SUMIF(89:89,G31,90:90)-SUMIF(89:89,C31,90:90)+100</f>
        <v>100</v>
      </c>
      <c r="I31" s="612"/>
      <c r="J31" s="394">
        <f>SUMIF(89:89,I31,90:90)-SUMIF(89:89,C31,90:90)+100</f>
        <v>100</v>
      </c>
      <c r="K31" s="569"/>
      <c r="L31" s="2946"/>
      <c r="M31" s="2947"/>
      <c r="N31" s="2947"/>
      <c r="O31" s="3001"/>
      <c r="P31" s="3294"/>
      <c r="Q31" s="1527" t="str">
        <f t="shared" si="11"/>
        <v>是否封闭</v>
      </c>
      <c r="R31" s="709" t="s">
        <v>17</v>
      </c>
      <c r="S31" s="710">
        <f t="shared" si="12"/>
        <v>100</v>
      </c>
      <c r="T31" s="709" t="s">
        <v>17</v>
      </c>
      <c r="U31" s="710">
        <f t="shared" si="13"/>
        <v>100</v>
      </c>
      <c r="V31" s="709" t="s">
        <v>17</v>
      </c>
      <c r="W31" s="710">
        <f t="shared" si="14"/>
        <v>100</v>
      </c>
      <c r="X31" s="711"/>
      <c r="Y31" s="3294"/>
      <c r="Z31" s="55" t="str">
        <f t="shared" si="15"/>
        <v>是否封闭</v>
      </c>
      <c r="AA31" s="712">
        <f t="shared" si="3"/>
        <v>1</v>
      </c>
      <c r="AB31" s="712">
        <f t="shared" si="4"/>
        <v>1</v>
      </c>
      <c r="AC31" s="712">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294" t="s">
        <v>2387</v>
      </c>
      <c r="Q32" s="1536">
        <f t="shared" si="11"/>
        <v>111</v>
      </c>
      <c r="R32" s="713" t="s">
        <v>17</v>
      </c>
      <c r="S32" s="714">
        <f t="shared" si="12"/>
        <v>100</v>
      </c>
      <c r="T32" s="713" t="s">
        <v>17</v>
      </c>
      <c r="U32" s="714">
        <f t="shared" si="13"/>
        <v>100</v>
      </c>
      <c r="V32" s="713" t="s">
        <v>17</v>
      </c>
      <c r="W32" s="714">
        <f t="shared" si="14"/>
        <v>100</v>
      </c>
      <c r="X32" s="1539"/>
      <c r="Y32" s="3294" t="s">
        <v>2387</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294"/>
      <c r="Q33" s="1536">
        <f t="shared" si="11"/>
        <v>111</v>
      </c>
      <c r="R33" s="713" t="s">
        <v>17</v>
      </c>
      <c r="S33" s="714">
        <f t="shared" si="12"/>
        <v>100</v>
      </c>
      <c r="T33" s="713" t="s">
        <v>17</v>
      </c>
      <c r="U33" s="714">
        <f t="shared" si="13"/>
        <v>100</v>
      </c>
      <c r="V33" s="713" t="s">
        <v>17</v>
      </c>
      <c r="W33" s="714">
        <f t="shared" si="14"/>
        <v>100</v>
      </c>
      <c r="X33" s="1539"/>
      <c r="Y33" s="3294"/>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294"/>
      <c r="Q34" s="1536">
        <f t="shared" si="11"/>
        <v>111</v>
      </c>
      <c r="R34" s="713" t="s">
        <v>17</v>
      </c>
      <c r="S34" s="714">
        <f t="shared" si="12"/>
        <v>100</v>
      </c>
      <c r="T34" s="713" t="s">
        <v>17</v>
      </c>
      <c r="U34" s="714">
        <f t="shared" si="13"/>
        <v>100</v>
      </c>
      <c r="V34" s="713" t="s">
        <v>17</v>
      </c>
      <c r="W34" s="714">
        <f t="shared" si="14"/>
        <v>100</v>
      </c>
      <c r="X34" s="1539"/>
      <c r="Y34" s="3294"/>
      <c r="Z34" s="1540">
        <f t="shared" si="15"/>
        <v>111</v>
      </c>
      <c r="AA34" s="1537">
        <f t="shared" si="3"/>
        <v>1</v>
      </c>
      <c r="AB34" s="1537">
        <f t="shared" si="4"/>
        <v>1</v>
      </c>
      <c r="AC34" s="1537">
        <f t="shared" si="5"/>
        <v>1</v>
      </c>
    </row>
    <row r="35" spans="1:30" ht="15">
      <c r="A35" s="438" t="s">
        <v>2399</v>
      </c>
      <c r="B35" s="439"/>
      <c r="C35" s="1314" t="s">
        <v>1</v>
      </c>
      <c r="D35" s="1315"/>
      <c r="E35" s="1316"/>
      <c r="F35" s="1317"/>
      <c r="G35" s="1318"/>
      <c r="H35" s="1319"/>
      <c r="I35" s="1316"/>
      <c r="J35" s="1319"/>
      <c r="K35" s="722"/>
      <c r="L35" s="2953"/>
      <c r="M35" s="2954"/>
      <c r="N35" s="2945"/>
      <c r="O35" s="2954"/>
      <c r="P35" s="3276" t="str">
        <f>A35</f>
        <v>成交单价（元/平方米）</v>
      </c>
      <c r="Q35" s="3276"/>
      <c r="R35" s="3336">
        <f>E35</f>
        <v>0</v>
      </c>
      <c r="S35" s="3336"/>
      <c r="T35" s="3336">
        <f>G35</f>
        <v>0</v>
      </c>
      <c r="U35" s="3336"/>
      <c r="V35" s="3336">
        <f>I35</f>
        <v>0</v>
      </c>
      <c r="W35" s="3336"/>
      <c r="X35" s="698"/>
      <c r="Y35" s="720"/>
      <c r="Z35" s="698"/>
      <c r="AA35" s="698"/>
      <c r="AB35" s="698"/>
      <c r="AC35" s="698"/>
    </row>
    <row r="36" spans="1:30" ht="15.75" thickBot="1">
      <c r="A36" s="445" t="s">
        <v>2491</v>
      </c>
      <c r="B36" s="446"/>
      <c r="C36" s="1320" t="e">
        <f>R37</f>
        <v>#DIV/0!</v>
      </c>
      <c r="D36" s="2538" t="s">
        <v>2879</v>
      </c>
      <c r="E36" s="1321" t="e">
        <f>R36</f>
        <v>#DIV/0!</v>
      </c>
      <c r="F36" s="2539"/>
      <c r="G36" s="1320" t="e">
        <f>T36</f>
        <v>#DIV/0!</v>
      </c>
      <c r="H36" s="2539"/>
      <c r="I36" s="1321" t="e">
        <f>V36</f>
        <v>#DIV/0!</v>
      </c>
      <c r="J36" s="2539"/>
      <c r="K36" s="2541">
        <f>F36+H36+J36</f>
        <v>0</v>
      </c>
      <c r="L36" s="2953"/>
      <c r="M36" s="2954"/>
      <c r="N36" s="2945"/>
      <c r="O36" s="2954"/>
      <c r="P36" s="3276" t="str">
        <f>A36</f>
        <v>比较价值（元/平方米）</v>
      </c>
      <c r="Q36" s="3276"/>
      <c r="R36" s="3336" t="e">
        <f>IF(F1="售价",ROUND(PRODUCT(R35,AA7:AA34),0),ROUND(PRODUCT(R35,AA7:AA34),1))</f>
        <v>#DIV/0!</v>
      </c>
      <c r="S36" s="3336"/>
      <c r="T36" s="3336" t="e">
        <f>IF(F1="售价",ROUND(PRODUCT(T35,AB7:AB34),0),ROUND(PRODUCT(T35,AB7:AB34),1))</f>
        <v>#DIV/0!</v>
      </c>
      <c r="U36" s="3336"/>
      <c r="V36" s="3336" t="e">
        <f>IF(F1="售价",ROUND(PRODUCT(V35,AC7:AC34),0),ROUND(PRODUCT(V35,AC7:AC34),1))</f>
        <v>#DIV/0!</v>
      </c>
      <c r="W36" s="3336"/>
      <c r="X36" s="698"/>
      <c r="Y36" s="698"/>
      <c r="Z36" s="698"/>
      <c r="AA36" s="698"/>
      <c r="AB36" s="698"/>
      <c r="AC36" s="698"/>
    </row>
    <row r="37" spans="1:30" ht="15.75" thickBot="1">
      <c r="A37" s="449" t="s">
        <v>2492</v>
      </c>
      <c r="B37" s="450"/>
      <c r="C37" s="1323" t="e">
        <f>R37</f>
        <v>#DIV/0!</v>
      </c>
      <c r="D37" s="1323"/>
      <c r="E37" s="1323"/>
      <c r="F37" s="1323"/>
      <c r="G37" s="1323"/>
      <c r="H37" s="1323"/>
      <c r="I37" s="1323"/>
      <c r="J37" s="1323"/>
      <c r="K37" s="723"/>
      <c r="L37" s="2953"/>
      <c r="M37" s="2954"/>
      <c r="N37" s="2954"/>
      <c r="O37" s="2954"/>
      <c r="P37" s="3296" t="str">
        <f>A37</f>
        <v>估价对象XX用房的比较价值（楼面单价，元/平方米）</v>
      </c>
      <c r="Q37" s="3297"/>
      <c r="R37" s="3381" t="e">
        <f>IF(F1="售价",ROUND(IF(D36="简单平均",AVERAGE(R36:W36),R36*F36+T36*H36+V36*J36),0),ROUND(IF(D36="简单平均",AVERAGE(R36:V36),R36*F36+T36*H36+V36*J36),1))</f>
        <v>#DIV/0!</v>
      </c>
      <c r="S37" s="3381"/>
      <c r="T37" s="3381"/>
      <c r="U37" s="3381"/>
      <c r="V37" s="3381"/>
      <c r="W37" s="3381"/>
      <c r="X37" s="698"/>
      <c r="Y37" s="698"/>
      <c r="Z37" s="698"/>
      <c r="AA37" s="698"/>
      <c r="AB37" s="698"/>
      <c r="AC37" s="698"/>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2493</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2494</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2495</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2" t="s">
        <v>2496</v>
      </c>
      <c r="B45" s="698"/>
      <c r="C45" s="703"/>
      <c r="D45" s="703"/>
      <c r="E45" s="703"/>
      <c r="F45" s="704"/>
      <c r="G45" s="704"/>
      <c r="H45" s="703"/>
      <c r="I45" s="703"/>
      <c r="J45" s="703"/>
      <c r="K45" s="705"/>
      <c r="L45" s="706"/>
      <c r="M45" s="703"/>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2370</v>
      </c>
      <c r="B46" s="463"/>
      <c r="C46" s="1344" t="str">
        <f>YEAR(C7)&amp;"-"&amp;MONTH(C7)</f>
        <v>2021-1</v>
      </c>
      <c r="D46" s="1345">
        <f>EDATE(C46,-1)</f>
        <v>44166</v>
      </c>
      <c r="E46" s="1345">
        <f t="shared" ref="E46:O46" si="16">EDATE(D46,-1)</f>
        <v>44136</v>
      </c>
      <c r="F46" s="1345">
        <f t="shared" si="16"/>
        <v>44105</v>
      </c>
      <c r="G46" s="1345">
        <f t="shared" si="16"/>
        <v>44075</v>
      </c>
      <c r="H46" s="1345">
        <f t="shared" si="16"/>
        <v>44044</v>
      </c>
      <c r="I46" s="1345">
        <f t="shared" si="16"/>
        <v>44013</v>
      </c>
      <c r="J46" s="1345">
        <f t="shared" si="16"/>
        <v>43983</v>
      </c>
      <c r="K46" s="1345">
        <f t="shared" si="16"/>
        <v>43952</v>
      </c>
      <c r="L46" s="1345">
        <f t="shared" si="16"/>
        <v>43922</v>
      </c>
      <c r="M46" s="1345">
        <f t="shared" si="16"/>
        <v>43891</v>
      </c>
      <c r="N46" s="1345">
        <f t="shared" si="16"/>
        <v>43862</v>
      </c>
      <c r="O46" s="1345">
        <f t="shared" si="16"/>
        <v>43831</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3">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2407</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2372</v>
      </c>
      <c r="B49" s="467"/>
      <c r="C49" s="479" t="s">
        <v>2474</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4">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2410</v>
      </c>
      <c r="B51" s="485" t="s">
        <v>2376</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2379</v>
      </c>
      <c r="C53" s="496" t="s">
        <v>2411</v>
      </c>
      <c r="D53" s="496" t="s">
        <v>2412</v>
      </c>
      <c r="E53" s="496" t="s">
        <v>2413</v>
      </c>
      <c r="F53" s="496" t="s">
        <v>2414</v>
      </c>
      <c r="G53" s="496" t="s">
        <v>2415</v>
      </c>
      <c r="H53" s="496" t="s">
        <v>2416</v>
      </c>
      <c r="I53" s="496" t="s">
        <v>2417</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5">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2381</v>
      </c>
      <c r="B61" s="485" t="s">
        <v>2424</v>
      </c>
      <c r="C61" s="530" t="s">
        <v>2419</v>
      </c>
      <c r="D61" s="530" t="s">
        <v>2420</v>
      </c>
      <c r="E61" s="530" t="s">
        <v>2421</v>
      </c>
      <c r="F61" s="530" t="s">
        <v>2422</v>
      </c>
      <c r="G61" s="530" t="s">
        <v>2423</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2562</v>
      </c>
      <c r="C63" s="535" t="s">
        <v>2419</v>
      </c>
      <c r="D63" s="535" t="s">
        <v>2420</v>
      </c>
      <c r="E63" s="535" t="s">
        <v>2421</v>
      </c>
      <c r="F63" s="535" t="s">
        <v>2422</v>
      </c>
      <c r="G63" s="535" t="s">
        <v>2423</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2511</v>
      </c>
      <c r="C65" s="615" t="s">
        <v>2497</v>
      </c>
      <c r="D65" s="615" t="s">
        <v>2498</v>
      </c>
      <c r="E65" s="615" t="s">
        <v>2499</v>
      </c>
      <c r="F65" s="615" t="s">
        <v>2500</v>
      </c>
      <c r="G65" s="615" t="s">
        <v>2501</v>
      </c>
      <c r="H65" s="496"/>
      <c r="I65" s="496"/>
      <c r="J65" s="496"/>
      <c r="K65" s="496"/>
      <c r="L65" s="496"/>
      <c r="M65" s="1289"/>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5"/>
      <c r="I66" s="615"/>
      <c r="J66" s="615"/>
      <c r="K66" s="615"/>
      <c r="L66" s="615"/>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2431</v>
      </c>
      <c r="C67" s="535" t="s">
        <v>2419</v>
      </c>
      <c r="D67" s="535" t="s">
        <v>2420</v>
      </c>
      <c r="E67" s="535" t="s">
        <v>2421</v>
      </c>
      <c r="F67" s="535" t="s">
        <v>2422</v>
      </c>
      <c r="G67" s="535" t="s">
        <v>2423</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2551</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2385</v>
      </c>
      <c r="B77" s="485" t="s">
        <v>2438</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2554</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5"/>
      <c r="J80" s="615"/>
      <c r="K80" s="623"/>
      <c r="L80" s="624"/>
      <c r="M80" s="625"/>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2555</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2563</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2564</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7"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2565</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1">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6"/>
      <c r="B98" s="1066"/>
      <c r="C98" s="1066"/>
      <c r="D98" s="1066"/>
      <c r="E98" s="1066"/>
      <c r="F98" s="1066"/>
      <c r="G98" s="1066"/>
      <c r="H98" s="1066"/>
      <c r="I98" s="1066"/>
      <c r="J98" s="1066"/>
      <c r="K98" s="1067"/>
      <c r="L98" s="1068"/>
      <c r="M98" s="1066"/>
      <c r="N98" s="2954"/>
      <c r="O98" s="2954"/>
      <c r="P98" s="2954"/>
      <c r="Q98" s="2954"/>
      <c r="R98" s="2954"/>
      <c r="S98" s="2954"/>
      <c r="T98" s="2954"/>
      <c r="U98" s="2954"/>
      <c r="V98" s="2954"/>
      <c r="W98" s="2954"/>
      <c r="X98" s="2954"/>
      <c r="Y98" s="2954"/>
      <c r="Z98" s="2954"/>
      <c r="AA98" s="2954"/>
      <c r="AB98" s="2954"/>
      <c r="AC98" s="2954"/>
      <c r="AD98" s="2954"/>
    </row>
    <row r="99" spans="1:30">
      <c r="A99" s="1066"/>
      <c r="B99" s="1066"/>
      <c r="C99" s="1066"/>
      <c r="D99" s="1066"/>
      <c r="E99" s="1066"/>
      <c r="F99" s="1066"/>
      <c r="G99" s="1066"/>
      <c r="H99" s="1066"/>
      <c r="I99" s="1066"/>
      <c r="J99" s="1066"/>
      <c r="K99" s="1067"/>
      <c r="L99" s="1068"/>
      <c r="M99" s="1066"/>
      <c r="N99" s="2954"/>
      <c r="O99" s="2954"/>
      <c r="P99" s="2954"/>
      <c r="Q99" s="2954"/>
      <c r="R99" s="2954"/>
      <c r="S99" s="2954"/>
      <c r="T99" s="2954"/>
      <c r="U99" s="2954"/>
      <c r="V99" s="2954"/>
      <c r="W99" s="2954"/>
      <c r="X99" s="2954"/>
      <c r="Y99" s="2954"/>
      <c r="Z99" s="2954"/>
      <c r="AA99" s="2954"/>
      <c r="AB99" s="2954"/>
      <c r="AC99" s="2954"/>
      <c r="AD99" s="2954"/>
    </row>
    <row r="100" spans="1:30">
      <c r="A100" s="1066"/>
      <c r="B100" s="1066"/>
      <c r="C100" s="1066"/>
      <c r="D100" s="1066"/>
      <c r="E100" s="1066"/>
      <c r="F100" s="1066"/>
      <c r="G100" s="1066"/>
      <c r="H100" s="1066"/>
      <c r="I100" s="1066"/>
      <c r="J100" s="1066"/>
      <c r="K100" s="1067"/>
      <c r="L100" s="1068"/>
      <c r="M100" s="1066"/>
      <c r="N100" s="2954"/>
      <c r="O100" s="2954"/>
      <c r="P100" s="2954"/>
      <c r="Q100" s="2954"/>
      <c r="R100" s="2954"/>
      <c r="S100" s="2954"/>
      <c r="T100" s="2954"/>
      <c r="U100" s="2954"/>
      <c r="V100" s="2954"/>
      <c r="W100" s="2954"/>
      <c r="X100" s="2954"/>
      <c r="Y100" s="2954"/>
      <c r="Z100" s="2954"/>
      <c r="AA100" s="2954"/>
      <c r="AB100" s="2954"/>
      <c r="AC100" s="2954"/>
      <c r="AD100" s="2954"/>
    </row>
    <row r="101" spans="1:30">
      <c r="A101" s="1066"/>
      <c r="B101" s="1066"/>
      <c r="C101" s="1066"/>
      <c r="D101" s="1066"/>
      <c r="E101" s="1066"/>
      <c r="F101" s="1066"/>
      <c r="G101" s="1066"/>
      <c r="H101" s="1066"/>
      <c r="I101" s="1066"/>
      <c r="J101" s="1066"/>
      <c r="K101" s="1067"/>
      <c r="L101" s="1068"/>
      <c r="M101" s="1066"/>
      <c r="N101" s="2954"/>
      <c r="O101" s="2954"/>
      <c r="P101" s="2954"/>
      <c r="Q101" s="2954"/>
      <c r="R101" s="2954"/>
      <c r="S101" s="2954"/>
      <c r="T101" s="2954"/>
      <c r="U101" s="2954"/>
      <c r="V101" s="2954"/>
      <c r="W101" s="2954"/>
      <c r="X101" s="2954"/>
      <c r="Y101" s="2954"/>
      <c r="Z101" s="2954"/>
      <c r="AA101" s="2954"/>
      <c r="AB101" s="2954"/>
      <c r="AC101" s="2954"/>
      <c r="AD101" s="2954"/>
    </row>
    <row r="102" spans="1:30">
      <c r="A102" s="1066"/>
      <c r="B102" s="1066"/>
      <c r="C102" s="1066"/>
      <c r="D102" s="1066"/>
      <c r="E102" s="1066"/>
      <c r="F102" s="1066"/>
      <c r="G102" s="1066"/>
      <c r="H102" s="1066"/>
      <c r="I102" s="1066"/>
      <c r="J102" s="1066"/>
      <c r="K102" s="1067"/>
      <c r="L102" s="1068"/>
      <c r="M102" s="1066"/>
      <c r="N102" s="2954"/>
      <c r="O102" s="2954"/>
      <c r="P102" s="2954"/>
      <c r="Q102" s="2954"/>
      <c r="R102" s="2954"/>
      <c r="S102" s="2954"/>
      <c r="T102" s="2954"/>
      <c r="U102" s="2954"/>
      <c r="V102" s="2954"/>
      <c r="W102" s="2954"/>
      <c r="X102" s="2954"/>
      <c r="Y102" s="2954"/>
      <c r="Z102" s="2954"/>
      <c r="AA102" s="2954"/>
      <c r="AB102" s="2954"/>
      <c r="AC102" s="2954"/>
      <c r="AD102" s="2954"/>
    </row>
    <row r="103" spans="1:30">
      <c r="A103" s="1066"/>
      <c r="B103" s="1066"/>
      <c r="C103" s="1066"/>
      <c r="D103" s="1066"/>
      <c r="E103" s="1066"/>
      <c r="F103" s="1066"/>
      <c r="G103" s="1066"/>
      <c r="H103" s="1066"/>
      <c r="I103" s="1066"/>
      <c r="J103" s="1066"/>
      <c r="K103" s="1067"/>
      <c r="L103" s="1068"/>
      <c r="M103" s="1066"/>
      <c r="N103" s="1066"/>
      <c r="O103" s="1066"/>
      <c r="P103" s="2954"/>
      <c r="Q103" s="2954"/>
      <c r="R103" s="2954"/>
      <c r="S103" s="2954"/>
      <c r="T103" s="2954"/>
      <c r="U103" s="2954"/>
      <c r="V103" s="2954"/>
      <c r="W103" s="2954"/>
      <c r="X103" s="2954"/>
      <c r="Y103" s="2954"/>
      <c r="Z103" s="2954"/>
      <c r="AA103" s="2954"/>
      <c r="AB103" s="2954"/>
      <c r="AC103" s="2954"/>
      <c r="AD103" s="2954"/>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2566</v>
      </c>
      <c r="B1" s="355"/>
      <c r="C1" s="356" t="s">
        <v>2617</v>
      </c>
      <c r="D1" s="694"/>
      <c r="E1" s="694"/>
      <c r="F1" s="693" t="s">
        <v>2465</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8" customFormat="1" ht="28.5" customHeight="1">
      <c r="A2" s="207" t="s">
        <v>2149</v>
      </c>
      <c r="B2" s="626" t="e">
        <f>F61</f>
        <v>#DIV/0!</v>
      </c>
      <c r="C2" s="1038"/>
      <c r="D2" s="1038"/>
      <c r="E2" s="1038"/>
      <c r="F2" s="1039"/>
      <c r="G2" s="1038"/>
      <c r="H2" s="1038"/>
      <c r="I2" s="1038"/>
      <c r="J2" s="1038"/>
      <c r="K2" s="1040"/>
      <c r="L2" s="2963"/>
      <c r="M2" s="2964"/>
      <c r="N2" s="2964"/>
      <c r="O2" s="2964"/>
      <c r="P2" s="707"/>
      <c r="Q2" s="707"/>
      <c r="R2" s="707"/>
      <c r="S2" s="707"/>
      <c r="T2" s="707"/>
      <c r="U2" s="707"/>
      <c r="V2" s="707"/>
      <c r="W2" s="707"/>
      <c r="X2" s="707"/>
      <c r="Y2" s="707"/>
      <c r="Z2" s="707"/>
      <c r="AA2" s="707"/>
      <c r="AB2" s="707"/>
      <c r="AC2" s="708"/>
    </row>
    <row r="3" spans="1:29" s="358" customFormat="1" ht="28.5" customHeight="1" thickBot="1">
      <c r="A3" s="209" t="s">
        <v>2151</v>
      </c>
      <c r="B3" s="566" t="e">
        <f>ROUND(IF(D3="",B2*10000/'数据-汇总表'!E3,B2*10000/D3),0)</f>
        <v>#DIV/0!</v>
      </c>
      <c r="C3" s="209" t="s">
        <v>2568</v>
      </c>
      <c r="D3" s="1353"/>
      <c r="E3" s="1038"/>
      <c r="F3" s="1039"/>
      <c r="G3" s="1038"/>
      <c r="H3" s="1038"/>
      <c r="I3" s="1038"/>
      <c r="J3" s="1038"/>
      <c r="K3" s="1040"/>
      <c r="L3" s="2963"/>
      <c r="M3" s="2964"/>
      <c r="N3" s="2964"/>
      <c r="O3" s="2964"/>
      <c r="P3" s="707"/>
      <c r="Q3" s="707"/>
      <c r="R3" s="707"/>
      <c r="S3" s="707"/>
      <c r="T3" s="707"/>
      <c r="U3" s="707"/>
      <c r="V3" s="707"/>
      <c r="W3" s="707"/>
      <c r="X3" s="707"/>
      <c r="Y3" s="707"/>
      <c r="Z3" s="707"/>
      <c r="AA3" s="707"/>
      <c r="AB3" s="724"/>
      <c r="AC3" s="721"/>
    </row>
    <row r="4" spans="1:29" ht="15">
      <c r="A4" s="361" t="s">
        <v>2467</v>
      </c>
      <c r="B4" s="362"/>
      <c r="C4" s="3277" t="s">
        <v>2468</v>
      </c>
      <c r="D4" s="3278"/>
      <c r="E4" s="3279" t="s">
        <v>2469</v>
      </c>
      <c r="F4" s="3280"/>
      <c r="G4" s="3277" t="s">
        <v>2470</v>
      </c>
      <c r="H4" s="3278"/>
      <c r="I4" s="3277" t="s">
        <v>2471</v>
      </c>
      <c r="J4" s="3278"/>
      <c r="K4" s="567" t="s">
        <v>2472</v>
      </c>
      <c r="L4" s="2944"/>
      <c r="M4" s="2945"/>
      <c r="N4" s="2945"/>
      <c r="O4" s="2945"/>
      <c r="P4" s="3281" t="s">
        <v>2473</v>
      </c>
      <c r="Q4" s="3282"/>
      <c r="R4" s="3264" t="s">
        <v>2469</v>
      </c>
      <c r="S4" s="3265"/>
      <c r="T4" s="3264" t="s">
        <v>2470</v>
      </c>
      <c r="U4" s="3265"/>
      <c r="V4" s="3289" t="s">
        <v>2471</v>
      </c>
      <c r="W4" s="3289"/>
      <c r="X4" s="1539"/>
      <c r="Y4" s="3264" t="s">
        <v>2473</v>
      </c>
      <c r="Z4" s="3265"/>
      <c r="AA4" s="3259" t="s">
        <v>2469</v>
      </c>
      <c r="AB4" s="3260" t="s">
        <v>2470</v>
      </c>
      <c r="AC4" s="3259" t="s">
        <v>2471</v>
      </c>
    </row>
    <row r="5" spans="1:29" ht="15">
      <c r="A5" s="364"/>
      <c r="B5" s="365"/>
      <c r="C5" s="3270" t="s">
        <v>2364</v>
      </c>
      <c r="D5" s="3271"/>
      <c r="E5" s="3268" t="s">
        <v>2365</v>
      </c>
      <c r="F5" s="3269"/>
      <c r="G5" s="3270" t="s">
        <v>2366</v>
      </c>
      <c r="H5" s="3271"/>
      <c r="I5" s="3270" t="s">
        <v>2367</v>
      </c>
      <c r="J5" s="3271"/>
      <c r="K5" s="567"/>
      <c r="L5" s="2944"/>
      <c r="M5" s="2945"/>
      <c r="N5" s="2945"/>
      <c r="O5" s="2945"/>
      <c r="P5" s="3283"/>
      <c r="Q5" s="3284"/>
      <c r="R5" s="3266"/>
      <c r="S5" s="3267"/>
      <c r="T5" s="3266"/>
      <c r="U5" s="3267"/>
      <c r="V5" s="3289"/>
      <c r="W5" s="3289"/>
      <c r="X5" s="1539"/>
      <c r="Y5" s="3266"/>
      <c r="Z5" s="3267"/>
      <c r="AA5" s="3260"/>
      <c r="AB5" s="3260"/>
      <c r="AC5" s="3260"/>
    </row>
    <row r="6" spans="1:29" ht="15.75" thickBot="1">
      <c r="A6" s="366"/>
      <c r="B6" s="367"/>
      <c r="C6" s="3382" t="s">
        <v>2618</v>
      </c>
      <c r="D6" s="3383"/>
      <c r="E6" s="3384" t="s">
        <v>2618</v>
      </c>
      <c r="F6" s="3385"/>
      <c r="G6" s="3382" t="s">
        <v>2618</v>
      </c>
      <c r="H6" s="3383"/>
      <c r="I6" s="3382" t="s">
        <v>2618</v>
      </c>
      <c r="J6" s="3383"/>
      <c r="K6" s="567" t="s">
        <v>2369</v>
      </c>
      <c r="L6" s="2944"/>
      <c r="M6" s="2945"/>
      <c r="N6" s="2945"/>
      <c r="O6" s="2945"/>
      <c r="P6" s="3285"/>
      <c r="Q6" s="3286"/>
      <c r="R6" s="3266"/>
      <c r="S6" s="3267"/>
      <c r="T6" s="3287"/>
      <c r="U6" s="3288"/>
      <c r="V6" s="3289"/>
      <c r="W6" s="3289"/>
      <c r="X6" s="1539"/>
      <c r="Y6" s="3287"/>
      <c r="Z6" s="3288"/>
      <c r="AA6" s="3261"/>
      <c r="AB6" s="3261"/>
      <c r="AC6" s="3261"/>
    </row>
    <row r="7" spans="1:29" s="113" customFormat="1" ht="15.75" thickBot="1">
      <c r="A7" s="368" t="s">
        <v>2370</v>
      </c>
      <c r="B7" s="369"/>
      <c r="C7" s="370">
        <f>'数据-取费表'!B2</f>
        <v>44224</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262" t="s">
        <v>2371</v>
      </c>
      <c r="Q7" s="3290"/>
      <c r="R7" s="709" t="s">
        <v>17</v>
      </c>
      <c r="S7" s="710">
        <f t="shared" ref="S7:S15" si="0">F7</f>
        <v>0</v>
      </c>
      <c r="T7" s="709" t="s">
        <v>17</v>
      </c>
      <c r="U7" s="710">
        <f t="shared" ref="U7:U15" si="1">H7</f>
        <v>0</v>
      </c>
      <c r="V7" s="709" t="s">
        <v>17</v>
      </c>
      <c r="W7" s="710">
        <f t="shared" ref="W7:W15" si="2">J7</f>
        <v>0</v>
      </c>
      <c r="X7" s="711"/>
      <c r="Y7" s="3262" t="s">
        <v>2371</v>
      </c>
      <c r="Z7" s="3263"/>
      <c r="AA7" s="712" t="e">
        <f>D7/F7</f>
        <v>#DIV/0!</v>
      </c>
      <c r="AB7" s="712" t="e">
        <f>D7/H7</f>
        <v>#DIV/0!</v>
      </c>
      <c r="AC7" s="712" t="e">
        <f>D7/J7</f>
        <v>#DIV/0!</v>
      </c>
    </row>
    <row r="8" spans="1:29" s="113" customFormat="1" ht="15.75" thickBot="1">
      <c r="A8" s="368" t="s">
        <v>2372</v>
      </c>
      <c r="B8" s="369"/>
      <c r="C8" s="374" t="s">
        <v>2373</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262" t="s">
        <v>2374</v>
      </c>
      <c r="Q8" s="3263"/>
      <c r="R8" s="709" t="s">
        <v>17</v>
      </c>
      <c r="S8" s="710">
        <f t="shared" si="0"/>
        <v>0</v>
      </c>
      <c r="T8" s="709" t="s">
        <v>17</v>
      </c>
      <c r="U8" s="710">
        <f t="shared" si="1"/>
        <v>0</v>
      </c>
      <c r="V8" s="709" t="s">
        <v>17</v>
      </c>
      <c r="W8" s="710">
        <f t="shared" si="2"/>
        <v>0</v>
      </c>
      <c r="X8" s="711"/>
      <c r="Y8" s="3262" t="s">
        <v>2374</v>
      </c>
      <c r="Z8" s="3263"/>
      <c r="AA8" s="712" t="e">
        <f t="shared" ref="AA8:AA40" si="3">D8/F8</f>
        <v>#DIV/0!</v>
      </c>
      <c r="AB8" s="712" t="e">
        <f t="shared" ref="AB8:AB40" si="4">D8/H8</f>
        <v>#DIV/0!</v>
      </c>
      <c r="AC8" s="712" t="e">
        <f t="shared" ref="AC8:AC40" si="5">D8/J8</f>
        <v>#DIV/0!</v>
      </c>
    </row>
    <row r="9" spans="1:29" s="113" customFormat="1">
      <c r="A9" s="375" t="s">
        <v>2375</v>
      </c>
      <c r="B9" s="67" t="s">
        <v>2376</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276" t="s">
        <v>2377</v>
      </c>
      <c r="Q9" s="1527" t="str">
        <f t="shared" ref="Q9:Q15" si="6">B9</f>
        <v>用途</v>
      </c>
      <c r="R9" s="709" t="s">
        <v>17</v>
      </c>
      <c r="S9" s="710">
        <f t="shared" si="0"/>
        <v>100</v>
      </c>
      <c r="T9" s="709" t="s">
        <v>17</v>
      </c>
      <c r="U9" s="710">
        <f t="shared" si="1"/>
        <v>100</v>
      </c>
      <c r="V9" s="709" t="s">
        <v>17</v>
      </c>
      <c r="W9" s="710">
        <f t="shared" si="2"/>
        <v>100</v>
      </c>
      <c r="X9" s="711"/>
      <c r="Y9" s="3232" t="s">
        <v>2378</v>
      </c>
      <c r="Z9" s="55" t="str">
        <f t="shared" ref="Z9:Z15" si="7">Q9</f>
        <v>用途</v>
      </c>
      <c r="AA9" s="712">
        <f t="shared" si="3"/>
        <v>1</v>
      </c>
      <c r="AB9" s="712">
        <f t="shared" si="4"/>
        <v>1</v>
      </c>
      <c r="AC9" s="712">
        <f t="shared" si="5"/>
        <v>1</v>
      </c>
    </row>
    <row r="10" spans="1:29" s="386" customFormat="1" ht="27">
      <c r="A10" s="380"/>
      <c r="B10" s="381" t="s">
        <v>2379</v>
      </c>
      <c r="C10" s="391"/>
      <c r="D10" s="132">
        <v>100</v>
      </c>
      <c r="E10" s="391"/>
      <c r="F10" s="132">
        <f>ROUND(100/'数据-取费表'!G16,0)</f>
        <v>109</v>
      </c>
      <c r="G10" s="391"/>
      <c r="H10" s="132">
        <f>ROUND(100/'数据-取费表'!G16,0)</f>
        <v>109</v>
      </c>
      <c r="I10" s="391"/>
      <c r="J10" s="132">
        <f>ROUND(100/'数据-取费表'!G16,0)</f>
        <v>109</v>
      </c>
      <c r="K10" s="627"/>
      <c r="L10" s="2948"/>
      <c r="M10" s="2949"/>
      <c r="N10" s="2949"/>
      <c r="O10" s="3002"/>
      <c r="P10" s="3276"/>
      <c r="Q10" s="1527" t="str">
        <f t="shared" si="6"/>
        <v>土地使用年限（年）</v>
      </c>
      <c r="R10" s="709" t="s">
        <v>17</v>
      </c>
      <c r="S10" s="710">
        <f t="shared" si="0"/>
        <v>109</v>
      </c>
      <c r="T10" s="709" t="s">
        <v>17</v>
      </c>
      <c r="U10" s="710">
        <f t="shared" si="1"/>
        <v>109</v>
      </c>
      <c r="V10" s="709" t="s">
        <v>17</v>
      </c>
      <c r="W10" s="710">
        <f t="shared" si="2"/>
        <v>109</v>
      </c>
      <c r="X10" s="711"/>
      <c r="Y10" s="3232"/>
      <c r="Z10" s="55" t="str">
        <f t="shared" si="7"/>
        <v>土地使用年限（年）</v>
      </c>
      <c r="AA10" s="712">
        <f t="shared" si="3"/>
        <v>0.91743119266055051</v>
      </c>
      <c r="AB10" s="712">
        <f t="shared" si="4"/>
        <v>0.91743119266055051</v>
      </c>
      <c r="AC10" s="712">
        <f t="shared" si="5"/>
        <v>0.91743119266055051</v>
      </c>
    </row>
    <row r="11" spans="1:29" ht="15">
      <c r="A11" s="387"/>
      <c r="B11" s="381" t="s">
        <v>2380</v>
      </c>
      <c r="C11" s="388"/>
      <c r="D11" s="132">
        <v>100</v>
      </c>
      <c r="E11" s="388"/>
      <c r="F11" s="132" t="e">
        <f>LOOKUP(E11,75:75,76:76)-LOOKUP(C11,75:75,76:76)+100</f>
        <v>#N/A</v>
      </c>
      <c r="G11" s="389"/>
      <c r="H11" s="132" t="e">
        <f>LOOKUP(G11,75:75,76:76)-LOOKUP(C11,75:75,76:76)+100</f>
        <v>#N/A</v>
      </c>
      <c r="I11" s="388"/>
      <c r="J11" s="132" t="e">
        <f>LOOKUP(I11,75:75,76:76)-LOOKUP(C11,75:75,76:76)+100</f>
        <v>#N/A</v>
      </c>
      <c r="K11" s="628"/>
      <c r="L11" s="2950"/>
      <c r="M11" s="2945"/>
      <c r="N11" s="2945"/>
      <c r="O11" s="3003"/>
      <c r="P11" s="3276"/>
      <c r="Q11" s="1527" t="str">
        <f t="shared" si="6"/>
        <v>容积率</v>
      </c>
      <c r="R11" s="709" t="s">
        <v>17</v>
      </c>
      <c r="S11" s="710" t="e">
        <f t="shared" si="0"/>
        <v>#N/A</v>
      </c>
      <c r="T11" s="709" t="s">
        <v>17</v>
      </c>
      <c r="U11" s="710" t="e">
        <f t="shared" si="1"/>
        <v>#N/A</v>
      </c>
      <c r="V11" s="709" t="s">
        <v>17</v>
      </c>
      <c r="W11" s="710" t="e">
        <f t="shared" si="2"/>
        <v>#N/A</v>
      </c>
      <c r="X11" s="711"/>
      <c r="Y11" s="3232"/>
      <c r="Z11" s="55" t="str">
        <f t="shared" si="7"/>
        <v>容积率</v>
      </c>
      <c r="AA11" s="712" t="e">
        <f t="shared" si="3"/>
        <v>#N/A</v>
      </c>
      <c r="AB11" s="712" t="e">
        <f t="shared" si="4"/>
        <v>#N/A</v>
      </c>
      <c r="AC11" s="712" t="e">
        <f t="shared" si="5"/>
        <v>#N/A</v>
      </c>
    </row>
    <row r="12" spans="1:29" s="113" customFormat="1" ht="15">
      <c r="A12" s="390"/>
      <c r="B12" s="2079">
        <v>111</v>
      </c>
      <c r="C12" s="391"/>
      <c r="D12" s="392">
        <v>100</v>
      </c>
      <c r="E12" s="506"/>
      <c r="F12" s="132">
        <f>SUMIF(77:77,E12,78:78)-SUMIF(77:77,C12,78:78)+100</f>
        <v>100</v>
      </c>
      <c r="G12" s="629"/>
      <c r="H12" s="132">
        <f>SUMIF(77:77,G12,78:78)-SUMIF(77:77,C12,78:78)+100</f>
        <v>100</v>
      </c>
      <c r="I12" s="506"/>
      <c r="J12" s="132">
        <f>SUMIF(77:77,I12,78:78)-SUMIF(77:77,C12,78:78)+100</f>
        <v>100</v>
      </c>
      <c r="K12" s="627"/>
      <c r="L12" s="2946"/>
      <c r="M12" s="2947"/>
      <c r="N12" s="2947"/>
      <c r="O12" s="3001"/>
      <c r="P12" s="3276"/>
      <c r="Q12" s="1527">
        <f t="shared" si="6"/>
        <v>111</v>
      </c>
      <c r="R12" s="709" t="s">
        <v>17</v>
      </c>
      <c r="S12" s="710">
        <f t="shared" si="0"/>
        <v>100</v>
      </c>
      <c r="T12" s="709" t="s">
        <v>17</v>
      </c>
      <c r="U12" s="710">
        <f t="shared" si="1"/>
        <v>100</v>
      </c>
      <c r="V12" s="709" t="s">
        <v>17</v>
      </c>
      <c r="W12" s="710">
        <f t="shared" si="2"/>
        <v>100</v>
      </c>
      <c r="X12" s="711"/>
      <c r="Y12" s="3232"/>
      <c r="Z12" s="55">
        <f t="shared" si="7"/>
        <v>111</v>
      </c>
      <c r="AA12" s="712">
        <f>D12/F12</f>
        <v>1</v>
      </c>
      <c r="AB12" s="712">
        <f>D12/H12</f>
        <v>1</v>
      </c>
      <c r="AC12" s="712">
        <f>D12/J12</f>
        <v>1</v>
      </c>
    </row>
    <row r="13" spans="1:29" ht="15">
      <c r="A13" s="387"/>
      <c r="B13" s="2079">
        <v>111</v>
      </c>
      <c r="C13" s="393"/>
      <c r="D13" s="394">
        <v>100</v>
      </c>
      <c r="E13" s="506"/>
      <c r="F13" s="132">
        <f>SUMIF(79:79,E13,80:80)-SUMIF(79:79,C13,80:80)+100</f>
        <v>100</v>
      </c>
      <c r="G13" s="629"/>
      <c r="H13" s="394">
        <f>SUMIF(79:79,G13,80:80)-SUMIF(79:79,C13,80:80)+100</f>
        <v>100</v>
      </c>
      <c r="I13" s="506"/>
      <c r="J13" s="394">
        <f>SUMIF(79:79,I13,80:80)-SUMIF(79:79,C13,80:80)+100</f>
        <v>100</v>
      </c>
      <c r="K13" s="627"/>
      <c r="L13" s="2951"/>
      <c r="M13" s="2945"/>
      <c r="N13" s="2945"/>
      <c r="O13" s="3003"/>
      <c r="P13" s="3276"/>
      <c r="Q13" s="1527">
        <f t="shared" si="6"/>
        <v>111</v>
      </c>
      <c r="R13" s="709" t="s">
        <v>17</v>
      </c>
      <c r="S13" s="710">
        <f t="shared" si="0"/>
        <v>100</v>
      </c>
      <c r="T13" s="709" t="s">
        <v>17</v>
      </c>
      <c r="U13" s="710">
        <f t="shared" si="1"/>
        <v>100</v>
      </c>
      <c r="V13" s="709" t="s">
        <v>17</v>
      </c>
      <c r="W13" s="710">
        <f t="shared" si="2"/>
        <v>100</v>
      </c>
      <c r="X13" s="711"/>
      <c r="Y13" s="3232"/>
      <c r="Z13" s="55">
        <f t="shared" si="7"/>
        <v>111</v>
      </c>
      <c r="AA13" s="712">
        <f t="shared" si="3"/>
        <v>1</v>
      </c>
      <c r="AB13" s="712">
        <f t="shared" si="4"/>
        <v>1</v>
      </c>
      <c r="AC13" s="712">
        <f t="shared" si="5"/>
        <v>1</v>
      </c>
    </row>
    <row r="14" spans="1:29" ht="15.75" thickBot="1">
      <c r="A14" s="395"/>
      <c r="B14" s="2081">
        <v>111</v>
      </c>
      <c r="C14" s="396"/>
      <c r="D14" s="397">
        <v>100</v>
      </c>
      <c r="E14" s="506"/>
      <c r="F14" s="397">
        <f>SUMIF(81:81,E14,82:82)-SUMIF(81:81,C14,82:82)+100</f>
        <v>100</v>
      </c>
      <c r="G14" s="629"/>
      <c r="H14" s="397">
        <f>SUMIF(81:81,G14,82:82)-SUMIF(81:81,C14,82:82)+100</f>
        <v>100</v>
      </c>
      <c r="I14" s="506"/>
      <c r="J14" s="397">
        <f>SUMIF(81:81,I14,82:82)-SUMIF(81:81,C14,82:82)+100</f>
        <v>100</v>
      </c>
      <c r="K14" s="627"/>
      <c r="L14" s="2951"/>
      <c r="M14" s="2945"/>
      <c r="N14" s="2945"/>
      <c r="O14" s="3003"/>
      <c r="P14" s="3276"/>
      <c r="Q14" s="1527">
        <f t="shared" si="6"/>
        <v>111</v>
      </c>
      <c r="R14" s="709" t="s">
        <v>17</v>
      </c>
      <c r="S14" s="710">
        <f t="shared" si="0"/>
        <v>100</v>
      </c>
      <c r="T14" s="709" t="s">
        <v>17</v>
      </c>
      <c r="U14" s="710">
        <f t="shared" si="1"/>
        <v>100</v>
      </c>
      <c r="V14" s="709" t="s">
        <v>17</v>
      </c>
      <c r="W14" s="710">
        <f t="shared" si="2"/>
        <v>100</v>
      </c>
      <c r="X14" s="711"/>
      <c r="Y14" s="3232"/>
      <c r="Z14" s="55">
        <f t="shared" si="7"/>
        <v>111</v>
      </c>
      <c r="AA14" s="712">
        <f t="shared" si="3"/>
        <v>1</v>
      </c>
      <c r="AB14" s="712">
        <f t="shared" si="4"/>
        <v>1</v>
      </c>
      <c r="AC14" s="712">
        <f t="shared" si="5"/>
        <v>1</v>
      </c>
    </row>
    <row r="15" spans="1:29" ht="15">
      <c r="A15" s="399" t="s">
        <v>2381</v>
      </c>
      <c r="B15" s="584" t="s">
        <v>2619</v>
      </c>
      <c r="C15" s="2157">
        <f>估价对象房地状况!G15</f>
        <v>0</v>
      </c>
      <c r="D15" s="400">
        <v>100</v>
      </c>
      <c r="E15" s="401"/>
      <c r="F15" s="400">
        <f>SUMIF(83:83,E16,84:84)-SUMIF(83:83,C16,84:84)+100</f>
        <v>100</v>
      </c>
      <c r="G15" s="401"/>
      <c r="H15" s="400">
        <f>SUMIF(83:83,G16,84:84)-SUMIF(83:83,C16,84:84)+100</f>
        <v>100</v>
      </c>
      <c r="I15" s="403"/>
      <c r="J15" s="400">
        <f>SUMIF(83:83,I16,84:84)-SUMIF(83:83,C16,84:84)+100</f>
        <v>100</v>
      </c>
      <c r="K15" s="628"/>
      <c r="L15" s="2951"/>
      <c r="M15" s="2945"/>
      <c r="N15" s="2945"/>
      <c r="O15" s="3003"/>
      <c r="P15" s="3291" t="s">
        <v>2382</v>
      </c>
      <c r="Q15" s="1536" t="str">
        <f t="shared" si="6"/>
        <v>产业集聚程度</v>
      </c>
      <c r="R15" s="713" t="s">
        <v>17</v>
      </c>
      <c r="S15" s="714">
        <f t="shared" si="0"/>
        <v>100</v>
      </c>
      <c r="T15" s="713" t="s">
        <v>17</v>
      </c>
      <c r="U15" s="714">
        <f t="shared" si="1"/>
        <v>100</v>
      </c>
      <c r="V15" s="713" t="s">
        <v>17</v>
      </c>
      <c r="W15" s="714">
        <f t="shared" si="2"/>
        <v>100</v>
      </c>
      <c r="X15" s="1539"/>
      <c r="Y15" s="3291" t="s">
        <v>2382</v>
      </c>
      <c r="Z15" s="1540" t="str">
        <f t="shared" si="7"/>
        <v>产业集聚程度</v>
      </c>
      <c r="AA15" s="1537">
        <f t="shared" si="3"/>
        <v>1</v>
      </c>
      <c r="AB15" s="1537">
        <f t="shared" si="4"/>
        <v>1</v>
      </c>
      <c r="AC15" s="1537">
        <f t="shared" si="5"/>
        <v>1</v>
      </c>
    </row>
    <row r="16" spans="1:29" ht="15">
      <c r="A16" s="387"/>
      <c r="B16" s="585"/>
      <c r="C16" s="406"/>
      <c r="D16" s="407"/>
      <c r="E16" s="2090"/>
      <c r="F16" s="407"/>
      <c r="G16" s="2090"/>
      <c r="H16" s="409"/>
      <c r="I16" s="2090"/>
      <c r="J16" s="407"/>
      <c r="K16" s="627"/>
      <c r="L16" s="2951"/>
      <c r="M16" s="2945"/>
      <c r="N16" s="2945"/>
      <c r="O16" s="3003"/>
      <c r="P16" s="3292"/>
      <c r="Q16" s="1536"/>
      <c r="R16" s="713"/>
      <c r="S16" s="714"/>
      <c r="T16" s="713"/>
      <c r="U16" s="714"/>
      <c r="V16" s="713"/>
      <c r="W16" s="714"/>
      <c r="X16" s="1539"/>
      <c r="Y16" s="3292"/>
      <c r="Z16" s="1540"/>
      <c r="AA16" s="1537">
        <v>1</v>
      </c>
      <c r="AB16" s="1537">
        <v>1</v>
      </c>
      <c r="AC16" s="1537">
        <v>1</v>
      </c>
    </row>
    <row r="17" spans="1:29" ht="15">
      <c r="A17" s="387"/>
      <c r="B17" s="586" t="s">
        <v>2531</v>
      </c>
      <c r="C17" s="2086">
        <f>估价对象房地状况!G16</f>
        <v>0</v>
      </c>
      <c r="D17" s="409">
        <v>100</v>
      </c>
      <c r="E17" s="411"/>
      <c r="F17" s="414">
        <f>SUMIF(85:85,E18,86:86)-SUMIF(85:85,C18,86:86)+100</f>
        <v>100</v>
      </c>
      <c r="G17" s="411"/>
      <c r="H17" s="414">
        <f>SUMIF(85:85,G18,86:86)-SUMIF(85:85,C18,86:86)+100</f>
        <v>100</v>
      </c>
      <c r="I17" s="413"/>
      <c r="J17" s="409">
        <f>SUMIF(85:85,I18,86:86)-SUMIF(85:85,C18,86:86)+100</f>
        <v>100</v>
      </c>
      <c r="K17" s="628"/>
      <c r="L17" s="2951"/>
      <c r="M17" s="2945"/>
      <c r="N17" s="2945"/>
      <c r="O17" s="3003"/>
      <c r="P17" s="3292"/>
      <c r="Q17" s="1536" t="str">
        <f>B17</f>
        <v>交通便捷度</v>
      </c>
      <c r="R17" s="713" t="s">
        <v>17</v>
      </c>
      <c r="S17" s="714">
        <f>F17</f>
        <v>100</v>
      </c>
      <c r="T17" s="713" t="s">
        <v>17</v>
      </c>
      <c r="U17" s="714">
        <f>H17</f>
        <v>100</v>
      </c>
      <c r="V17" s="713" t="s">
        <v>17</v>
      </c>
      <c r="W17" s="714">
        <f>J17</f>
        <v>100</v>
      </c>
      <c r="X17" s="1539"/>
      <c r="Y17" s="3292"/>
      <c r="Z17" s="1540" t="str">
        <f>Q17</f>
        <v>交通便捷度</v>
      </c>
      <c r="AA17" s="1537">
        <f t="shared" si="3"/>
        <v>1</v>
      </c>
      <c r="AB17" s="1537">
        <f t="shared" si="4"/>
        <v>1</v>
      </c>
      <c r="AC17" s="1537">
        <f t="shared" si="5"/>
        <v>1</v>
      </c>
    </row>
    <row r="18" spans="1:29" ht="15">
      <c r="A18" s="387"/>
      <c r="B18" s="587"/>
      <c r="C18" s="406"/>
      <c r="D18" s="407"/>
      <c r="E18" s="2084"/>
      <c r="F18" s="407"/>
      <c r="G18" s="2084"/>
      <c r="H18" s="407"/>
      <c r="I18" s="2083"/>
      <c r="J18" s="407"/>
      <c r="K18" s="627"/>
      <c r="L18" s="2951"/>
      <c r="M18" s="2945"/>
      <c r="N18" s="2945"/>
      <c r="O18" s="3003"/>
      <c r="P18" s="3292"/>
      <c r="Q18" s="1536"/>
      <c r="R18" s="713"/>
      <c r="S18" s="714"/>
      <c r="T18" s="713"/>
      <c r="U18" s="714"/>
      <c r="V18" s="713"/>
      <c r="W18" s="714"/>
      <c r="X18" s="1539"/>
      <c r="Y18" s="3292"/>
      <c r="Z18" s="1540"/>
      <c r="AA18" s="1537">
        <v>1</v>
      </c>
      <c r="AB18" s="1537">
        <v>1</v>
      </c>
      <c r="AC18" s="1537">
        <v>1</v>
      </c>
    </row>
    <row r="19" spans="1:29" ht="15">
      <c r="A19" s="387"/>
      <c r="B19" s="586" t="s">
        <v>2570</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8"/>
      <c r="L19" s="2951"/>
      <c r="M19" s="2945"/>
      <c r="N19" s="2945"/>
      <c r="O19" s="3003"/>
      <c r="P19" s="3292"/>
      <c r="Q19" s="1536" t="str">
        <f t="shared" ref="Q19:Q33" si="8">B19</f>
        <v>区域土地利用方向</v>
      </c>
      <c r="R19" s="713" t="s">
        <v>17</v>
      </c>
      <c r="S19" s="714">
        <f>F19</f>
        <v>100</v>
      </c>
      <c r="T19" s="713" t="s">
        <v>17</v>
      </c>
      <c r="U19" s="714">
        <f>H19</f>
        <v>100</v>
      </c>
      <c r="V19" s="713" t="s">
        <v>17</v>
      </c>
      <c r="W19" s="714">
        <f>J19</f>
        <v>100</v>
      </c>
      <c r="X19" s="1539"/>
      <c r="Y19" s="3292"/>
      <c r="Z19" s="1540" t="str">
        <f>Q19</f>
        <v>区域土地利用方向</v>
      </c>
      <c r="AA19" s="1537">
        <f t="shared" si="3"/>
        <v>1</v>
      </c>
      <c r="AB19" s="1537">
        <f t="shared" si="4"/>
        <v>1</v>
      </c>
      <c r="AC19" s="1537">
        <f t="shared" si="5"/>
        <v>1</v>
      </c>
    </row>
    <row r="20" spans="1:29" ht="15">
      <c r="A20" s="364"/>
      <c r="B20" s="587"/>
      <c r="C20" s="406"/>
      <c r="D20" s="407"/>
      <c r="E20" s="2084"/>
      <c r="F20" s="407"/>
      <c r="G20" s="2084"/>
      <c r="H20" s="407"/>
      <c r="I20" s="2084"/>
      <c r="J20" s="407"/>
      <c r="K20" s="750"/>
      <c r="L20" s="2951"/>
      <c r="M20" s="2945"/>
      <c r="N20" s="2945"/>
      <c r="O20" s="3003"/>
      <c r="P20" s="3292"/>
      <c r="Q20" s="1536"/>
      <c r="R20" s="713"/>
      <c r="S20" s="714"/>
      <c r="T20" s="713"/>
      <c r="U20" s="714"/>
      <c r="V20" s="713"/>
      <c r="W20" s="714"/>
      <c r="X20" s="1539"/>
      <c r="Y20" s="3292"/>
      <c r="Z20" s="1540"/>
      <c r="AA20" s="1537"/>
      <c r="AB20" s="1537"/>
      <c r="AC20" s="1537"/>
    </row>
    <row r="21" spans="1:29" ht="15">
      <c r="A21" s="364"/>
      <c r="B21" s="586" t="s">
        <v>2620</v>
      </c>
      <c r="C21" s="2086">
        <f>估价对象房地状况!G18</f>
        <v>0</v>
      </c>
      <c r="D21" s="409">
        <v>100</v>
      </c>
      <c r="E21" s="411"/>
      <c r="F21" s="409">
        <f>SUMIF(89:89,E22,90:90)-SUMIF(89:89,C22,90:90)+100</f>
        <v>100</v>
      </c>
      <c r="G21" s="411"/>
      <c r="H21" s="409">
        <f>SUMIF(89:89,G22,90:90)-SUMIF(89:89,C22,90:90)+100</f>
        <v>100</v>
      </c>
      <c r="I21" s="413"/>
      <c r="J21" s="409">
        <f>SUMIF(89:89,I22,90:90)-SUMIF(89:89,C22,90:90)+100</f>
        <v>100</v>
      </c>
      <c r="K21" s="628"/>
      <c r="L21" s="2951"/>
      <c r="M21" s="2945"/>
      <c r="N21" s="2945"/>
      <c r="O21" s="3003"/>
      <c r="P21" s="3292"/>
      <c r="Q21" s="1536" t="str">
        <f t="shared" si="8"/>
        <v>环境状况</v>
      </c>
      <c r="R21" s="713" t="s">
        <v>17</v>
      </c>
      <c r="S21" s="714">
        <f>F21</f>
        <v>100</v>
      </c>
      <c r="T21" s="713" t="s">
        <v>17</v>
      </c>
      <c r="U21" s="714">
        <f>H21</f>
        <v>100</v>
      </c>
      <c r="V21" s="713" t="s">
        <v>17</v>
      </c>
      <c r="W21" s="714">
        <f>J21</f>
        <v>100</v>
      </c>
      <c r="X21" s="1539"/>
      <c r="Y21" s="3292"/>
      <c r="Z21" s="1540" t="str">
        <f>Q21</f>
        <v>环境状况</v>
      </c>
      <c r="AA21" s="1537">
        <f t="shared" si="3"/>
        <v>1</v>
      </c>
      <c r="AB21" s="1537">
        <f t="shared" si="4"/>
        <v>1</v>
      </c>
      <c r="AC21" s="1537">
        <f t="shared" si="5"/>
        <v>1</v>
      </c>
    </row>
    <row r="22" spans="1:29" ht="15">
      <c r="A22" s="364"/>
      <c r="B22" s="587"/>
      <c r="C22" s="406"/>
      <c r="D22" s="407"/>
      <c r="E22" s="2090"/>
      <c r="F22" s="407"/>
      <c r="G22" s="2090"/>
      <c r="H22" s="407"/>
      <c r="I22" s="406"/>
      <c r="J22" s="407"/>
      <c r="K22" s="627"/>
      <c r="L22" s="2951"/>
      <c r="M22" s="2945"/>
      <c r="N22" s="2945"/>
      <c r="O22" s="3003"/>
      <c r="P22" s="3292"/>
      <c r="Q22" s="1536"/>
      <c r="R22" s="713"/>
      <c r="S22" s="714"/>
      <c r="T22" s="713"/>
      <c r="U22" s="714"/>
      <c r="V22" s="713"/>
      <c r="W22" s="714"/>
      <c r="X22" s="1539"/>
      <c r="Y22" s="3292"/>
      <c r="Z22" s="1540"/>
      <c r="AA22" s="1537">
        <v>1</v>
      </c>
      <c r="AB22" s="1537">
        <v>1</v>
      </c>
      <c r="AC22" s="1537">
        <v>1</v>
      </c>
    </row>
    <row r="23" spans="1:29" s="113" customFormat="1" ht="15">
      <c r="A23" s="604"/>
      <c r="B23" s="588" t="s">
        <v>2476</v>
      </c>
      <c r="C23" s="2086">
        <f>估价对象房地状况!G19</f>
        <v>0</v>
      </c>
      <c r="D23" s="409">
        <v>100</v>
      </c>
      <c r="E23" s="411"/>
      <c r="F23" s="409">
        <f>SUMIF(91:91,E24,92:92)-SUMIF(91:91,C24,92:92)+100</f>
        <v>100</v>
      </c>
      <c r="G23" s="411"/>
      <c r="H23" s="409">
        <f>SUMIF(91:91,G24,92:92)-SUMIF(91:91,C24,92:92)+100</f>
        <v>100</v>
      </c>
      <c r="I23" s="413"/>
      <c r="J23" s="409">
        <f>SUMIF(91:91,I24,92:92)-SUMIF(91:91,C24,92:92)+100</f>
        <v>100</v>
      </c>
      <c r="K23" s="628"/>
      <c r="L23" s="2946"/>
      <c r="M23" s="2947"/>
      <c r="N23" s="2947"/>
      <c r="O23" s="3001"/>
      <c r="P23" s="3292"/>
      <c r="Q23" s="1527" t="str">
        <f t="shared" si="8"/>
        <v>公共配套设施</v>
      </c>
      <c r="R23" s="709" t="s">
        <v>17</v>
      </c>
      <c r="S23" s="710">
        <f>F23</f>
        <v>100</v>
      </c>
      <c r="T23" s="709" t="s">
        <v>17</v>
      </c>
      <c r="U23" s="710">
        <f>H23</f>
        <v>100</v>
      </c>
      <c r="V23" s="709" t="s">
        <v>17</v>
      </c>
      <c r="W23" s="710">
        <f>J23</f>
        <v>100</v>
      </c>
      <c r="X23" s="711"/>
      <c r="Y23" s="3292"/>
      <c r="Z23" s="55" t="str">
        <f>Q23</f>
        <v>公共配套设施</v>
      </c>
      <c r="AA23" s="1537">
        <f>D23/F23</f>
        <v>1</v>
      </c>
      <c r="AB23" s="1537">
        <f>D23/H23</f>
        <v>1</v>
      </c>
      <c r="AC23" s="1537">
        <f>D23/J23</f>
        <v>1</v>
      </c>
    </row>
    <row r="24" spans="1:29" s="113" customFormat="1" ht="15">
      <c r="A24" s="604"/>
      <c r="B24" s="587"/>
      <c r="C24" s="2164"/>
      <c r="D24" s="407"/>
      <c r="E24" s="2090"/>
      <c r="F24" s="407"/>
      <c r="G24" s="2090"/>
      <c r="H24" s="407"/>
      <c r="I24" s="406"/>
      <c r="J24" s="407"/>
      <c r="K24" s="627"/>
      <c r="L24" s="2946"/>
      <c r="M24" s="2947"/>
      <c r="N24" s="2947"/>
      <c r="O24" s="3001"/>
      <c r="P24" s="3292"/>
      <c r="Q24" s="1527"/>
      <c r="R24" s="709"/>
      <c r="S24" s="710"/>
      <c r="T24" s="709"/>
      <c r="U24" s="710"/>
      <c r="V24" s="709"/>
      <c r="W24" s="710"/>
      <c r="X24" s="711"/>
      <c r="Y24" s="3292"/>
      <c r="Z24" s="55"/>
      <c r="AA24" s="712">
        <v>1</v>
      </c>
      <c r="AB24" s="712">
        <v>1</v>
      </c>
      <c r="AC24" s="712">
        <v>1</v>
      </c>
    </row>
    <row r="25" spans="1:29" s="113" customFormat="1" ht="15">
      <c r="A25" s="604"/>
      <c r="B25" s="588" t="s">
        <v>2477</v>
      </c>
      <c r="C25" s="2086">
        <f>估价对象房地状况!G20</f>
        <v>0</v>
      </c>
      <c r="D25" s="409">
        <v>100</v>
      </c>
      <c r="E25" s="411"/>
      <c r="F25" s="409">
        <f>SUMIF(93:93,E26,94:94)-SUMIF(93:93,C26,94:94)+100</f>
        <v>100</v>
      </c>
      <c r="G25" s="411"/>
      <c r="H25" s="409">
        <f>SUMIF(93:93,G26,94:94)-SUMIF(93:93,C26,94:94)+100</f>
        <v>100</v>
      </c>
      <c r="I25" s="413"/>
      <c r="J25" s="409">
        <f>SUMIF(93:93,I26,94:94)-SUMIF(93:93,C26,94:94)+100</f>
        <v>100</v>
      </c>
      <c r="K25" s="628"/>
      <c r="L25" s="2946"/>
      <c r="M25" s="2947"/>
      <c r="N25" s="2947"/>
      <c r="O25" s="3001"/>
      <c r="P25" s="3292"/>
      <c r="Q25" s="1527" t="str">
        <f t="shared" ref="Q25" si="9">B25</f>
        <v>基础设施水平</v>
      </c>
      <c r="R25" s="709" t="s">
        <v>17</v>
      </c>
      <c r="S25" s="710">
        <f>F25</f>
        <v>100</v>
      </c>
      <c r="T25" s="709" t="s">
        <v>17</v>
      </c>
      <c r="U25" s="710">
        <f>H25</f>
        <v>100</v>
      </c>
      <c r="V25" s="709" t="s">
        <v>17</v>
      </c>
      <c r="W25" s="710">
        <f>J25</f>
        <v>100</v>
      </c>
      <c r="X25" s="711"/>
      <c r="Y25" s="3292"/>
      <c r="Z25" s="55" t="str">
        <f>Q25</f>
        <v>基础设施水平</v>
      </c>
      <c r="AA25" s="1537">
        <f>D25/F25</f>
        <v>1</v>
      </c>
      <c r="AB25" s="1537">
        <f>D25/H25</f>
        <v>1</v>
      </c>
      <c r="AC25" s="1537">
        <f>D25/J25</f>
        <v>1</v>
      </c>
    </row>
    <row r="26" spans="1:29" s="113" customFormat="1" ht="15">
      <c r="A26" s="604"/>
      <c r="B26" s="587"/>
      <c r="C26" s="2164"/>
      <c r="D26" s="407"/>
      <c r="E26" s="2165"/>
      <c r="F26" s="407"/>
      <c r="G26" s="2165"/>
      <c r="H26" s="407"/>
      <c r="I26" s="2165"/>
      <c r="J26" s="407"/>
      <c r="K26" s="627"/>
      <c r="L26" s="2946"/>
      <c r="M26" s="2947"/>
      <c r="N26" s="2947"/>
      <c r="O26" s="3001"/>
      <c r="P26" s="3292"/>
      <c r="Q26" s="1527"/>
      <c r="R26" s="709"/>
      <c r="S26" s="710"/>
      <c r="T26" s="709"/>
      <c r="U26" s="710"/>
      <c r="V26" s="709"/>
      <c r="W26" s="710"/>
      <c r="X26" s="711"/>
      <c r="Y26" s="3292"/>
      <c r="Z26" s="55"/>
      <c r="AA26" s="712">
        <v>1</v>
      </c>
      <c r="AB26" s="712">
        <v>1</v>
      </c>
      <c r="AC26" s="712">
        <v>1</v>
      </c>
    </row>
    <row r="27" spans="1:29" ht="15">
      <c r="A27" s="387"/>
      <c r="B27" s="587" t="s">
        <v>2478</v>
      </c>
      <c r="C27" s="573"/>
      <c r="D27" s="394">
        <v>100</v>
      </c>
      <c r="E27" s="589"/>
      <c r="F27" s="394">
        <f>SUMIF(95:95,E27,96:96)-SUMIF(95:95,C27,96:96)+100</f>
        <v>100</v>
      </c>
      <c r="G27" s="589"/>
      <c r="H27" s="394">
        <f>SUMIF(95:95,G27,96:96)-SUMIF(95:95,C27,96:96)+100</f>
        <v>100</v>
      </c>
      <c r="I27" s="589"/>
      <c r="J27" s="394">
        <f>SUMIF(95:95,I27,96:96)-SUMIF(95:95,C27,96:96)+100</f>
        <v>100</v>
      </c>
      <c r="K27" s="628"/>
      <c r="L27" s="2951"/>
      <c r="M27" s="2945"/>
      <c r="N27" s="2945"/>
      <c r="O27" s="3003"/>
      <c r="P27" s="3292"/>
      <c r="Q27" s="1536" t="str">
        <f t="shared" si="8"/>
        <v>临街状况</v>
      </c>
      <c r="R27" s="713" t="s">
        <v>17</v>
      </c>
      <c r="S27" s="714">
        <f t="shared" ref="S27:S40" si="10">F27</f>
        <v>100</v>
      </c>
      <c r="T27" s="713" t="s">
        <v>17</v>
      </c>
      <c r="U27" s="714">
        <f t="shared" ref="U27:U40" si="11">H27</f>
        <v>100</v>
      </c>
      <c r="V27" s="713" t="s">
        <v>17</v>
      </c>
      <c r="W27" s="714">
        <f t="shared" ref="W27:W40" si="12">J27</f>
        <v>100</v>
      </c>
      <c r="X27" s="1539"/>
      <c r="Y27" s="3292"/>
      <c r="Z27" s="1540" t="str">
        <f t="shared" ref="Z27:Z40" si="13">Q27</f>
        <v>临街状况</v>
      </c>
      <c r="AA27" s="1537">
        <f t="shared" si="3"/>
        <v>1</v>
      </c>
      <c r="AB27" s="1537">
        <f t="shared" si="4"/>
        <v>1</v>
      </c>
      <c r="AC27" s="1537">
        <f t="shared" si="5"/>
        <v>1</v>
      </c>
    </row>
    <row r="28" spans="1:29" ht="27">
      <c r="A28" s="387"/>
      <c r="B28" s="588" t="s">
        <v>2513</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8"/>
      <c r="L28" s="2951"/>
      <c r="M28" s="2945"/>
      <c r="N28" s="2945"/>
      <c r="O28" s="3003"/>
      <c r="P28" s="3292"/>
      <c r="Q28" s="1536" t="str">
        <f t="shared" si="8"/>
        <v>毗邻道路的类型与等级</v>
      </c>
      <c r="R28" s="713" t="s">
        <v>17</v>
      </c>
      <c r="S28" s="714">
        <f t="shared" si="10"/>
        <v>100</v>
      </c>
      <c r="T28" s="713" t="s">
        <v>17</v>
      </c>
      <c r="U28" s="714">
        <f t="shared" si="11"/>
        <v>100</v>
      </c>
      <c r="V28" s="713" t="s">
        <v>17</v>
      </c>
      <c r="W28" s="714">
        <f t="shared" si="12"/>
        <v>100</v>
      </c>
      <c r="X28" s="1539"/>
      <c r="Y28" s="3292"/>
      <c r="Z28" s="1540" t="str">
        <f t="shared" si="13"/>
        <v>毗邻道路的类型与等级</v>
      </c>
      <c r="AA28" s="1537">
        <f t="shared" si="3"/>
        <v>1</v>
      </c>
      <c r="AB28" s="1537">
        <f t="shared" si="4"/>
        <v>1</v>
      </c>
      <c r="AC28" s="1537">
        <f t="shared" si="5"/>
        <v>1</v>
      </c>
    </row>
    <row r="29" spans="1:29" ht="15">
      <c r="A29" s="387"/>
      <c r="B29" s="587"/>
      <c r="C29" s="406"/>
      <c r="D29" s="407"/>
      <c r="E29" s="2090"/>
      <c r="F29" s="407"/>
      <c r="G29" s="2090"/>
      <c r="H29" s="407"/>
      <c r="I29" s="2090"/>
      <c r="J29" s="407"/>
      <c r="K29" s="570"/>
      <c r="L29" s="2951"/>
      <c r="M29" s="2945"/>
      <c r="N29" s="2945"/>
      <c r="O29" s="3003"/>
      <c r="P29" s="3292"/>
      <c r="Q29" s="1536"/>
      <c r="R29" s="713"/>
      <c r="S29" s="714"/>
      <c r="T29" s="713"/>
      <c r="U29" s="714"/>
      <c r="V29" s="713"/>
      <c r="W29" s="714"/>
      <c r="X29" s="1539"/>
      <c r="Y29" s="3292"/>
      <c r="Z29" s="1540"/>
      <c r="AA29" s="1537">
        <v>1</v>
      </c>
      <c r="AB29" s="1537">
        <v>1</v>
      </c>
      <c r="AC29" s="1537">
        <v>1</v>
      </c>
    </row>
    <row r="30" spans="1:29" ht="15">
      <c r="A30" s="387"/>
      <c r="B30" s="609" t="s">
        <v>2572</v>
      </c>
      <c r="C30" s="1296">
        <f>估价对象房地状况!G23</f>
        <v>0</v>
      </c>
      <c r="D30" s="394">
        <v>100</v>
      </c>
      <c r="E30" s="589"/>
      <c r="F30" s="394">
        <f>SUMIF(99:99,E30,100:100)-SUMIF(99:99,C30,100:100)+100</f>
        <v>100</v>
      </c>
      <c r="G30" s="589"/>
      <c r="H30" s="394">
        <f>SUMIF(99:99,G30,100:100)-SUMIF(99:99,C30,100:100)+100</f>
        <v>100</v>
      </c>
      <c r="I30" s="589"/>
      <c r="J30" s="394">
        <f>SUMIF(99:99,I30,100:100)-SUMIF(99:99,C30,100:100)+100</f>
        <v>100</v>
      </c>
      <c r="K30" s="569"/>
      <c r="L30" s="2951"/>
      <c r="M30" s="2945"/>
      <c r="N30" s="2945"/>
      <c r="O30" s="3003"/>
      <c r="P30" s="3292"/>
      <c r="Q30" s="1536" t="str">
        <f t="shared" si="8"/>
        <v>土地级别</v>
      </c>
      <c r="R30" s="713" t="s">
        <v>17</v>
      </c>
      <c r="S30" s="714">
        <f t="shared" si="10"/>
        <v>100</v>
      </c>
      <c r="T30" s="713" t="s">
        <v>17</v>
      </c>
      <c r="U30" s="714">
        <f t="shared" si="11"/>
        <v>100</v>
      </c>
      <c r="V30" s="713" t="s">
        <v>17</v>
      </c>
      <c r="W30" s="714">
        <f t="shared" si="12"/>
        <v>100</v>
      </c>
      <c r="X30" s="1539"/>
      <c r="Y30" s="3292"/>
      <c r="Z30" s="1540" t="str">
        <f t="shared" si="13"/>
        <v>土地级别</v>
      </c>
      <c r="AA30" s="1537">
        <f t="shared" si="3"/>
        <v>1</v>
      </c>
      <c r="AB30" s="1537">
        <f t="shared" si="4"/>
        <v>1</v>
      </c>
      <c r="AC30" s="1537">
        <f t="shared" si="5"/>
        <v>1</v>
      </c>
    </row>
    <row r="31" spans="1:29" ht="15">
      <c r="A31" s="364"/>
      <c r="B31" s="2152">
        <v>111</v>
      </c>
      <c r="C31" s="629"/>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292"/>
      <c r="Q31" s="1536">
        <f t="shared" si="8"/>
        <v>111</v>
      </c>
      <c r="R31" s="713" t="s">
        <v>17</v>
      </c>
      <c r="S31" s="714">
        <f t="shared" si="10"/>
        <v>100</v>
      </c>
      <c r="T31" s="713" t="s">
        <v>17</v>
      </c>
      <c r="U31" s="714">
        <f t="shared" si="11"/>
        <v>100</v>
      </c>
      <c r="V31" s="713" t="s">
        <v>17</v>
      </c>
      <c r="W31" s="714">
        <f t="shared" si="12"/>
        <v>100</v>
      </c>
      <c r="X31" s="1539"/>
      <c r="Y31" s="3292"/>
      <c r="Z31" s="1540">
        <f t="shared" si="13"/>
        <v>111</v>
      </c>
      <c r="AA31" s="1537">
        <f t="shared" si="3"/>
        <v>1</v>
      </c>
      <c r="AB31" s="1537">
        <f t="shared" si="4"/>
        <v>1</v>
      </c>
      <c r="AC31" s="1537">
        <f t="shared" si="5"/>
        <v>1</v>
      </c>
    </row>
    <row r="32" spans="1:29" ht="15">
      <c r="A32" s="630"/>
      <c r="B32" s="2178">
        <v>111</v>
      </c>
      <c r="C32" s="629"/>
      <c r="D32" s="394">
        <v>100</v>
      </c>
      <c r="E32" s="436"/>
      <c r="F32" s="394">
        <f>SUMIF(103:103,E33,104:104)-SUMIF(103:103,C33,104:104)+100</f>
        <v>100</v>
      </c>
      <c r="G32" s="436"/>
      <c r="H32" s="394">
        <f>SUMIF(103:103,G32,104:104)-SUMIF(103:103,C32,104:104)+100</f>
        <v>100</v>
      </c>
      <c r="I32" s="629"/>
      <c r="J32" s="394">
        <f>SUMIF(103:103,I32,104:104)-SUMIF(103:103,C32,104:104)+100</f>
        <v>100</v>
      </c>
      <c r="K32" s="570"/>
      <c r="L32" s="2951"/>
      <c r="M32" s="2945"/>
      <c r="N32" s="2945"/>
      <c r="O32" s="3003"/>
      <c r="P32" s="3293" t="s">
        <v>2387</v>
      </c>
      <c r="Q32" s="1536">
        <f t="shared" si="8"/>
        <v>111</v>
      </c>
      <c r="R32" s="713" t="s">
        <v>17</v>
      </c>
      <c r="S32" s="714">
        <f t="shared" si="10"/>
        <v>100</v>
      </c>
      <c r="T32" s="713" t="s">
        <v>17</v>
      </c>
      <c r="U32" s="714">
        <f t="shared" si="11"/>
        <v>100</v>
      </c>
      <c r="V32" s="713" t="s">
        <v>17</v>
      </c>
      <c r="W32" s="714">
        <f t="shared" si="12"/>
        <v>100</v>
      </c>
      <c r="X32" s="1539"/>
      <c r="Y32" s="3294" t="s">
        <v>2387</v>
      </c>
      <c r="Z32" s="1540">
        <f t="shared" si="13"/>
        <v>111</v>
      </c>
      <c r="AA32" s="1537">
        <f t="shared" si="3"/>
        <v>1</v>
      </c>
      <c r="AB32" s="1537">
        <f t="shared" si="4"/>
        <v>1</v>
      </c>
      <c r="AC32" s="1537">
        <f t="shared" si="5"/>
        <v>1</v>
      </c>
    </row>
    <row r="33" spans="1:31" s="430" customFormat="1" ht="15.75" thickBot="1">
      <c r="A33" s="631"/>
      <c r="B33" s="2179">
        <v>111</v>
      </c>
      <c r="C33" s="633"/>
      <c r="D33" s="133">
        <v>100</v>
      </c>
      <c r="E33" s="656"/>
      <c r="F33" s="397">
        <f>SUMIF(105:105,E33,106:106)-SUMIF(105:105,C33,106:106)+100</f>
        <v>100</v>
      </c>
      <c r="G33" s="656"/>
      <c r="H33" s="397">
        <f>SUMIF(105:105,G33,106:106)-SUMIF(105:105,C33,106:106)+100</f>
        <v>100</v>
      </c>
      <c r="I33" s="633"/>
      <c r="J33" s="397">
        <f>SUMIF(105:105,I33,106:106)-SUMIF(105:105,C33,106:106)+100</f>
        <v>100</v>
      </c>
      <c r="K33" s="570"/>
      <c r="L33" s="2950"/>
      <c r="M33" s="2952"/>
      <c r="N33" s="2952"/>
      <c r="O33" s="3004"/>
      <c r="P33" s="3294"/>
      <c r="Q33" s="1536">
        <f t="shared" si="8"/>
        <v>111</v>
      </c>
      <c r="R33" s="716" t="s">
        <v>17</v>
      </c>
      <c r="S33" s="717">
        <f t="shared" si="10"/>
        <v>100</v>
      </c>
      <c r="T33" s="716" t="s">
        <v>17</v>
      </c>
      <c r="U33" s="717">
        <f t="shared" si="11"/>
        <v>100</v>
      </c>
      <c r="V33" s="716" t="s">
        <v>17</v>
      </c>
      <c r="W33" s="717">
        <f t="shared" si="12"/>
        <v>100</v>
      </c>
      <c r="X33" s="718"/>
      <c r="Y33" s="3294"/>
      <c r="Z33" s="719">
        <f t="shared" si="13"/>
        <v>111</v>
      </c>
      <c r="AA33" s="1537">
        <f t="shared" si="3"/>
        <v>1</v>
      </c>
      <c r="AB33" s="1537">
        <f t="shared" si="4"/>
        <v>1</v>
      </c>
      <c r="AC33" s="1537">
        <f t="shared" si="5"/>
        <v>1</v>
      </c>
    </row>
    <row r="34" spans="1:31" ht="15">
      <c r="A34" s="399" t="s">
        <v>2385</v>
      </c>
      <c r="B34" s="415" t="s">
        <v>2573</v>
      </c>
      <c r="C34" s="634"/>
      <c r="D34" s="426">
        <v>100</v>
      </c>
      <c r="E34" s="634"/>
      <c r="F34" s="426" t="e">
        <f>LOOKUP(E34,108:108,109:109)-LOOKUP(C34,108:108,109:109)+100</f>
        <v>#N/A</v>
      </c>
      <c r="G34" s="634"/>
      <c r="H34" s="426" t="e">
        <f>LOOKUP(G34,108:108,109:109)-LOOKUP(C34,108:108,109:109)+100</f>
        <v>#N/A</v>
      </c>
      <c r="I34" s="487"/>
      <c r="J34" s="426" t="e">
        <f>LOOKUP(I34,108:108,109:109)-LOOKUP(C34,108:108,109:109)+100</f>
        <v>#N/A</v>
      </c>
      <c r="K34" s="570"/>
      <c r="L34" s="2951"/>
      <c r="M34" s="2945"/>
      <c r="N34" s="2945"/>
      <c r="O34" s="3003"/>
      <c r="P34" s="3294"/>
      <c r="Q34" s="1536" t="str">
        <f>B34</f>
        <v>宗地面积</v>
      </c>
      <c r="R34" s="713" t="s">
        <v>17</v>
      </c>
      <c r="S34" s="714" t="e">
        <f t="shared" si="10"/>
        <v>#N/A</v>
      </c>
      <c r="T34" s="713" t="s">
        <v>17</v>
      </c>
      <c r="U34" s="714" t="e">
        <f t="shared" si="11"/>
        <v>#N/A</v>
      </c>
      <c r="V34" s="713" t="s">
        <v>17</v>
      </c>
      <c r="W34" s="714" t="e">
        <f t="shared" si="12"/>
        <v>#N/A</v>
      </c>
      <c r="X34" s="1539"/>
      <c r="Y34" s="3294"/>
      <c r="Z34" s="1540" t="str">
        <f t="shared" si="13"/>
        <v>宗地面积</v>
      </c>
      <c r="AA34" s="1537" t="e">
        <f t="shared" si="3"/>
        <v>#N/A</v>
      </c>
      <c r="AB34" s="1537" t="e">
        <f t="shared" si="4"/>
        <v>#N/A</v>
      </c>
      <c r="AC34" s="1537" t="e">
        <f t="shared" si="5"/>
        <v>#N/A</v>
      </c>
    </row>
    <row r="35" spans="1:31" ht="15">
      <c r="A35" s="431"/>
      <c r="B35" s="381" t="s">
        <v>2574</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294"/>
      <c r="Q35" s="1536" t="str">
        <f t="shared" ref="Q35:Q40" si="14">B35</f>
        <v>宗地形状</v>
      </c>
      <c r="R35" s="713" t="s">
        <v>17</v>
      </c>
      <c r="S35" s="714">
        <f t="shared" si="10"/>
        <v>100</v>
      </c>
      <c r="T35" s="713" t="s">
        <v>17</v>
      </c>
      <c r="U35" s="714">
        <f t="shared" si="11"/>
        <v>100</v>
      </c>
      <c r="V35" s="713" t="s">
        <v>17</v>
      </c>
      <c r="W35" s="714">
        <f t="shared" si="12"/>
        <v>100</v>
      </c>
      <c r="X35" s="1539"/>
      <c r="Y35" s="3294"/>
      <c r="Z35" s="1540" t="str">
        <f t="shared" si="13"/>
        <v>宗地形状</v>
      </c>
      <c r="AA35" s="1537">
        <f t="shared" si="3"/>
        <v>1</v>
      </c>
      <c r="AB35" s="1537">
        <f t="shared" si="4"/>
        <v>1</v>
      </c>
      <c r="AC35" s="1537">
        <f t="shared" si="5"/>
        <v>1</v>
      </c>
    </row>
    <row r="36" spans="1:31" s="113" customFormat="1" ht="15">
      <c r="A36" s="432"/>
      <c r="B36" s="381" t="s">
        <v>2576</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294"/>
      <c r="Q36" s="1536" t="str">
        <f t="shared" si="14"/>
        <v>宗地开发程度</v>
      </c>
      <c r="R36" s="709" t="s">
        <v>17</v>
      </c>
      <c r="S36" s="710">
        <f t="shared" si="10"/>
        <v>100</v>
      </c>
      <c r="T36" s="709" t="s">
        <v>17</v>
      </c>
      <c r="U36" s="710">
        <f t="shared" si="11"/>
        <v>100</v>
      </c>
      <c r="V36" s="709" t="s">
        <v>17</v>
      </c>
      <c r="W36" s="710">
        <f t="shared" si="12"/>
        <v>100</v>
      </c>
      <c r="X36" s="711"/>
      <c r="Y36" s="3294"/>
      <c r="Z36" s="55" t="str">
        <f t="shared" si="13"/>
        <v>宗地开发程度</v>
      </c>
      <c r="AA36" s="712">
        <f t="shared" si="3"/>
        <v>1</v>
      </c>
      <c r="AB36" s="712">
        <f t="shared" si="4"/>
        <v>1</v>
      </c>
      <c r="AC36" s="712">
        <f t="shared" si="5"/>
        <v>1</v>
      </c>
    </row>
    <row r="37" spans="1:31" ht="15">
      <c r="A37" s="431"/>
      <c r="B37" s="381" t="s">
        <v>2577</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294" t="s">
        <v>2387</v>
      </c>
      <c r="Q37" s="1536" t="str">
        <f t="shared" si="14"/>
        <v>工程地质条件</v>
      </c>
      <c r="R37" s="713" t="s">
        <v>17</v>
      </c>
      <c r="S37" s="714">
        <f t="shared" si="10"/>
        <v>100</v>
      </c>
      <c r="T37" s="713" t="s">
        <v>17</v>
      </c>
      <c r="U37" s="714">
        <f t="shared" si="11"/>
        <v>100</v>
      </c>
      <c r="V37" s="713" t="s">
        <v>17</v>
      </c>
      <c r="W37" s="714">
        <f t="shared" si="12"/>
        <v>100</v>
      </c>
      <c r="X37" s="1539"/>
      <c r="Y37" s="3294" t="s">
        <v>2387</v>
      </c>
      <c r="Z37" s="1540" t="str">
        <f t="shared" si="13"/>
        <v>工程地质条件</v>
      </c>
      <c r="AA37" s="1537">
        <f t="shared" si="3"/>
        <v>1</v>
      </c>
      <c r="AB37" s="1537">
        <f t="shared" si="4"/>
        <v>1</v>
      </c>
      <c r="AC37" s="1537">
        <f t="shared" si="5"/>
        <v>1</v>
      </c>
    </row>
    <row r="38" spans="1:31" ht="15">
      <c r="A38" s="431"/>
      <c r="B38" s="1294">
        <v>111</v>
      </c>
      <c r="C38" s="629"/>
      <c r="D38" s="394">
        <v>100</v>
      </c>
      <c r="E38" s="629"/>
      <c r="F38" s="394">
        <f>SUMIF(116:116,E38,117:117)-SUMIF(116:116,C38,117:117)+100</f>
        <v>100</v>
      </c>
      <c r="G38" s="629"/>
      <c r="H38" s="394">
        <f>SUMIF(116:116,G38,117:117)-SUMIF(116:116,C38,117:117)+100</f>
        <v>100</v>
      </c>
      <c r="I38" s="506"/>
      <c r="J38" s="394">
        <f>SUMIF(116:116,I38,117:117)-SUMIF(116:116,C38,117:117)+100</f>
        <v>100</v>
      </c>
      <c r="K38" s="570"/>
      <c r="L38" s="2951"/>
      <c r="M38" s="2945"/>
      <c r="N38" s="2945"/>
      <c r="O38" s="3003"/>
      <c r="P38" s="3294"/>
      <c r="Q38" s="1536">
        <f t="shared" si="14"/>
        <v>111</v>
      </c>
      <c r="R38" s="713" t="s">
        <v>17</v>
      </c>
      <c r="S38" s="714">
        <f t="shared" si="10"/>
        <v>100</v>
      </c>
      <c r="T38" s="713" t="s">
        <v>17</v>
      </c>
      <c r="U38" s="714">
        <f t="shared" si="11"/>
        <v>100</v>
      </c>
      <c r="V38" s="713" t="s">
        <v>17</v>
      </c>
      <c r="W38" s="714">
        <f t="shared" si="12"/>
        <v>100</v>
      </c>
      <c r="X38" s="1539"/>
      <c r="Y38" s="3294"/>
      <c r="Z38" s="1540">
        <f t="shared" si="13"/>
        <v>111</v>
      </c>
      <c r="AA38" s="1537">
        <f t="shared" si="3"/>
        <v>1</v>
      </c>
      <c r="AB38" s="1537">
        <f t="shared" si="4"/>
        <v>1</v>
      </c>
      <c r="AC38" s="1537">
        <f t="shared" si="5"/>
        <v>1</v>
      </c>
    </row>
    <row r="39" spans="1:31" ht="15">
      <c r="A39" s="431"/>
      <c r="B39" s="1294">
        <v>111</v>
      </c>
      <c r="C39" s="629"/>
      <c r="D39" s="394">
        <v>100</v>
      </c>
      <c r="E39" s="629"/>
      <c r="F39" s="394">
        <f>SUMIF(118:118,E39,119:119)-SUMIF(118:118,C39,119:119)+100</f>
        <v>100</v>
      </c>
      <c r="G39" s="629"/>
      <c r="H39" s="394">
        <f>SUMIF(118:118,G39,119:119)-SUMIF(118:118,C39,119:119)+100</f>
        <v>100</v>
      </c>
      <c r="I39" s="506"/>
      <c r="J39" s="394">
        <f>SUMIF(118:118,I39,119:119)-SUMIF(118:118,C39,119:119)+100</f>
        <v>100</v>
      </c>
      <c r="K39" s="570"/>
      <c r="L39" s="2951"/>
      <c r="M39" s="2945"/>
      <c r="N39" s="2945"/>
      <c r="O39" s="3003"/>
      <c r="P39" s="3294"/>
      <c r="Q39" s="1536">
        <f t="shared" si="14"/>
        <v>111</v>
      </c>
      <c r="R39" s="713" t="s">
        <v>17</v>
      </c>
      <c r="S39" s="714">
        <f t="shared" si="10"/>
        <v>100</v>
      </c>
      <c r="T39" s="713" t="s">
        <v>17</v>
      </c>
      <c r="U39" s="714">
        <f t="shared" si="11"/>
        <v>100</v>
      </c>
      <c r="V39" s="713" t="s">
        <v>17</v>
      </c>
      <c r="W39" s="714">
        <f t="shared" si="12"/>
        <v>100</v>
      </c>
      <c r="X39" s="1539"/>
      <c r="Y39" s="3294"/>
      <c r="Z39" s="1540">
        <f t="shared" si="13"/>
        <v>111</v>
      </c>
      <c r="AA39" s="1537">
        <f t="shared" si="3"/>
        <v>1</v>
      </c>
      <c r="AB39" s="1537">
        <f t="shared" si="4"/>
        <v>1</v>
      </c>
      <c r="AC39" s="1537">
        <f t="shared" si="5"/>
        <v>1</v>
      </c>
    </row>
    <row r="40" spans="1:31" s="430" customFormat="1" ht="15.75" thickBot="1">
      <c r="A40" s="427"/>
      <c r="B40" s="1294">
        <v>111</v>
      </c>
      <c r="C40" s="2167"/>
      <c r="D40" s="133">
        <v>100</v>
      </c>
      <c r="E40" s="629"/>
      <c r="F40" s="397">
        <f>SUMIF(120:120,E40,121:121)-SUMIF(120:120,C40,121:121)+100</f>
        <v>100</v>
      </c>
      <c r="G40" s="629"/>
      <c r="H40" s="397">
        <f>SUMIF(120:120,G40,121:121)-SUMIF(120:120,C40,121:121)+100</f>
        <v>100</v>
      </c>
      <c r="I40" s="506"/>
      <c r="J40" s="397">
        <f>SUMIF(120:120,I40,121:121)-SUMIF(120:120,C40,121:121)+100</f>
        <v>100</v>
      </c>
      <c r="K40" s="636"/>
      <c r="L40" s="2950"/>
      <c r="M40" s="2952"/>
      <c r="N40" s="2952"/>
      <c r="O40" s="3004"/>
      <c r="P40" s="3294"/>
      <c r="Q40" s="1536">
        <f t="shared" si="14"/>
        <v>111</v>
      </c>
      <c r="R40" s="716" t="s">
        <v>17</v>
      </c>
      <c r="S40" s="717">
        <f t="shared" si="10"/>
        <v>100</v>
      </c>
      <c r="T40" s="716" t="s">
        <v>17</v>
      </c>
      <c r="U40" s="717">
        <f t="shared" si="11"/>
        <v>100</v>
      </c>
      <c r="V40" s="716" t="s">
        <v>17</v>
      </c>
      <c r="W40" s="717">
        <f t="shared" si="12"/>
        <v>100</v>
      </c>
      <c r="X40" s="718"/>
      <c r="Y40" s="3294"/>
      <c r="Z40" s="719">
        <f t="shared" si="13"/>
        <v>111</v>
      </c>
      <c r="AA40" s="1537">
        <f t="shared" si="3"/>
        <v>1</v>
      </c>
      <c r="AB40" s="1537">
        <f t="shared" si="4"/>
        <v>1</v>
      </c>
      <c r="AC40" s="1537">
        <f t="shared" si="5"/>
        <v>1</v>
      </c>
    </row>
    <row r="41" spans="1:31" ht="15">
      <c r="A41" s="438" t="s">
        <v>2542</v>
      </c>
      <c r="B41" s="2168" t="s">
        <v>2621</v>
      </c>
      <c r="C41" s="637" t="s">
        <v>1</v>
      </c>
      <c r="D41" s="440"/>
      <c r="E41" s="441"/>
      <c r="F41" s="442"/>
      <c r="G41" s="443"/>
      <c r="H41" s="444"/>
      <c r="I41" s="441"/>
      <c r="J41" s="444"/>
      <c r="K41" s="722"/>
      <c r="L41" s="2953"/>
      <c r="M41" s="2945"/>
      <c r="N41" s="2945"/>
      <c r="O41" s="2954"/>
      <c r="P41" s="3276" t="str">
        <f>A41</f>
        <v>成交单价</v>
      </c>
      <c r="Q41" s="3276"/>
      <c r="R41" s="3289">
        <f>E41</f>
        <v>0</v>
      </c>
      <c r="S41" s="3289"/>
      <c r="T41" s="3289">
        <f>G41</f>
        <v>0</v>
      </c>
      <c r="U41" s="3289"/>
      <c r="V41" s="3289">
        <f>I41</f>
        <v>0</v>
      </c>
      <c r="W41" s="3289"/>
      <c r="X41" s="698"/>
      <c r="Y41" s="720"/>
      <c r="Z41" s="698"/>
      <c r="AA41" s="698"/>
      <c r="AB41" s="698"/>
      <c r="AC41" s="698"/>
    </row>
    <row r="42" spans="1:31" ht="15.75" thickBot="1">
      <c r="A42" s="445" t="s">
        <v>2491</v>
      </c>
      <c r="B42" s="638"/>
      <c r="C42" s="448" t="e">
        <f>R43</f>
        <v>#DIV/0!</v>
      </c>
      <c r="D42" s="2538" t="s">
        <v>2879</v>
      </c>
      <c r="E42" s="448" t="e">
        <f>R42</f>
        <v>#DIV/0!</v>
      </c>
      <c r="F42" s="2539"/>
      <c r="G42" s="447" t="e">
        <f>T42</f>
        <v>#DIV/0!</v>
      </c>
      <c r="H42" s="2539"/>
      <c r="I42" s="448" t="e">
        <f>V42</f>
        <v>#DIV/0!</v>
      </c>
      <c r="J42" s="2539"/>
      <c r="K42" s="2541">
        <f>F42+H42+J42</f>
        <v>0</v>
      </c>
      <c r="L42" s="2953"/>
      <c r="M42" s="2945"/>
      <c r="N42" s="2945"/>
      <c r="O42" s="2954"/>
      <c r="P42" s="3276" t="str">
        <f>A42</f>
        <v>比较价值（元/平方米）</v>
      </c>
      <c r="Q42" s="3276"/>
      <c r="R42" s="3295" t="e">
        <f>ROUND(PRODUCT(R41,AA7:AA40),0)</f>
        <v>#DIV/0!</v>
      </c>
      <c r="S42" s="3295"/>
      <c r="T42" s="3295" t="e">
        <f>ROUND(PRODUCT(T41,AB7:AB40),0)</f>
        <v>#DIV/0!</v>
      </c>
      <c r="U42" s="3295"/>
      <c r="V42" s="3295" t="e">
        <f>ROUND(PRODUCT(V41,AC7:AC40),0)</f>
        <v>#DIV/0!</v>
      </c>
      <c r="W42" s="3295"/>
      <c r="X42" s="698"/>
      <c r="Y42" s="698"/>
      <c r="Z42" s="698"/>
      <c r="AA42" s="698"/>
      <c r="AB42" s="698"/>
      <c r="AC42" s="698"/>
    </row>
    <row r="43" spans="1:31" ht="15.75" thickBot="1">
      <c r="A43" s="449" t="s">
        <v>2492</v>
      </c>
      <c r="B43" s="450"/>
      <c r="C43" s="451" t="e">
        <f>R43</f>
        <v>#DIV/0!</v>
      </c>
      <c r="D43" s="451"/>
      <c r="E43" s="451"/>
      <c r="F43" s="451"/>
      <c r="G43" s="451"/>
      <c r="H43" s="451"/>
      <c r="I43" s="451"/>
      <c r="J43" s="451"/>
      <c r="K43" s="723"/>
      <c r="L43" s="2953"/>
      <c r="M43" s="2945"/>
      <c r="N43" s="2945"/>
      <c r="O43" s="2954"/>
      <c r="P43" s="3296" t="str">
        <f>A43</f>
        <v>估价对象XX用房的比较价值（楼面单价，元/平方米）</v>
      </c>
      <c r="Q43" s="3297"/>
      <c r="R43" s="3298" t="e">
        <f>ROUND(IF(D42="简单平均",AVERAGE(R42:W42),R42*F42+T42*H42+V42*J42),0)</f>
        <v>#DIV/0!</v>
      </c>
      <c r="S43" s="3298"/>
      <c r="T43" s="3298"/>
      <c r="U43" s="3298"/>
      <c r="V43" s="3298"/>
      <c r="W43" s="3298"/>
      <c r="X43" s="698"/>
      <c r="Y43" s="698"/>
      <c r="Z43" s="698"/>
      <c r="AA43" s="698"/>
      <c r="AB43" s="698"/>
      <c r="AC43" s="698"/>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2493</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2494</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2495</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1"/>
      <c r="D49" s="699"/>
      <c r="E49" s="699"/>
      <c r="F49" s="699"/>
      <c r="G49" s="699"/>
      <c r="H49" s="699"/>
      <c r="I49" s="699"/>
      <c r="J49" s="699"/>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39" t="s">
        <v>2579</v>
      </c>
      <c r="B50" s="640" t="s">
        <v>2580</v>
      </c>
      <c r="C50" s="2169" t="s">
        <v>2581</v>
      </c>
      <c r="D50" s="2170" t="s">
        <v>2582</v>
      </c>
      <c r="E50" s="641" t="s">
        <v>2583</v>
      </c>
      <c r="F50" s="642" t="s">
        <v>2584</v>
      </c>
      <c r="G50" s="3277" t="s">
        <v>2585</v>
      </c>
      <c r="H50" s="3299"/>
      <c r="I50" s="1540" t="s">
        <v>2622</v>
      </c>
      <c r="J50" s="1540">
        <f>项目基本情况!F35</f>
        <v>0</v>
      </c>
      <c r="K50" s="2172"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7" customFormat="1">
      <c r="A51" s="643" t="s">
        <v>2588</v>
      </c>
      <c r="B51" s="644" t="e">
        <f>C43</f>
        <v>#DIV/0!</v>
      </c>
      <c r="C51" s="645">
        <v>1</v>
      </c>
      <c r="D51" s="1074">
        <v>1</v>
      </c>
      <c r="E51" s="645">
        <f>'数据-汇总表'!E8+'数据-汇总表'!E9</f>
        <v>21489.300000000003</v>
      </c>
      <c r="F51" s="646" t="e">
        <f t="shared" ref="F51:F60" si="15">ROUND(B51*E51/10000,0)</f>
        <v>#DIV/0!</v>
      </c>
      <c r="G51" s="3300"/>
      <c r="H51" s="3276"/>
      <c r="I51" s="878">
        <v>1</v>
      </c>
      <c r="J51" s="878">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7" customFormat="1">
      <c r="A52" s="648" t="s">
        <v>2589</v>
      </c>
      <c r="B52" s="224" t="e">
        <f>ROUND($C$43*C52*D52,0)</f>
        <v>#DIV/0!</v>
      </c>
      <c r="C52" s="176">
        <f t="shared" ref="C52:C60" si="16">IF($C$50="北京市系数",I52,J52)</f>
        <v>0</v>
      </c>
      <c r="D52" s="1075">
        <v>0.25</v>
      </c>
      <c r="E52" s="649"/>
      <c r="F52" s="646" t="e">
        <f t="shared" si="15"/>
        <v>#DIV/0!</v>
      </c>
      <c r="G52" s="3301" t="s">
        <v>2590</v>
      </c>
      <c r="H52" s="1017">
        <f>项目基本情况!B37</f>
        <v>0</v>
      </c>
      <c r="I52" s="878">
        <f>SUMIF(修正!A45:A56,H52,修正!B45:B56)</f>
        <v>0</v>
      </c>
      <c r="J52" s="879"/>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7" customFormat="1">
      <c r="A53" s="648" t="s">
        <v>2591</v>
      </c>
      <c r="B53" s="224" t="e">
        <f t="shared" ref="B53:B60" si="17">ROUND($C$43*C53*D53,0)</f>
        <v>#DIV/0!</v>
      </c>
      <c r="C53" s="176">
        <f t="shared" si="16"/>
        <v>0</v>
      </c>
      <c r="D53" s="1075">
        <v>0.25</v>
      </c>
      <c r="E53" s="649"/>
      <c r="F53" s="646" t="e">
        <f t="shared" si="15"/>
        <v>#DIV/0!</v>
      </c>
      <c r="G53" s="3301"/>
      <c r="H53" s="1017">
        <f>项目基本情况!B37</f>
        <v>0</v>
      </c>
      <c r="I53" s="878">
        <f>SUMIF(修正!A45:A56,H53,修正!C45:C56)</f>
        <v>0</v>
      </c>
      <c r="J53" s="879"/>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7" customFormat="1">
      <c r="A54" s="648" t="s">
        <v>2592</v>
      </c>
      <c r="B54" s="224" t="e">
        <f t="shared" si="17"/>
        <v>#DIV/0!</v>
      </c>
      <c r="C54" s="176">
        <f t="shared" si="16"/>
        <v>0</v>
      </c>
      <c r="D54" s="1075">
        <v>0.25</v>
      </c>
      <c r="E54" s="649"/>
      <c r="F54" s="646" t="e">
        <f t="shared" si="15"/>
        <v>#DIV/0!</v>
      </c>
      <c r="G54" s="3301"/>
      <c r="H54" s="1017">
        <f>项目基本情况!B37</f>
        <v>0</v>
      </c>
      <c r="I54" s="878">
        <f>SUMIF(修正!A45:A56,H54,修正!D45:D56)</f>
        <v>0</v>
      </c>
      <c r="J54" s="879"/>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7" customFormat="1">
      <c r="A55" s="648" t="s">
        <v>2593</v>
      </c>
      <c r="B55" s="224" t="e">
        <f t="shared" si="17"/>
        <v>#DIV/0!</v>
      </c>
      <c r="C55" s="176">
        <f t="shared" si="16"/>
        <v>0</v>
      </c>
      <c r="D55" s="1075">
        <v>0.25</v>
      </c>
      <c r="E55" s="649"/>
      <c r="F55" s="646" t="e">
        <f t="shared" si="15"/>
        <v>#DIV/0!</v>
      </c>
      <c r="G55" s="3301"/>
      <c r="H55" s="1017">
        <f>项目基本情况!B37</f>
        <v>0</v>
      </c>
      <c r="I55" s="878">
        <f>SUMIF(修正!A45:A56,H55,修正!E45:E56)</f>
        <v>0</v>
      </c>
      <c r="J55" s="879"/>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7" customFormat="1">
      <c r="A56" s="648" t="s">
        <v>2594</v>
      </c>
      <c r="B56" s="224" t="e">
        <f t="shared" si="17"/>
        <v>#DIV/0!</v>
      </c>
      <c r="C56" s="176">
        <f t="shared" si="16"/>
        <v>0</v>
      </c>
      <c r="D56" s="1075">
        <v>0.25</v>
      </c>
      <c r="E56" s="223">
        <f>'数据-汇总表'!E11</f>
        <v>0</v>
      </c>
      <c r="F56" s="646" t="e">
        <f t="shared" si="15"/>
        <v>#DIV/0!</v>
      </c>
      <c r="G56" s="2173" t="s">
        <v>2595</v>
      </c>
      <c r="H56" s="1017">
        <f>项目基本情况!C37</f>
        <v>0</v>
      </c>
      <c r="I56" s="878">
        <f>SUMIF(修正!A45:A56,H56,修正!F45:F56)</f>
        <v>0</v>
      </c>
      <c r="J56" s="879"/>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7" customFormat="1">
      <c r="A57" s="648" t="s">
        <v>2596</v>
      </c>
      <c r="B57" s="224" t="e">
        <f t="shared" si="17"/>
        <v>#DIV/0!</v>
      </c>
      <c r="C57" s="176">
        <f t="shared" si="16"/>
        <v>0</v>
      </c>
      <c r="D57" s="1075">
        <v>0.25</v>
      </c>
      <c r="E57" s="223">
        <f>'数据-汇总表'!E12</f>
        <v>0</v>
      </c>
      <c r="F57" s="646" t="e">
        <f t="shared" si="15"/>
        <v>#DIV/0!</v>
      </c>
      <c r="G57" s="1022" t="s">
        <v>2597</v>
      </c>
      <c r="H57" s="1017">
        <f>IF(G57="商业",项目基本情况!B37,IF(G57="办公",项目基本情况!C37,IF(G57="住宅",项目基本情况!D37,项目基本情况!E37)))</f>
        <v>0</v>
      </c>
      <c r="I57" s="878">
        <f>SUMIF(修正!A45:A56,H57,修正!G45:G56)</f>
        <v>0</v>
      </c>
      <c r="J57" s="879"/>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7" customFormat="1">
      <c r="A58" s="648" t="s">
        <v>2598</v>
      </c>
      <c r="B58" s="224" t="e">
        <f t="shared" si="17"/>
        <v>#DIV/0!</v>
      </c>
      <c r="C58" s="176">
        <f t="shared" si="16"/>
        <v>0</v>
      </c>
      <c r="D58" s="1075">
        <v>0.25</v>
      </c>
      <c r="E58" s="223">
        <f>'数据-汇总表'!E13</f>
        <v>6471.53</v>
      </c>
      <c r="F58" s="646" t="e">
        <f t="shared" si="15"/>
        <v>#DIV/0!</v>
      </c>
      <c r="G58" s="1022" t="s">
        <v>2599</v>
      </c>
      <c r="H58" s="1017">
        <f>IF(G58="商业",项目基本情况!B37,IF(G58="办公",项目基本情况!C37,IF(G58="住宅",项目基本情况!D37,项目基本情况!E37)))</f>
        <v>0</v>
      </c>
      <c r="I58" s="878">
        <f>SUMIF(修正!A45:A56,H58,修正!H45:H56)</f>
        <v>0</v>
      </c>
      <c r="J58" s="879"/>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7" customFormat="1">
      <c r="A59" s="648" t="s">
        <v>2600</v>
      </c>
      <c r="B59" s="224" t="e">
        <f t="shared" si="17"/>
        <v>#DIV/0!</v>
      </c>
      <c r="C59" s="176">
        <f t="shared" si="16"/>
        <v>0</v>
      </c>
      <c r="D59" s="1075">
        <v>0.25</v>
      </c>
      <c r="E59" s="223">
        <f>'数据-汇总表'!E14</f>
        <v>0</v>
      </c>
      <c r="F59" s="646" t="e">
        <f t="shared" si="15"/>
        <v>#DIV/0!</v>
      </c>
      <c r="G59" s="2173" t="s">
        <v>2590</v>
      </c>
      <c r="H59" s="1017">
        <f>项目基本情况!B37</f>
        <v>0</v>
      </c>
      <c r="I59" s="878">
        <f>SUMIF(修正!A45:A56,H59,修正!H45:H56)</f>
        <v>0</v>
      </c>
      <c r="J59" s="879"/>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7" customFormat="1" ht="15" thickBot="1">
      <c r="A60" s="648" t="s">
        <v>2601</v>
      </c>
      <c r="B60" s="224" t="e">
        <f t="shared" si="17"/>
        <v>#DIV/0!</v>
      </c>
      <c r="C60" s="176">
        <f t="shared" si="16"/>
        <v>0</v>
      </c>
      <c r="D60" s="1075">
        <v>0.25</v>
      </c>
      <c r="E60" s="223">
        <f>'数据-汇总表'!E15</f>
        <v>0</v>
      </c>
      <c r="F60" s="646" t="e">
        <f t="shared" si="15"/>
        <v>#DIV/0!</v>
      </c>
      <c r="G60" s="2174" t="s">
        <v>2595</v>
      </c>
      <c r="H60" s="1027">
        <f>项目基本情况!C37</f>
        <v>0</v>
      </c>
      <c r="I60" s="878">
        <f>SUMIF(修正!A45:A56,H60,修正!H45:H56)</f>
        <v>0</v>
      </c>
      <c r="J60" s="879"/>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7" customFormat="1" ht="15" thickBot="1">
      <c r="A61" s="650" t="s">
        <v>2602</v>
      </c>
      <c r="B61" s="651" t="s">
        <v>28</v>
      </c>
      <c r="C61" s="651" t="s">
        <v>29</v>
      </c>
      <c r="D61" s="651" t="s">
        <v>997</v>
      </c>
      <c r="E61" s="651">
        <f>IF(B41="楼面地价",SUM(E51:E60),'数据-汇总表'!D3)</f>
        <v>24172.12</v>
      </c>
      <c r="F61" s="652" t="e">
        <f>IF(B41="楼面地价",SUM(F51:F60),ROUND(C43*E61/10000,0))</f>
        <v>#DIV/0!</v>
      </c>
      <c r="G61" s="1069"/>
      <c r="H61" s="1069"/>
      <c r="I61" s="1069"/>
      <c r="J61" s="1069"/>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7"/>
      <c r="B62" s="1059"/>
      <c r="C62" s="1061"/>
      <c r="D62" s="1057"/>
      <c r="E62" s="1057"/>
      <c r="F62" s="1057"/>
      <c r="G62" s="1057"/>
      <c r="H62" s="1057"/>
      <c r="I62" s="1057"/>
      <c r="J62" s="1057"/>
      <c r="K62" s="1018"/>
      <c r="L62" s="1019"/>
      <c r="M62" s="1057"/>
      <c r="N62" s="1057"/>
      <c r="O62" s="1057"/>
      <c r="P62" s="2954"/>
      <c r="Q62" s="2954"/>
      <c r="R62" s="2954"/>
      <c r="S62" s="2954"/>
      <c r="T62" s="2954"/>
      <c r="U62" s="2954"/>
      <c r="V62" s="2954"/>
      <c r="W62" s="2954"/>
      <c r="X62" s="2954"/>
      <c r="Y62" s="2954"/>
      <c r="Z62" s="2954"/>
      <c r="AA62" s="2954"/>
      <c r="AB62" s="2954"/>
      <c r="AC62" s="2954"/>
      <c r="AD62" s="2954"/>
      <c r="AE62" s="2954"/>
    </row>
    <row r="63" spans="1:31">
      <c r="A63" s="1057"/>
      <c r="B63" s="1059"/>
      <c r="C63" s="700" t="str">
        <f>YEAR(C7)&amp;"-"&amp;MONTH(C7)&amp;"-1"</f>
        <v>2021-1-1</v>
      </c>
      <c r="D63" s="700">
        <f>EDATE(C63,-3)</f>
        <v>44105</v>
      </c>
      <c r="E63" s="700">
        <f>EDATE(D63,-3)</f>
        <v>44013</v>
      </c>
      <c r="F63" s="700">
        <f t="shared" ref="F63:O63" si="18">EDATE(E63,-3)</f>
        <v>43922</v>
      </c>
      <c r="G63" s="700">
        <f t="shared" si="18"/>
        <v>43831</v>
      </c>
      <c r="H63" s="700">
        <f t="shared" si="18"/>
        <v>43739</v>
      </c>
      <c r="I63" s="700">
        <f t="shared" si="18"/>
        <v>43647</v>
      </c>
      <c r="J63" s="700">
        <f t="shared" si="18"/>
        <v>43556</v>
      </c>
      <c r="K63" s="700">
        <f t="shared" si="18"/>
        <v>43466</v>
      </c>
      <c r="L63" s="700">
        <f t="shared" si="18"/>
        <v>43374</v>
      </c>
      <c r="M63" s="700">
        <f t="shared" si="18"/>
        <v>43282</v>
      </c>
      <c r="N63" s="700">
        <f t="shared" si="18"/>
        <v>43191</v>
      </c>
      <c r="O63" s="700">
        <f t="shared" si="18"/>
        <v>43101</v>
      </c>
      <c r="P63" s="2954"/>
      <c r="Q63" s="2954"/>
      <c r="R63" s="2954"/>
      <c r="S63" s="2954"/>
      <c r="T63" s="2954"/>
      <c r="U63" s="2954"/>
      <c r="V63" s="2954"/>
      <c r="W63" s="2954"/>
      <c r="X63" s="2954"/>
      <c r="Y63" s="2954"/>
      <c r="Z63" s="2954"/>
      <c r="AA63" s="2954"/>
      <c r="AB63" s="2954"/>
      <c r="AC63" s="2954"/>
      <c r="AD63" s="2954"/>
      <c r="AE63" s="2954"/>
    </row>
    <row r="64" spans="1:31" ht="21.75" thickBot="1">
      <c r="A64" s="702" t="s">
        <v>2496</v>
      </c>
      <c r="B64" s="698"/>
      <c r="C64" s="703"/>
      <c r="D64" s="703"/>
      <c r="E64" s="703"/>
      <c r="F64" s="704"/>
      <c r="G64" s="704"/>
      <c r="H64" s="703"/>
      <c r="I64" s="703"/>
      <c r="J64" s="703"/>
      <c r="K64" s="705"/>
      <c r="L64" s="706"/>
      <c r="M64" s="703"/>
      <c r="N64" s="703"/>
      <c r="O64" s="1070"/>
      <c r="P64" s="2998"/>
      <c r="Q64" s="2968"/>
      <c r="R64" s="2954"/>
      <c r="S64" s="2954"/>
      <c r="T64" s="2954"/>
      <c r="U64" s="2954"/>
      <c r="V64" s="2954"/>
      <c r="W64" s="2954"/>
      <c r="X64" s="2954"/>
      <c r="Y64" s="2954"/>
      <c r="Z64" s="2954"/>
      <c r="AA64" s="2954"/>
      <c r="AB64" s="2954"/>
      <c r="AC64" s="2954"/>
      <c r="AD64" s="2954"/>
      <c r="AE64" s="2954"/>
    </row>
    <row r="65" spans="1:31" s="465" customFormat="1" ht="15">
      <c r="A65" s="2175" t="s">
        <v>2603</v>
      </c>
      <c r="B65" s="1267"/>
      <c r="C65" s="1342" t="str">
        <f>YEAR(C63)&amp;"-"&amp;ROUNDUP(MONTH(C63)/3,0)</f>
        <v>2021-1</v>
      </c>
      <c r="D65" s="1342" t="str">
        <f t="shared" ref="D65:O65" si="19">YEAR(D63)&amp;"-"&amp;ROUNDUP(MONTH(D63)/3,0)</f>
        <v>2020-4</v>
      </c>
      <c r="E65" s="1342" t="str">
        <f t="shared" si="19"/>
        <v>2020-3</v>
      </c>
      <c r="F65" s="1342" t="str">
        <f t="shared" si="19"/>
        <v>2020-2</v>
      </c>
      <c r="G65" s="1342" t="str">
        <f t="shared" si="19"/>
        <v>2020-1</v>
      </c>
      <c r="H65" s="1342" t="str">
        <f t="shared" si="19"/>
        <v>2019-4</v>
      </c>
      <c r="I65" s="1342" t="str">
        <f t="shared" si="19"/>
        <v>2019-3</v>
      </c>
      <c r="J65" s="1342" t="str">
        <f t="shared" si="19"/>
        <v>2019-2</v>
      </c>
      <c r="K65" s="1342" t="str">
        <f t="shared" si="19"/>
        <v>2019-1</v>
      </c>
      <c r="L65" s="1342" t="str">
        <f t="shared" si="19"/>
        <v>2018-4</v>
      </c>
      <c r="M65" s="1342" t="str">
        <f t="shared" si="19"/>
        <v>2018-3</v>
      </c>
      <c r="N65" s="1342" t="str">
        <f t="shared" si="19"/>
        <v>2018-2</v>
      </c>
      <c r="O65" s="1342" t="str">
        <f t="shared" si="19"/>
        <v>2018-1</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2623</v>
      </c>
      <c r="B66" s="294" t="str">
        <f>"北京市平均增长率"&amp;TEXT(基准地价修正!P24,"0.00%")</f>
        <v>北京市平均增长率1.19%</v>
      </c>
      <c r="C66" s="560">
        <v>100</v>
      </c>
      <c r="D66" s="552"/>
      <c r="E66" s="552"/>
      <c r="F66" s="552"/>
      <c r="G66" s="552"/>
      <c r="H66" s="552"/>
      <c r="I66" s="552"/>
      <c r="J66" s="552"/>
      <c r="K66" s="552"/>
      <c r="L66" s="552"/>
      <c r="M66" s="1338"/>
      <c r="N66" s="1338"/>
      <c r="O66" s="1340"/>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2407</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2372</v>
      </c>
      <c r="B68" s="467"/>
      <c r="C68" s="479" t="s">
        <v>2474</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4">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2410</v>
      </c>
      <c r="B70" s="485" t="s">
        <v>2376</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2379</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2380</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2381</v>
      </c>
      <c r="B83" s="485" t="s">
        <v>2527</v>
      </c>
      <c r="C83" s="530" t="s">
        <v>2419</v>
      </c>
      <c r="D83" s="530" t="s">
        <v>2420</v>
      </c>
      <c r="E83" s="530" t="s">
        <v>2421</v>
      </c>
      <c r="F83" s="530" t="s">
        <v>2422</v>
      </c>
      <c r="G83" s="530" t="s">
        <v>2423</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2424</v>
      </c>
      <c r="C85" s="535" t="s">
        <v>2419</v>
      </c>
      <c r="D85" s="535" t="s">
        <v>2420</v>
      </c>
      <c r="E85" s="535" t="s">
        <v>2421</v>
      </c>
      <c r="F85" s="535" t="s">
        <v>2422</v>
      </c>
      <c r="G85" s="535" t="s">
        <v>2423</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2419</v>
      </c>
      <c r="D87" s="530" t="s">
        <v>2420</v>
      </c>
      <c r="E87" s="530" t="s">
        <v>2421</v>
      </c>
      <c r="F87" s="530" t="s">
        <v>2422</v>
      </c>
      <c r="G87" s="530" t="s">
        <v>2423</v>
      </c>
      <c r="H87" s="535"/>
      <c r="I87" s="535"/>
      <c r="J87" s="535"/>
      <c r="K87" s="535"/>
      <c r="L87" s="653"/>
      <c r="M87" s="577"/>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2419</v>
      </c>
      <c r="D89" s="530" t="s">
        <v>2420</v>
      </c>
      <c r="E89" s="530" t="s">
        <v>2421</v>
      </c>
      <c r="F89" s="530" t="s">
        <v>2422</v>
      </c>
      <c r="G89" s="530" t="s">
        <v>2423</v>
      </c>
      <c r="H89" s="535"/>
      <c r="I89" s="535"/>
      <c r="J89" s="535"/>
      <c r="K89" s="535"/>
      <c r="L89" s="535"/>
      <c r="M89" s="577"/>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2476</v>
      </c>
      <c r="C91" s="530" t="s">
        <v>2419</v>
      </c>
      <c r="D91" s="530" t="s">
        <v>2420</v>
      </c>
      <c r="E91" s="530" t="s">
        <v>2421</v>
      </c>
      <c r="F91" s="530" t="s">
        <v>2422</v>
      </c>
      <c r="G91" s="530" t="s">
        <v>2423</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5" t="s">
        <v>2497</v>
      </c>
      <c r="D93" s="615" t="s">
        <v>2498</v>
      </c>
      <c r="E93" s="615" t="s">
        <v>2499</v>
      </c>
      <c r="F93" s="615" t="s">
        <v>2500</v>
      </c>
      <c r="G93" s="615" t="s">
        <v>2501</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2"/>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2513</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2572</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0"/>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2"/>
      <c r="H106" s="632"/>
      <c r="I106" s="632"/>
      <c r="J106" s="632"/>
      <c r="K106" s="632"/>
      <c r="L106" s="632"/>
      <c r="M106" s="654"/>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2385</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5"/>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2864</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386" t="s">
        <v>183</v>
      </c>
      <c r="B18" s="820" t="s">
        <v>560</v>
      </c>
      <c r="C18" s="821" t="s">
        <v>561</v>
      </c>
      <c r="D18" s="822"/>
      <c r="E18" s="820">
        <v>1</v>
      </c>
      <c r="F18" s="823" t="s">
        <v>562</v>
      </c>
      <c r="G18" s="824"/>
      <c r="H18" s="816"/>
      <c r="I18" s="816"/>
    </row>
    <row r="19" spans="1:9" s="825" customFormat="1" ht="19.5" customHeight="1">
      <c r="A19" s="3386"/>
      <c r="B19" s="3386" t="s">
        <v>563</v>
      </c>
      <c r="C19" s="821" t="s">
        <v>564</v>
      </c>
      <c r="D19" s="822"/>
      <c r="E19" s="820">
        <v>0.9</v>
      </c>
      <c r="F19" s="823" t="s">
        <v>565</v>
      </c>
      <c r="G19" s="824"/>
      <c r="H19" s="816"/>
      <c r="I19" s="816"/>
    </row>
    <row r="20" spans="1:9" s="825" customFormat="1" ht="19.5" customHeight="1">
      <c r="A20" s="3386"/>
      <c r="B20" s="3386"/>
      <c r="C20" s="821" t="s">
        <v>566</v>
      </c>
      <c r="D20" s="822"/>
      <c r="E20" s="820">
        <v>1.1000000000000001</v>
      </c>
      <c r="F20" s="823" t="s">
        <v>567</v>
      </c>
      <c r="G20" s="824"/>
      <c r="H20" s="816"/>
      <c r="I20" s="816"/>
    </row>
    <row r="21" spans="1:9" s="825" customFormat="1" ht="19.5" customHeight="1">
      <c r="A21" s="3386"/>
      <c r="B21" s="3386"/>
      <c r="C21" s="821" t="s">
        <v>568</v>
      </c>
      <c r="D21" s="822"/>
      <c r="E21" s="820">
        <v>0.8</v>
      </c>
      <c r="F21" s="823" t="s">
        <v>569</v>
      </c>
      <c r="G21" s="824"/>
      <c r="H21" s="816"/>
      <c r="I21" s="816"/>
    </row>
    <row r="22" spans="1:9" s="825" customFormat="1" ht="19.5" customHeight="1">
      <c r="A22" s="3386"/>
      <c r="B22" s="3386"/>
      <c r="C22" s="821" t="s">
        <v>570</v>
      </c>
      <c r="D22" s="822"/>
      <c r="E22" s="820">
        <v>0.5</v>
      </c>
      <c r="F22" s="823"/>
      <c r="G22" s="824"/>
      <c r="H22" s="816"/>
      <c r="I22" s="816"/>
    </row>
    <row r="23" spans="1:9" s="825" customFormat="1" ht="19.5" customHeight="1">
      <c r="A23" s="3386" t="s">
        <v>184</v>
      </c>
      <c r="B23" s="820" t="s">
        <v>560</v>
      </c>
      <c r="C23" s="821" t="s">
        <v>571</v>
      </c>
      <c r="D23" s="822"/>
      <c r="E23" s="820">
        <v>1</v>
      </c>
      <c r="F23" s="823" t="s">
        <v>572</v>
      </c>
      <c r="G23" s="824"/>
      <c r="H23" s="816"/>
      <c r="I23" s="816"/>
    </row>
    <row r="24" spans="1:9" s="825" customFormat="1" ht="19.5" customHeight="1">
      <c r="A24" s="3386"/>
      <c r="B24" s="3386" t="s">
        <v>563</v>
      </c>
      <c r="C24" s="821" t="s">
        <v>573</v>
      </c>
      <c r="D24" s="822"/>
      <c r="E24" s="820">
        <v>0.5</v>
      </c>
      <c r="F24" s="823"/>
      <c r="G24" s="824"/>
      <c r="H24" s="816"/>
      <c r="I24" s="816"/>
    </row>
    <row r="25" spans="1:9" s="825" customFormat="1" ht="19.5" customHeight="1">
      <c r="A25" s="3386"/>
      <c r="B25" s="3386"/>
      <c r="C25" s="821" t="s">
        <v>574</v>
      </c>
      <c r="D25" s="822"/>
      <c r="E25" s="820">
        <v>1.1000000000000001</v>
      </c>
      <c r="F25" s="823"/>
      <c r="G25" s="824"/>
      <c r="H25" s="816"/>
      <c r="I25" s="816"/>
    </row>
    <row r="26" spans="1:9" s="825" customFormat="1" ht="19.5" customHeight="1">
      <c r="A26" s="3386"/>
      <c r="B26" s="3386"/>
      <c r="C26" s="821" t="s">
        <v>575</v>
      </c>
      <c r="D26" s="822"/>
      <c r="E26" s="820">
        <v>1.1000000000000001</v>
      </c>
      <c r="F26" s="823"/>
      <c r="G26" s="824"/>
      <c r="H26" s="816"/>
      <c r="I26" s="816"/>
    </row>
    <row r="27" spans="1:9" s="825" customFormat="1" ht="19.5" customHeight="1">
      <c r="A27" s="3386"/>
      <c r="B27" s="3386"/>
      <c r="C27" s="821" t="s">
        <v>576</v>
      </c>
      <c r="D27" s="822"/>
      <c r="E27" s="820">
        <v>0.9</v>
      </c>
      <c r="F27" s="823" t="s">
        <v>577</v>
      </c>
      <c r="G27" s="824"/>
      <c r="H27" s="816"/>
      <c r="I27" s="816"/>
    </row>
    <row r="28" spans="1:9" s="825" customFormat="1" ht="19.5" customHeight="1">
      <c r="A28" s="3386"/>
      <c r="B28" s="3386"/>
      <c r="C28" s="821" t="s">
        <v>578</v>
      </c>
      <c r="D28" s="822"/>
      <c r="E28" s="820">
        <v>0.9</v>
      </c>
      <c r="F28" s="823" t="s">
        <v>579</v>
      </c>
      <c r="G28" s="824"/>
      <c r="H28" s="816"/>
      <c r="I28" s="816"/>
    </row>
    <row r="29" spans="1:9" s="825" customFormat="1" ht="19.5" customHeight="1">
      <c r="A29" s="3386"/>
      <c r="B29" s="3386"/>
      <c r="C29" s="821" t="s">
        <v>580</v>
      </c>
      <c r="D29" s="822"/>
      <c r="E29" s="820">
        <v>0.9</v>
      </c>
      <c r="F29" s="823" t="s">
        <v>581</v>
      </c>
      <c r="G29" s="824"/>
      <c r="H29" s="816"/>
      <c r="I29" s="816"/>
    </row>
    <row r="30" spans="1:9" s="825" customFormat="1" ht="19.5" customHeight="1">
      <c r="A30" s="3386"/>
      <c r="B30" s="3386"/>
      <c r="C30" s="821" t="s">
        <v>582</v>
      </c>
      <c r="D30" s="822"/>
      <c r="E30" s="820">
        <v>0.9</v>
      </c>
      <c r="F30" s="823" t="s">
        <v>583</v>
      </c>
      <c r="G30" s="824"/>
      <c r="H30" s="816"/>
      <c r="I30" s="816"/>
    </row>
    <row r="31" spans="1:9" s="825" customFormat="1" ht="19.5" customHeight="1">
      <c r="A31" s="3386"/>
      <c r="B31" s="3386"/>
      <c r="C31" s="821" t="s">
        <v>584</v>
      </c>
      <c r="D31" s="822"/>
      <c r="E31" s="820">
        <v>0.8</v>
      </c>
      <c r="F31" s="823" t="s">
        <v>585</v>
      </c>
      <c r="G31" s="824"/>
      <c r="H31" s="816"/>
      <c r="I31" s="816"/>
    </row>
    <row r="32" spans="1:9" s="825" customFormat="1" ht="19.5" customHeight="1">
      <c r="A32" s="3386"/>
      <c r="B32" s="3386"/>
      <c r="C32" s="821" t="s">
        <v>586</v>
      </c>
      <c r="D32" s="822"/>
      <c r="E32" s="820">
        <v>0.8</v>
      </c>
      <c r="F32" s="823" t="s">
        <v>587</v>
      </c>
      <c r="G32" s="824"/>
      <c r="H32" s="816"/>
      <c r="I32" s="816"/>
    </row>
    <row r="33" spans="1:9" s="825" customFormat="1" ht="19.5" customHeight="1">
      <c r="A33" s="3386" t="s">
        <v>185</v>
      </c>
      <c r="B33" s="820" t="s">
        <v>560</v>
      </c>
      <c r="C33" s="821" t="s">
        <v>588</v>
      </c>
      <c r="D33" s="822"/>
      <c r="E33" s="820">
        <v>1</v>
      </c>
      <c r="F33" s="823" t="s">
        <v>589</v>
      </c>
      <c r="G33" s="824"/>
      <c r="H33" s="816"/>
      <c r="I33" s="816"/>
    </row>
    <row r="34" spans="1:9" s="825" customFormat="1" ht="19.5" customHeight="1">
      <c r="A34" s="3386"/>
      <c r="B34" s="820" t="s">
        <v>563</v>
      </c>
      <c r="C34" s="821" t="s">
        <v>590</v>
      </c>
      <c r="D34" s="822"/>
      <c r="E34" s="820">
        <v>1.5</v>
      </c>
      <c r="F34" s="823" t="s">
        <v>591</v>
      </c>
      <c r="G34" s="824"/>
      <c r="H34" s="816"/>
      <c r="I34" s="816"/>
    </row>
    <row r="35" spans="1:9" s="825" customFormat="1" ht="19.5" customHeight="1">
      <c r="A35" s="3386" t="s">
        <v>186</v>
      </c>
      <c r="B35" s="820" t="s">
        <v>560</v>
      </c>
      <c r="C35" s="821" t="s">
        <v>592</v>
      </c>
      <c r="D35" s="822"/>
      <c r="E35" s="820">
        <v>1</v>
      </c>
      <c r="F35" s="823" t="s">
        <v>593</v>
      </c>
      <c r="G35" s="824"/>
      <c r="H35" s="816"/>
      <c r="I35" s="816"/>
    </row>
    <row r="36" spans="1:9" s="825" customFormat="1" ht="19.5" customHeight="1">
      <c r="A36" s="3386"/>
      <c r="B36" s="3386" t="s">
        <v>563</v>
      </c>
      <c r="C36" s="821" t="s">
        <v>594</v>
      </c>
      <c r="D36" s="822"/>
      <c r="E36" s="820">
        <v>1</v>
      </c>
      <c r="F36" s="823" t="s">
        <v>595</v>
      </c>
      <c r="G36" s="824"/>
      <c r="H36" s="816"/>
      <c r="I36" s="816"/>
    </row>
    <row r="37" spans="1:9" s="825" customFormat="1" ht="19.5" customHeight="1">
      <c r="A37" s="3386"/>
      <c r="B37" s="3386"/>
      <c r="C37" s="821" t="s">
        <v>596</v>
      </c>
      <c r="D37" s="822"/>
      <c r="E37" s="820">
        <v>1.5</v>
      </c>
      <c r="F37" s="823" t="s">
        <v>597</v>
      </c>
      <c r="G37" s="824"/>
      <c r="H37" s="816"/>
      <c r="I37" s="816"/>
    </row>
    <row r="38" spans="1:9" s="825" customFormat="1" ht="19.5" customHeight="1">
      <c r="A38" s="3386"/>
      <c r="B38" s="3386"/>
      <c r="C38" s="821" t="s">
        <v>598</v>
      </c>
      <c r="D38" s="822"/>
      <c r="E38" s="820">
        <v>1</v>
      </c>
      <c r="F38" s="823" t="s">
        <v>599</v>
      </c>
      <c r="G38" s="824"/>
      <c r="H38" s="816"/>
      <c r="I38" s="816"/>
    </row>
    <row r="39" spans="1:9" s="825" customFormat="1" ht="19.5" customHeight="1">
      <c r="A39" s="3386"/>
      <c r="B39" s="3386"/>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386" t="s">
        <v>614</v>
      </c>
      <c r="C61" s="756" t="s">
        <v>615</v>
      </c>
      <c r="D61" s="756" t="s">
        <v>616</v>
      </c>
      <c r="E61" s="833">
        <v>0.5</v>
      </c>
      <c r="F61" s="820">
        <v>80</v>
      </c>
    </row>
    <row r="62" spans="1:8" s="816" customFormat="1" ht="24">
      <c r="A62" s="820">
        <v>2</v>
      </c>
      <c r="B62" s="3386"/>
      <c r="C62" s="756" t="s">
        <v>617</v>
      </c>
      <c r="D62" s="756" t="s">
        <v>618</v>
      </c>
      <c r="E62" s="833">
        <v>0.5</v>
      </c>
      <c r="F62" s="820">
        <v>80</v>
      </c>
    </row>
    <row r="63" spans="1:8" s="816" customFormat="1" ht="36">
      <c r="A63" s="820">
        <v>3</v>
      </c>
      <c r="B63" s="3386"/>
      <c r="C63" s="756" t="s">
        <v>619</v>
      </c>
      <c r="D63" s="756" t="s">
        <v>620</v>
      </c>
      <c r="E63" s="833">
        <v>0.5</v>
      </c>
      <c r="F63" s="820">
        <v>80</v>
      </c>
    </row>
    <row r="64" spans="1:8" s="816" customFormat="1" ht="36">
      <c r="A64" s="820">
        <v>4</v>
      </c>
      <c r="B64" s="3386"/>
      <c r="C64" s="756" t="s">
        <v>621</v>
      </c>
      <c r="D64" s="756" t="s">
        <v>622</v>
      </c>
      <c r="E64" s="833">
        <v>0.4</v>
      </c>
      <c r="F64" s="820">
        <v>60</v>
      </c>
    </row>
    <row r="65" spans="1:6" s="816" customFormat="1" ht="36">
      <c r="A65" s="820">
        <v>5</v>
      </c>
      <c r="B65" s="3386"/>
      <c r="C65" s="756" t="s">
        <v>623</v>
      </c>
      <c r="D65" s="756" t="s">
        <v>624</v>
      </c>
      <c r="E65" s="833">
        <v>0.2</v>
      </c>
      <c r="F65" s="820">
        <v>30</v>
      </c>
    </row>
    <row r="66" spans="1:6" s="816" customFormat="1" ht="36">
      <c r="A66" s="820">
        <v>6</v>
      </c>
      <c r="B66" s="3386"/>
      <c r="C66" s="756" t="s">
        <v>625</v>
      </c>
      <c r="D66" s="756" t="s">
        <v>626</v>
      </c>
      <c r="E66" s="833">
        <v>0.3</v>
      </c>
      <c r="F66" s="820">
        <v>50</v>
      </c>
    </row>
    <row r="67" spans="1:6" s="816" customFormat="1" ht="36">
      <c r="A67" s="820">
        <v>7</v>
      </c>
      <c r="B67" s="3386"/>
      <c r="C67" s="756" t="s">
        <v>627</v>
      </c>
      <c r="D67" s="756" t="s">
        <v>628</v>
      </c>
      <c r="E67" s="833">
        <v>0.2</v>
      </c>
      <c r="F67" s="820">
        <v>30</v>
      </c>
    </row>
    <row r="68" spans="1:6" s="816" customFormat="1" ht="36">
      <c r="A68" s="820">
        <v>8</v>
      </c>
      <c r="B68" s="3386"/>
      <c r="C68" s="756" t="s">
        <v>629</v>
      </c>
      <c r="D68" s="756" t="s">
        <v>630</v>
      </c>
      <c r="E68" s="833">
        <v>0.2</v>
      </c>
      <c r="F68" s="820">
        <v>30</v>
      </c>
    </row>
    <row r="69" spans="1:6" s="816" customFormat="1" ht="36">
      <c r="A69" s="820">
        <v>9</v>
      </c>
      <c r="B69" s="3386"/>
      <c r="C69" s="756" t="s">
        <v>631</v>
      </c>
      <c r="D69" s="756" t="s">
        <v>632</v>
      </c>
      <c r="E69" s="833">
        <v>0.2</v>
      </c>
      <c r="F69" s="820">
        <v>30</v>
      </c>
    </row>
    <row r="70" spans="1:6" s="816" customFormat="1" ht="48">
      <c r="A70" s="820">
        <v>10</v>
      </c>
      <c r="B70" s="3386"/>
      <c r="C70" s="756" t="s">
        <v>633</v>
      </c>
      <c r="D70" s="756" t="s">
        <v>634</v>
      </c>
      <c r="E70" s="833">
        <v>0.2</v>
      </c>
      <c r="F70" s="820">
        <v>30</v>
      </c>
    </row>
    <row r="71" spans="1:6" s="816" customFormat="1" ht="48">
      <c r="A71" s="820">
        <v>11</v>
      </c>
      <c r="B71" s="3386"/>
      <c r="C71" s="756" t="s">
        <v>635</v>
      </c>
      <c r="D71" s="756" t="s">
        <v>636</v>
      </c>
      <c r="E71" s="833">
        <v>0.2</v>
      </c>
      <c r="F71" s="820">
        <v>30</v>
      </c>
    </row>
    <row r="72" spans="1:6" s="816" customFormat="1" ht="36">
      <c r="A72" s="820">
        <v>12</v>
      </c>
      <c r="B72" s="3386"/>
      <c r="C72" s="756" t="s">
        <v>637</v>
      </c>
      <c r="D72" s="756" t="s">
        <v>638</v>
      </c>
      <c r="E72" s="833">
        <v>0.5</v>
      </c>
      <c r="F72" s="820">
        <v>80</v>
      </c>
    </row>
    <row r="73" spans="1:6" s="816" customFormat="1" ht="24">
      <c r="A73" s="820">
        <v>13</v>
      </c>
      <c r="B73" s="3386"/>
      <c r="C73" s="756" t="s">
        <v>639</v>
      </c>
      <c r="D73" s="756" t="s">
        <v>640</v>
      </c>
      <c r="E73" s="833">
        <v>0.4</v>
      </c>
      <c r="F73" s="820">
        <v>60</v>
      </c>
    </row>
    <row r="74" spans="1:6" s="816" customFormat="1" ht="24">
      <c r="A74" s="820">
        <v>14</v>
      </c>
      <c r="B74" s="3386"/>
      <c r="C74" s="756" t="s">
        <v>641</v>
      </c>
      <c r="D74" s="756" t="s">
        <v>642</v>
      </c>
      <c r="E74" s="833">
        <v>0.2</v>
      </c>
      <c r="F74" s="820">
        <v>30</v>
      </c>
    </row>
    <row r="75" spans="1:6" s="816" customFormat="1" ht="24">
      <c r="A75" s="820">
        <v>15</v>
      </c>
      <c r="B75" s="3386"/>
      <c r="C75" s="756" t="s">
        <v>643</v>
      </c>
      <c r="D75" s="756" t="s">
        <v>644</v>
      </c>
      <c r="E75" s="833">
        <v>0.2</v>
      </c>
      <c r="F75" s="820">
        <v>30</v>
      </c>
    </row>
    <row r="76" spans="1:6" s="816" customFormat="1" ht="24">
      <c r="A76" s="820">
        <v>16</v>
      </c>
      <c r="B76" s="3386" t="s">
        <v>645</v>
      </c>
      <c r="C76" s="756" t="s">
        <v>646</v>
      </c>
      <c r="D76" s="756" t="s">
        <v>647</v>
      </c>
      <c r="E76" s="833">
        <v>0.5</v>
      </c>
      <c r="F76" s="820">
        <v>80</v>
      </c>
    </row>
    <row r="77" spans="1:6" s="816" customFormat="1" ht="24">
      <c r="A77" s="820">
        <v>17</v>
      </c>
      <c r="B77" s="3386"/>
      <c r="C77" s="756" t="s">
        <v>648</v>
      </c>
      <c r="D77" s="756" t="s">
        <v>649</v>
      </c>
      <c r="E77" s="833">
        <v>0.5</v>
      </c>
      <c r="F77" s="820">
        <v>80</v>
      </c>
    </row>
    <row r="78" spans="1:6" s="816" customFormat="1" ht="24">
      <c r="A78" s="820">
        <v>18</v>
      </c>
      <c r="B78" s="3386"/>
      <c r="C78" s="756" t="s">
        <v>650</v>
      </c>
      <c r="D78" s="756" t="s">
        <v>651</v>
      </c>
      <c r="E78" s="833">
        <v>0.2</v>
      </c>
      <c r="F78" s="820">
        <v>30</v>
      </c>
    </row>
    <row r="79" spans="1:6" s="816" customFormat="1" ht="24">
      <c r="A79" s="820">
        <v>19</v>
      </c>
      <c r="B79" s="3386"/>
      <c r="C79" s="756" t="s">
        <v>652</v>
      </c>
      <c r="D79" s="756" t="s">
        <v>653</v>
      </c>
      <c r="E79" s="833">
        <v>0.5</v>
      </c>
      <c r="F79" s="820">
        <v>80</v>
      </c>
    </row>
    <row r="80" spans="1:6" s="816" customFormat="1" ht="36">
      <c r="A80" s="820">
        <v>20</v>
      </c>
      <c r="B80" s="3386"/>
      <c r="C80" s="756" t="s">
        <v>654</v>
      </c>
      <c r="D80" s="756" t="s">
        <v>655</v>
      </c>
      <c r="E80" s="833">
        <v>0.2</v>
      </c>
      <c r="F80" s="820">
        <v>30</v>
      </c>
    </row>
    <row r="81" spans="1:6" s="816" customFormat="1" ht="36">
      <c r="A81" s="820">
        <v>21</v>
      </c>
      <c r="B81" s="3386"/>
      <c r="C81" s="756" t="s">
        <v>656</v>
      </c>
      <c r="D81" s="756" t="s">
        <v>657</v>
      </c>
      <c r="E81" s="833">
        <v>0.2</v>
      </c>
      <c r="F81" s="820">
        <v>30</v>
      </c>
    </row>
    <row r="82" spans="1:6" s="816" customFormat="1" ht="48">
      <c r="A82" s="820">
        <v>22</v>
      </c>
      <c r="B82" s="3386"/>
      <c r="C82" s="756" t="s">
        <v>658</v>
      </c>
      <c r="D82" s="756" t="s">
        <v>659</v>
      </c>
      <c r="E82" s="833">
        <v>0.2</v>
      </c>
      <c r="F82" s="820">
        <v>30</v>
      </c>
    </row>
    <row r="83" spans="1:6" s="816" customFormat="1" ht="48">
      <c r="A83" s="820">
        <v>23</v>
      </c>
      <c r="B83" s="3386"/>
      <c r="C83" s="756" t="s">
        <v>660</v>
      </c>
      <c r="D83" s="756" t="s">
        <v>661</v>
      </c>
      <c r="E83" s="833">
        <v>0.2</v>
      </c>
      <c r="F83" s="820">
        <v>30</v>
      </c>
    </row>
    <row r="84" spans="1:6" s="816" customFormat="1" ht="36">
      <c r="A84" s="820">
        <v>24</v>
      </c>
      <c r="B84" s="3386"/>
      <c r="C84" s="756" t="s">
        <v>662</v>
      </c>
      <c r="D84" s="756" t="s">
        <v>663</v>
      </c>
      <c r="E84" s="833">
        <v>0.2</v>
      </c>
      <c r="F84" s="820">
        <v>30</v>
      </c>
    </row>
    <row r="85" spans="1:6" s="816" customFormat="1" ht="36">
      <c r="A85" s="820">
        <v>25</v>
      </c>
      <c r="B85" s="3386"/>
      <c r="C85" s="756" t="s">
        <v>664</v>
      </c>
      <c r="D85" s="756" t="s">
        <v>665</v>
      </c>
      <c r="E85" s="833">
        <v>0.5</v>
      </c>
      <c r="F85" s="820">
        <v>80</v>
      </c>
    </row>
    <row r="86" spans="1:6" s="816" customFormat="1" ht="36">
      <c r="A86" s="820">
        <v>26</v>
      </c>
      <c r="B86" s="3386"/>
      <c r="C86" s="756" t="s">
        <v>666</v>
      </c>
      <c r="D86" s="756" t="s">
        <v>667</v>
      </c>
      <c r="E86" s="833">
        <v>0.2</v>
      </c>
      <c r="F86" s="820">
        <v>30</v>
      </c>
    </row>
    <row r="87" spans="1:6" s="816" customFormat="1" ht="36">
      <c r="A87" s="820">
        <v>27</v>
      </c>
      <c r="B87" s="3386"/>
      <c r="C87" s="756" t="s">
        <v>668</v>
      </c>
      <c r="D87" s="756" t="s">
        <v>669</v>
      </c>
      <c r="E87" s="833">
        <v>0.2</v>
      </c>
      <c r="F87" s="820">
        <v>30</v>
      </c>
    </row>
    <row r="88" spans="1:6" s="816" customFormat="1" ht="36">
      <c r="A88" s="820">
        <v>28</v>
      </c>
      <c r="B88" s="3386"/>
      <c r="C88" s="756" t="s">
        <v>670</v>
      </c>
      <c r="D88" s="756" t="s">
        <v>671</v>
      </c>
      <c r="E88" s="833">
        <v>0.2</v>
      </c>
      <c r="F88" s="820">
        <v>30</v>
      </c>
    </row>
    <row r="89" spans="1:6" s="816" customFormat="1" ht="24">
      <c r="A89" s="820">
        <v>29</v>
      </c>
      <c r="B89" s="3386"/>
      <c r="C89" s="756" t="s">
        <v>672</v>
      </c>
      <c r="D89" s="756" t="s">
        <v>673</v>
      </c>
      <c r="E89" s="833">
        <v>0.2</v>
      </c>
      <c r="F89" s="820">
        <v>30</v>
      </c>
    </row>
    <row r="90" spans="1:6" s="816" customFormat="1" ht="24">
      <c r="A90" s="820">
        <v>30</v>
      </c>
      <c r="B90" s="3386"/>
      <c r="C90" s="756" t="s">
        <v>674</v>
      </c>
      <c r="D90" s="756" t="s">
        <v>675</v>
      </c>
      <c r="E90" s="833">
        <v>0.2</v>
      </c>
      <c r="F90" s="820">
        <v>30</v>
      </c>
    </row>
    <row r="91" spans="1:6" s="816" customFormat="1" ht="36">
      <c r="A91" s="820">
        <v>31</v>
      </c>
      <c r="B91" s="3386"/>
      <c r="C91" s="756" t="s">
        <v>676</v>
      </c>
      <c r="D91" s="756" t="s">
        <v>677</v>
      </c>
      <c r="E91" s="833">
        <v>0.2</v>
      </c>
      <c r="F91" s="820">
        <v>30</v>
      </c>
    </row>
    <row r="92" spans="1:6" s="816" customFormat="1" ht="24">
      <c r="A92" s="820">
        <v>32</v>
      </c>
      <c r="B92" s="3386" t="s">
        <v>678</v>
      </c>
      <c r="C92" s="820" t="s">
        <v>679</v>
      </c>
      <c r="D92" s="756" t="s">
        <v>680</v>
      </c>
      <c r="E92" s="833">
        <v>0.2</v>
      </c>
      <c r="F92" s="820">
        <v>30</v>
      </c>
    </row>
    <row r="93" spans="1:6" s="816" customFormat="1" ht="36">
      <c r="A93" s="820">
        <v>33</v>
      </c>
      <c r="B93" s="3386"/>
      <c r="C93" s="820" t="s">
        <v>681</v>
      </c>
      <c r="D93" s="756" t="s">
        <v>682</v>
      </c>
      <c r="E93" s="833">
        <v>0.2</v>
      </c>
      <c r="F93" s="820">
        <v>30</v>
      </c>
    </row>
    <row r="94" spans="1:6" s="816" customFormat="1" ht="48">
      <c r="A94" s="820">
        <v>34</v>
      </c>
      <c r="B94" s="3386"/>
      <c r="C94" s="820" t="s">
        <v>683</v>
      </c>
      <c r="D94" s="756" t="s">
        <v>684</v>
      </c>
      <c r="E94" s="833">
        <v>0.2</v>
      </c>
      <c r="F94" s="820">
        <v>30</v>
      </c>
    </row>
    <row r="95" spans="1:6" s="816" customFormat="1" ht="36">
      <c r="A95" s="820">
        <v>35</v>
      </c>
      <c r="B95" s="3386"/>
      <c r="C95" s="820" t="s">
        <v>685</v>
      </c>
      <c r="D95" s="756" t="s">
        <v>686</v>
      </c>
      <c r="E95" s="833">
        <v>0.2</v>
      </c>
      <c r="F95" s="820">
        <v>30</v>
      </c>
    </row>
    <row r="96" spans="1:6" s="816" customFormat="1" ht="48">
      <c r="A96" s="820">
        <v>36</v>
      </c>
      <c r="B96" s="3386"/>
      <c r="C96" s="756" t="s">
        <v>687</v>
      </c>
      <c r="D96" s="756" t="s">
        <v>688</v>
      </c>
      <c r="E96" s="833">
        <v>0.2</v>
      </c>
      <c r="F96" s="820">
        <v>30</v>
      </c>
    </row>
    <row r="97" spans="1:6" s="816" customFormat="1" ht="36">
      <c r="A97" s="820">
        <v>37</v>
      </c>
      <c r="B97" s="3386"/>
      <c r="C97" s="820" t="s">
        <v>689</v>
      </c>
      <c r="D97" s="756" t="s">
        <v>690</v>
      </c>
      <c r="E97" s="833">
        <v>0.2</v>
      </c>
      <c r="F97" s="820">
        <v>30</v>
      </c>
    </row>
    <row r="98" spans="1:6" s="816" customFormat="1" ht="36">
      <c r="A98" s="820">
        <v>38</v>
      </c>
      <c r="B98" s="3386"/>
      <c r="C98" s="820" t="s">
        <v>691</v>
      </c>
      <c r="D98" s="756" t="s">
        <v>692</v>
      </c>
      <c r="E98" s="833">
        <v>0.2</v>
      </c>
      <c r="F98" s="820">
        <v>30</v>
      </c>
    </row>
    <row r="99" spans="1:6" s="816" customFormat="1" ht="36">
      <c r="A99" s="820">
        <v>39</v>
      </c>
      <c r="B99" s="3386" t="s">
        <v>693</v>
      </c>
      <c r="C99" s="820" t="s">
        <v>694</v>
      </c>
      <c r="D99" s="756" t="s">
        <v>695</v>
      </c>
      <c r="E99" s="833">
        <v>0.3</v>
      </c>
      <c r="F99" s="820">
        <v>50</v>
      </c>
    </row>
    <row r="100" spans="1:6" s="816" customFormat="1" ht="24">
      <c r="A100" s="820">
        <v>40</v>
      </c>
      <c r="B100" s="3386"/>
      <c r="C100" s="820" t="s">
        <v>696</v>
      </c>
      <c r="D100" s="756" t="s">
        <v>697</v>
      </c>
      <c r="E100" s="833">
        <v>0.2</v>
      </c>
      <c r="F100" s="820">
        <v>30</v>
      </c>
    </row>
    <row r="101" spans="1:6" s="816" customFormat="1" ht="36">
      <c r="A101" s="820">
        <v>41</v>
      </c>
      <c r="B101" s="3386"/>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386" t="s">
        <v>708</v>
      </c>
      <c r="C105" s="820" t="s">
        <v>709</v>
      </c>
      <c r="D105" s="756" t="s">
        <v>710</v>
      </c>
      <c r="E105" s="833">
        <v>0.2</v>
      </c>
      <c r="F105" s="820">
        <v>30</v>
      </c>
    </row>
    <row r="106" spans="1:6" s="816" customFormat="1" ht="36">
      <c r="A106" s="820">
        <v>46</v>
      </c>
      <c r="B106" s="3386"/>
      <c r="C106" s="820" t="s">
        <v>711</v>
      </c>
      <c r="D106" s="756" t="s">
        <v>712</v>
      </c>
      <c r="E106" s="833">
        <v>0.2</v>
      </c>
      <c r="F106" s="820">
        <v>30</v>
      </c>
    </row>
    <row r="107" spans="1:6" s="816" customFormat="1" ht="36">
      <c r="A107" s="820">
        <v>47</v>
      </c>
      <c r="B107" s="3386" t="s">
        <v>713</v>
      </c>
      <c r="C107" s="820" t="s">
        <v>714</v>
      </c>
      <c r="D107" s="756" t="s">
        <v>715</v>
      </c>
      <c r="E107" s="833">
        <v>0.3</v>
      </c>
      <c r="F107" s="820">
        <v>50</v>
      </c>
    </row>
    <row r="108" spans="1:6" s="816" customFormat="1" ht="36">
      <c r="A108" s="820">
        <v>48</v>
      </c>
      <c r="B108" s="3386"/>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386" t="s">
        <v>724</v>
      </c>
      <c r="C111" s="820" t="s">
        <v>725</v>
      </c>
      <c r="D111" s="756" t="s">
        <v>726</v>
      </c>
      <c r="E111" s="833">
        <v>0.2</v>
      </c>
      <c r="F111" s="820">
        <v>30</v>
      </c>
    </row>
    <row r="112" spans="1:6" s="816" customFormat="1" ht="24">
      <c r="A112" s="820">
        <v>52</v>
      </c>
      <c r="B112" s="3386"/>
      <c r="C112" s="820" t="s">
        <v>727</v>
      </c>
      <c r="D112" s="756" t="s">
        <v>728</v>
      </c>
      <c r="E112" s="833">
        <v>0.2</v>
      </c>
      <c r="F112" s="820">
        <v>30</v>
      </c>
    </row>
    <row r="113" spans="1:6" s="816" customFormat="1" ht="24">
      <c r="A113" s="820">
        <v>53</v>
      </c>
      <c r="B113" s="3386"/>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386" t="s">
        <v>737</v>
      </c>
      <c r="C116" s="820" t="s">
        <v>738</v>
      </c>
      <c r="D116" s="756" t="s">
        <v>739</v>
      </c>
      <c r="E116" s="833">
        <v>0.2</v>
      </c>
      <c r="F116" s="820">
        <v>30</v>
      </c>
    </row>
    <row r="117" spans="1:6" ht="36">
      <c r="A117" s="820">
        <v>57</v>
      </c>
      <c r="B117" s="3386"/>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1.548</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2822</v>
      </c>
      <c r="B1" s="2363"/>
      <c r="C1" s="2363"/>
      <c r="D1" s="2363"/>
      <c r="E1" s="2363"/>
      <c r="F1" s="3024"/>
      <c r="G1" s="3024"/>
      <c r="H1" s="3024"/>
      <c r="I1" s="3024"/>
      <c r="J1" s="3024"/>
      <c r="K1" s="3024"/>
      <c r="L1" s="3024"/>
      <c r="M1" s="3024"/>
      <c r="N1" s="3024"/>
      <c r="O1" s="3024"/>
      <c r="P1" s="3024"/>
    </row>
    <row r="2" spans="1:16" ht="15.75">
      <c r="A2" s="2361" t="s">
        <v>2814</v>
      </c>
      <c r="B2" s="2828" t="e">
        <f ca="1">SUMIF(B6:B13,"&lt;&gt;#ref!",B6:B13)</f>
        <v>#DIV/0!</v>
      </c>
      <c r="C2" s="2361" t="s">
        <v>2815</v>
      </c>
      <c r="D2" s="2361" t="s">
        <v>2816</v>
      </c>
      <c r="E2" s="2838">
        <f ca="1">SUMIF(E6:E13,"&lt;&gt;#ref!",E6:E13)</f>
        <v>27960.83</v>
      </c>
      <c r="F2" s="3024"/>
      <c r="G2" s="3024"/>
      <c r="H2" s="3024"/>
      <c r="I2" s="3024"/>
      <c r="J2" s="3024"/>
      <c r="K2" s="3024"/>
      <c r="L2" s="3024"/>
      <c r="M2" s="3024"/>
      <c r="N2" s="3024"/>
      <c r="O2" s="3024"/>
      <c r="P2" s="3024"/>
    </row>
    <row r="3" spans="1:16" ht="15.75">
      <c r="A3" s="2361" t="s">
        <v>2817</v>
      </c>
      <c r="B3" s="2828" t="e">
        <f ca="1">ROUND(B2*10000/E2,0)</f>
        <v>#DIV/0!</v>
      </c>
      <c r="C3" s="2361" t="s">
        <v>2823</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2818</v>
      </c>
      <c r="B5" s="2836" t="s">
        <v>2819</v>
      </c>
      <c r="C5" s="2362"/>
      <c r="D5" s="3024"/>
      <c r="E5" s="2837" t="s">
        <v>2820</v>
      </c>
      <c r="F5" s="3024"/>
      <c r="G5" s="3024"/>
      <c r="H5" s="3024"/>
      <c r="I5" s="3024"/>
      <c r="J5" s="3024"/>
      <c r="K5" s="3024"/>
      <c r="L5" s="3024"/>
      <c r="M5" s="3024"/>
      <c r="N5" s="3024"/>
      <c r="O5" s="3024"/>
      <c r="P5" s="3024"/>
    </row>
    <row r="6" spans="1:16" ht="15.75">
      <c r="A6" s="2835" t="s">
        <v>2821</v>
      </c>
      <c r="B6" s="2828" t="e">
        <f ca="1">SUMIF(INDIRECT("'"&amp;A6&amp;"'"&amp;"!A:A"),"总价",INDIRECT("'"&amp;A6&amp;"'"&amp;"!B:B"))</f>
        <v>#DIV/0!</v>
      </c>
      <c r="C6" s="2361" t="s">
        <v>2815</v>
      </c>
      <c r="D6" s="3024"/>
      <c r="E6" s="2838">
        <f ca="1">SUMIF(INDIRECT("'"&amp;A6&amp;"'"&amp;"!C:C"),"建筑面积",INDIRECT("'"&amp;A6&amp;"'"&amp;"!D:D"))</f>
        <v>27960.83</v>
      </c>
      <c r="F6" s="3024"/>
      <c r="G6" s="3024"/>
      <c r="H6" s="3024"/>
      <c r="I6" s="3024"/>
      <c r="J6" s="3024"/>
      <c r="K6" s="3024"/>
      <c r="L6" s="3024"/>
      <c r="M6" s="3024"/>
      <c r="N6" s="3024"/>
      <c r="O6" s="3024"/>
      <c r="P6" s="3024"/>
    </row>
    <row r="7" spans="1:16" ht="15.75">
      <c r="A7" s="2835"/>
      <c r="B7" s="2828" t="e">
        <f ca="1">SUMIF(INDIRECT("'"&amp;A7&amp;"'"&amp;"!A:A"),"总价",INDIRECT("'"&amp;A7&amp;"'"&amp;"!B:B"))</f>
        <v>#REF!</v>
      </c>
      <c r="C7" s="2361" t="s">
        <v>2815</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2815</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2815</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2815</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2815</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2815</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2815</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L7" sqref="L7:L33"/>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392" t="s">
        <v>1117</v>
      </c>
      <c r="C1" s="3392"/>
      <c r="D1" s="3392"/>
      <c r="E1" s="3392"/>
      <c r="F1" s="3392"/>
      <c r="G1" s="3388" t="s">
        <v>1118</v>
      </c>
      <c r="H1" s="3388"/>
      <c r="I1" s="3388"/>
      <c r="J1" s="3388"/>
      <c r="K1" s="3388"/>
      <c r="L1" s="3388"/>
      <c r="N1" s="3388" t="s">
        <v>1119</v>
      </c>
      <c r="O1" s="3388"/>
      <c r="P1" s="3388"/>
      <c r="Q1" s="3388"/>
      <c r="S1" s="3388" t="s">
        <v>1120</v>
      </c>
      <c r="T1" s="3388"/>
      <c r="U1" s="3388"/>
      <c r="V1" s="3388"/>
      <c r="X1" s="3387" t="s">
        <v>1121</v>
      </c>
      <c r="Y1" s="3388"/>
      <c r="Z1" s="3388"/>
      <c r="AA1" s="3388"/>
      <c r="AB1" s="3388"/>
      <c r="AD1" s="3387" t="s">
        <v>1122</v>
      </c>
      <c r="AE1" s="3388"/>
      <c r="AF1" s="3388"/>
      <c r="AG1" s="3388"/>
      <c r="AH1" s="3388"/>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2854</v>
      </c>
      <c r="B3" s="2395"/>
      <c r="C3" s="2395"/>
      <c r="D3" s="2396"/>
      <c r="E3" s="2396"/>
      <c r="F3" s="2395"/>
      <c r="G3" s="2397"/>
      <c r="H3" s="2398"/>
      <c r="I3" s="2399">
        <f>ROUND(AVERAGE($I4:$I33),2)</f>
        <v>1.68</v>
      </c>
      <c r="J3" s="2399">
        <f>ROUND(AVERAGE($J4:$J33),2)</f>
        <v>1.1000000000000001</v>
      </c>
      <c r="K3" s="2399">
        <f>ROUND(AVERAGE($K4:$K33),2)</f>
        <v>1.85</v>
      </c>
      <c r="L3" s="2399">
        <f>ROUND(AVERAGE($L4:$L33),2)</f>
        <v>1.19</v>
      </c>
      <c r="N3" s="2397"/>
      <c r="S3" s="2397"/>
      <c r="W3" s="2401"/>
      <c r="X3" s="2402">
        <f>ROUND(SUMPRODUCT(PRODUCT(1+N3:N$32)),4)</f>
        <v>1.571</v>
      </c>
      <c r="Y3" s="2402">
        <f>ROUND(SUMPRODUCT(PRODUCT(1+O3:O$32)),4)</f>
        <v>1.3420000000000001</v>
      </c>
      <c r="Z3" s="2402">
        <f t="shared" ref="Z3:Z30" si="0">Y3</f>
        <v>1.3420000000000001</v>
      </c>
      <c r="AA3" s="2402">
        <f>ROUND(SUMPRODUCT(PRODUCT(1+P3:P$32)),4)</f>
        <v>1.6415999999999999</v>
      </c>
      <c r="AB3" s="2402">
        <f>ROUND(SUMPRODUCT(PRODUCT(1+Q3:Q$32)),4)</f>
        <v>1.389</v>
      </c>
      <c r="AD3" s="2403">
        <f>ROUND(AVERAGE(I3:I$33)/100,4)</f>
        <v>1.6799999999999999E-2</v>
      </c>
      <c r="AE3" s="2403">
        <f>ROUND(AVERAGE(J3:J$33)/100,4)</f>
        <v>1.0999999999999999E-2</v>
      </c>
      <c r="AF3" s="2403">
        <f t="shared" ref="AF3:AF31" si="1">AE3</f>
        <v>1.0999999999999999E-2</v>
      </c>
      <c r="AG3" s="2403">
        <f>ROUND(AVERAGE(K3:K$33)/100,4)</f>
        <v>1.8499999999999999E-2</v>
      </c>
      <c r="AH3" s="2403">
        <f>ROUND(AVERAGE(L3:L$33)/100,4)</f>
        <v>1.1900000000000001E-2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3050</v>
      </c>
      <c r="B5" s="2413">
        <f t="shared" ref="B5" si="2">B6*(1+N5)</f>
        <v>483.1434279321756</v>
      </c>
      <c r="C5" s="2413">
        <f t="shared" ref="C5" si="3">C6*(1+O5)</f>
        <v>345.93622669144776</v>
      </c>
      <c r="D5" s="2413">
        <f t="shared" ref="D5" si="4">C5</f>
        <v>345.93622669144776</v>
      </c>
      <c r="E5" s="2413">
        <f t="shared" ref="E5" si="5">E6*(1+P5)</f>
        <v>694.24498562544113</v>
      </c>
      <c r="F5" s="2413">
        <f t="shared" ref="F5" si="6">F6*(1+Q5)</f>
        <v>319.35475932716082</v>
      </c>
      <c r="G5" s="3043">
        <v>2021</v>
      </c>
      <c r="H5" s="2415">
        <v>1</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2855</v>
      </c>
      <c r="X5" s="2421">
        <f>ROUND(IF(项目基本情况!B5="出让",SUMPRODUCT(PRODUCT(1+N5:N$33)),SUMPRODUCT(PRODUCT(1+N5:N$32))),4)</f>
        <v>1.571</v>
      </c>
      <c r="Y5" s="2421">
        <f>ROUND(IF(项目基本情况!B5="出让",SUMPRODUCT(PRODUCT(1+O5:O$33)),SUMPRODUCT(PRODUCT(1+O5:O$32))),4)</f>
        <v>1.3420000000000001</v>
      </c>
      <c r="Z5" s="2421">
        <f t="shared" ref="Z5" si="11">Y5</f>
        <v>1.3420000000000001</v>
      </c>
      <c r="AA5" s="2421">
        <f>ROUND(IF(项目基本情况!B5="出让",SUMPRODUCT(PRODUCT(1+P5:P$33)),SUMPRODUCT(PRODUCT(1+P5:P$32))),4)</f>
        <v>1.6415999999999999</v>
      </c>
      <c r="AB5" s="2421">
        <f>ROUND(IF(项目基本情况!B5="出让",SUMPRODUCT(PRODUCT(1+Q5:Q$33)),SUMPRODUCT(PRODUCT(1+Q5:Q$32))),4)</f>
        <v>1.389</v>
      </c>
      <c r="AD5" s="2422">
        <f>ROUND(AVERAGE(I5:I$33)/100,4)</f>
        <v>1.6799999999999999E-2</v>
      </c>
      <c r="AE5" s="2422">
        <f>ROUND(AVERAGE(J5:J$33)/100,4)</f>
        <v>1.0999999999999999E-2</v>
      </c>
      <c r="AF5" s="2422">
        <f t="shared" ref="AF5" si="12">AE5</f>
        <v>1.0999999999999999E-2</v>
      </c>
      <c r="AG5" s="2422">
        <f>ROUND(AVERAGE(K5:K$33)/100,4)</f>
        <v>1.8499999999999999E-2</v>
      </c>
      <c r="AH5" s="2422">
        <f>ROUND(AVERAGE(L5:L$33)/100,4)</f>
        <v>1.1900000000000001E-2</v>
      </c>
    </row>
    <row r="6" spans="1:34" s="2430" customFormat="1">
      <c r="A6" s="2423" t="s">
        <v>3051</v>
      </c>
      <c r="B6" s="2424">
        <f t="shared" ref="B6" si="13">B7*(1+N6)</f>
        <v>483.1434279321756</v>
      </c>
      <c r="C6" s="2424">
        <f t="shared" ref="C6" si="14">C7*(1+O6)</f>
        <v>345.93622669144776</v>
      </c>
      <c r="D6" s="2424">
        <f t="shared" ref="D6" si="15">C6</f>
        <v>345.93622669144776</v>
      </c>
      <c r="E6" s="2424">
        <f t="shared" ref="E6" si="16">E7*(1+P6)</f>
        <v>694.24498562544113</v>
      </c>
      <c r="F6" s="2424">
        <f t="shared" ref="F6" si="17">F7*(1+Q6)</f>
        <v>319.35475932716082</v>
      </c>
      <c r="G6" s="3043">
        <v>2020</v>
      </c>
      <c r="H6" s="2425">
        <v>4</v>
      </c>
      <c r="I6" s="2387">
        <v>0</v>
      </c>
      <c r="J6" s="2387">
        <v>0</v>
      </c>
      <c r="K6" s="2387">
        <v>0</v>
      </c>
      <c r="L6" s="2388">
        <v>0</v>
      </c>
      <c r="M6" s="2410"/>
      <c r="N6" s="2426">
        <f t="shared" ref="N6" si="18">I6/100</f>
        <v>0</v>
      </c>
      <c r="O6" s="2411">
        <f t="shared" ref="O6" si="19">J6/100</f>
        <v>0</v>
      </c>
      <c r="P6" s="2411">
        <f t="shared" ref="P6" si="20">K6/100</f>
        <v>0</v>
      </c>
      <c r="Q6" s="2411">
        <f t="shared" ref="Q6" si="21">L6/100</f>
        <v>0</v>
      </c>
      <c r="R6" s="2427"/>
      <c r="S6" s="2426"/>
      <c r="T6" s="2411"/>
      <c r="U6" s="2411"/>
      <c r="V6" s="2411"/>
      <c r="W6" s="2428"/>
      <c r="X6" s="2428">
        <f>ROUND(IF(项目基本情况!B6="出让",SUMPRODUCT(PRODUCT(1+N6:N$33)),SUMPRODUCT(PRODUCT(1+N6:N$32))),4)</f>
        <v>1.571</v>
      </c>
      <c r="Y6" s="2428">
        <f>ROUND(IF(项目基本情况!B6="出让",SUMPRODUCT(PRODUCT(1+O6:O$33)),SUMPRODUCT(PRODUCT(1+O6:O$32))),4)</f>
        <v>1.3420000000000001</v>
      </c>
      <c r="Z6" s="2428">
        <f t="shared" ref="Z6" si="22">Y6</f>
        <v>1.3420000000000001</v>
      </c>
      <c r="AA6" s="2428">
        <f>ROUND(IF(项目基本情况!B6="出让",SUMPRODUCT(PRODUCT(1+P6:P$33)),SUMPRODUCT(PRODUCT(1+P6:P$32))),4)</f>
        <v>1.6415999999999999</v>
      </c>
      <c r="AB6" s="2428">
        <f>ROUND(IF(项目基本情况!B6="出让",SUMPRODUCT(PRODUCT(1+Q6:Q$33)),SUMPRODUCT(PRODUCT(1+Q6:Q$32))),4)</f>
        <v>1.389</v>
      </c>
      <c r="AC6" s="2428"/>
      <c r="AD6" s="2429">
        <f>ROUND(AVERAGE(I6:I$33)/100,4)</f>
        <v>1.7399999999999999E-2</v>
      </c>
      <c r="AE6" s="2429">
        <f>ROUND(AVERAGE(J6:J$33)/100,4)</f>
        <v>1.14E-2</v>
      </c>
      <c r="AF6" s="2429">
        <f t="shared" ref="AF6" si="23">AE6</f>
        <v>1.14E-2</v>
      </c>
      <c r="AG6" s="2429">
        <f>ROUND(AVERAGE(K6:K$33)/100,4)</f>
        <v>1.9199999999999998E-2</v>
      </c>
      <c r="AH6" s="2429">
        <f>ROUND(AVERAGE(L6:L$33)/100,4)</f>
        <v>1.23E-2</v>
      </c>
    </row>
    <row r="7" spans="1:34" s="2430" customFormat="1">
      <c r="A7" s="2423" t="s">
        <v>3049</v>
      </c>
      <c r="B7" s="2424">
        <f t="shared" ref="B7" si="24">B8*(1+N7)</f>
        <v>483.1434279321756</v>
      </c>
      <c r="C7" s="2424">
        <f t="shared" ref="C7" si="25">C8*(1+O7)</f>
        <v>345.93622669144776</v>
      </c>
      <c r="D7" s="2424">
        <f t="shared" ref="D7" si="26">C7</f>
        <v>345.93622669144776</v>
      </c>
      <c r="E7" s="2424">
        <f t="shared" ref="E7" si="27">E8*(1+P7)</f>
        <v>694.24498562544113</v>
      </c>
      <c r="F7" s="2424">
        <f t="shared" ref="F7" si="28">F8*(1+Q7)</f>
        <v>319.35475932716082</v>
      </c>
      <c r="G7" s="3040">
        <v>2020</v>
      </c>
      <c r="H7" s="2425">
        <v>3</v>
      </c>
      <c r="I7" s="2387">
        <v>0.36</v>
      </c>
      <c r="J7" s="2387">
        <v>-0.39</v>
      </c>
      <c r="K7" s="2387">
        <v>0.49</v>
      </c>
      <c r="L7" s="2388">
        <v>7.0000000000000007E-2</v>
      </c>
      <c r="M7" s="2410"/>
      <c r="N7" s="2426">
        <f t="shared" ref="N7" si="29">I7/100</f>
        <v>3.5999999999999999E-3</v>
      </c>
      <c r="O7" s="2411">
        <f t="shared" ref="O7" si="30">J7/100</f>
        <v>-3.9000000000000003E-3</v>
      </c>
      <c r="P7" s="2411">
        <f t="shared" ref="P7" si="31">K7/100</f>
        <v>4.8999999999999998E-3</v>
      </c>
      <c r="Q7" s="2411">
        <f t="shared" ref="Q7" si="32">L7/100</f>
        <v>7.000000000000001E-4</v>
      </c>
      <c r="R7" s="2427"/>
      <c r="S7" s="2426"/>
      <c r="T7" s="2411"/>
      <c r="U7" s="2411"/>
      <c r="V7" s="2411"/>
      <c r="W7" s="2428"/>
      <c r="X7" s="2428">
        <f>ROUND(IF(项目基本情况!B7="出让",SUMPRODUCT(PRODUCT(1+N7:N$33)),SUMPRODUCT(PRODUCT(1+N7:N$32))),4)</f>
        <v>1.571</v>
      </c>
      <c r="Y7" s="2428">
        <f>ROUND(IF(项目基本情况!B7="出让",SUMPRODUCT(PRODUCT(1+O7:O$33)),SUMPRODUCT(PRODUCT(1+O7:O$32))),4)</f>
        <v>1.3420000000000001</v>
      </c>
      <c r="Z7" s="2428">
        <f t="shared" ref="Z7" si="33">Y7</f>
        <v>1.3420000000000001</v>
      </c>
      <c r="AA7" s="2428">
        <f>ROUND(IF(项目基本情况!B7="出让",SUMPRODUCT(PRODUCT(1+P7:P$33)),SUMPRODUCT(PRODUCT(1+P7:P$32))),4)</f>
        <v>1.6415999999999999</v>
      </c>
      <c r="AB7" s="2428">
        <f>ROUND(IF(项目基本情况!B7="出让",SUMPRODUCT(PRODUCT(1+Q7:Q$33)),SUMPRODUCT(PRODUCT(1+Q7:Q$32))),4)</f>
        <v>1.389</v>
      </c>
      <c r="AC7" s="2428"/>
      <c r="AD7" s="2429">
        <f>ROUND(AVERAGE(I7:I$33)/100,4)</f>
        <v>1.8100000000000002E-2</v>
      </c>
      <c r="AE7" s="2429">
        <f>ROUND(AVERAGE(J7:J$33)/100,4)</f>
        <v>1.1900000000000001E-2</v>
      </c>
      <c r="AF7" s="2429">
        <f t="shared" ref="AF7" si="34">AE7</f>
        <v>1.1900000000000001E-2</v>
      </c>
      <c r="AG7" s="2429">
        <f>ROUND(AVERAGE(K7:K$33)/100,4)</f>
        <v>1.9900000000000001E-2</v>
      </c>
      <c r="AH7" s="2429">
        <f>ROUND(AVERAGE(L7:L$33)/100,4)</f>
        <v>1.2800000000000001E-2</v>
      </c>
    </row>
    <row r="8" spans="1:34" s="2430" customFormat="1">
      <c r="A8" s="2423" t="s">
        <v>2871</v>
      </c>
      <c r="B8" s="2424">
        <f t="shared" ref="B8" si="35">B9*(1+N8)</f>
        <v>481.4103506697644</v>
      </c>
      <c r="C8" s="2424">
        <f t="shared" ref="C8" si="36">C9*(1+O8)</f>
        <v>347.29066026648707</v>
      </c>
      <c r="D8" s="2424">
        <f t="shared" ref="D8" si="37">C8</f>
        <v>347.29066026648707</v>
      </c>
      <c r="E8" s="2424">
        <f t="shared" ref="E8" si="38">E9*(1+P8)</f>
        <v>690.85977273901995</v>
      </c>
      <c r="F8" s="2424">
        <f t="shared" ref="F8" si="39">F9*(1+Q8)</f>
        <v>319.13136737000184</v>
      </c>
      <c r="G8" s="2414">
        <v>2020</v>
      </c>
      <c r="H8" s="2425">
        <v>2</v>
      </c>
      <c r="I8" s="2387">
        <v>0.31</v>
      </c>
      <c r="J8" s="2387">
        <v>-0.78</v>
      </c>
      <c r="K8" s="2387">
        <v>0.5</v>
      </c>
      <c r="L8" s="2388">
        <v>0.47</v>
      </c>
      <c r="M8" s="2410"/>
      <c r="N8" s="2426">
        <f t="shared" ref="N8" si="40">I8/100</f>
        <v>3.0999999999999999E-3</v>
      </c>
      <c r="O8" s="2411">
        <f t="shared" ref="O8" si="41">J8/100</f>
        <v>-7.8000000000000005E-3</v>
      </c>
      <c r="P8" s="2411">
        <f t="shared" ref="P8" si="42">K8/100</f>
        <v>5.0000000000000001E-3</v>
      </c>
      <c r="Q8" s="2411">
        <f t="shared" ref="Q8" si="43">L8/100</f>
        <v>4.6999999999999993E-3</v>
      </c>
      <c r="R8" s="2427"/>
      <c r="S8" s="2426"/>
      <c r="T8" s="2411"/>
      <c r="U8" s="2411"/>
      <c r="V8" s="2411"/>
      <c r="W8" s="2428"/>
      <c r="X8" s="2428">
        <f>ROUND(IF(项目基本情况!B8="出让",SUMPRODUCT(PRODUCT(1+N8:N$33)),SUMPRODUCT(PRODUCT(1+N8:N$32))),4)</f>
        <v>1.5652999999999999</v>
      </c>
      <c r="Y8" s="2428">
        <f>ROUND(IF(项目基本情况!B8="出让",SUMPRODUCT(PRODUCT(1+O8:O$33)),SUMPRODUCT(PRODUCT(1+O8:O$32))),4)</f>
        <v>1.3472</v>
      </c>
      <c r="Z8" s="2428">
        <f t="shared" ref="Z8" si="44">Y8</f>
        <v>1.3472</v>
      </c>
      <c r="AA8" s="2428">
        <f>ROUND(IF(项目基本情况!B8="出让",SUMPRODUCT(PRODUCT(1+P8:P$33)),SUMPRODUCT(PRODUCT(1+P8:P$32))),4)</f>
        <v>1.6335999999999999</v>
      </c>
      <c r="AB8" s="2428">
        <f>ROUND(IF(项目基本情况!B8="出让",SUMPRODUCT(PRODUCT(1+Q8:Q$33)),SUMPRODUCT(PRODUCT(1+Q8:Q$32))),4)</f>
        <v>1.3880999999999999</v>
      </c>
      <c r="AC8" s="2428"/>
      <c r="AD8" s="2429">
        <f>ROUND(AVERAGE(I8:I$33)/100,4)</f>
        <v>1.8599999999999998E-2</v>
      </c>
      <c r="AE8" s="2429">
        <f>ROUND(AVERAGE(J8:J$33)/100,4)</f>
        <v>1.2500000000000001E-2</v>
      </c>
      <c r="AF8" s="2429">
        <f t="shared" ref="AF8" si="45">AE8</f>
        <v>1.2500000000000001E-2</v>
      </c>
      <c r="AG8" s="2429">
        <f>ROUND(AVERAGE(K8:K$33)/100,4)</f>
        <v>2.0400000000000001E-2</v>
      </c>
      <c r="AH8" s="2429">
        <f>ROUND(AVERAGE(L8:L$33)/100,4)</f>
        <v>1.32E-2</v>
      </c>
    </row>
    <row r="9" spans="1:34" s="2430" customFormat="1">
      <c r="A9" s="2423" t="s">
        <v>2869</v>
      </c>
      <c r="B9" s="2424">
        <f t="shared" ref="B9" si="46">B10*(1+N9)</f>
        <v>479.92259063878413</v>
      </c>
      <c r="C9" s="2424">
        <f t="shared" ref="C9" si="47">C10*(1+O9)</f>
        <v>350.02082268341775</v>
      </c>
      <c r="D9" s="2424">
        <f t="shared" ref="D9" si="48">C9</f>
        <v>350.02082268341775</v>
      </c>
      <c r="E9" s="2424">
        <f t="shared" ref="E9" si="49">E10*(1+P9)</f>
        <v>687.42265944181099</v>
      </c>
      <c r="F9" s="2424">
        <f t="shared" ref="F9" si="50">F10*(1+Q9)</f>
        <v>317.63846657708956</v>
      </c>
      <c r="G9" s="2414">
        <v>2020</v>
      </c>
      <c r="H9" s="2425">
        <v>1</v>
      </c>
      <c r="I9" s="2387">
        <v>0.12</v>
      </c>
      <c r="J9" s="2387">
        <v>-0.4</v>
      </c>
      <c r="K9" s="2387">
        <v>0.21</v>
      </c>
      <c r="L9" s="2388">
        <v>0.27</v>
      </c>
      <c r="M9" s="2410"/>
      <c r="N9" s="2426">
        <f t="shared" ref="N9" si="51">I9/100</f>
        <v>1.1999999999999999E-3</v>
      </c>
      <c r="O9" s="2411">
        <f t="shared" ref="O9" si="52">J9/100</f>
        <v>-4.0000000000000001E-3</v>
      </c>
      <c r="P9" s="2411">
        <f t="shared" ref="P9" si="53">K9/100</f>
        <v>2.0999999999999999E-3</v>
      </c>
      <c r="Q9" s="2411">
        <f t="shared" ref="Q9" si="54">L9/100</f>
        <v>2.7000000000000001E-3</v>
      </c>
      <c r="R9" s="2427"/>
      <c r="S9" s="2426">
        <f>B9/B10-1</f>
        <v>1.2000000000000899E-3</v>
      </c>
      <c r="T9" s="2411">
        <f t="shared" ref="T9" si="55">C9/C10-1</f>
        <v>-4.0000000000000036E-3</v>
      </c>
      <c r="U9" s="2411">
        <f t="shared" ref="U9" si="56">D9/D10-1</f>
        <v>-4.0000000000000036E-3</v>
      </c>
      <c r="V9" s="2411">
        <f t="shared" ref="V9" si="57">E9/E10-1</f>
        <v>2.0999999999999908E-3</v>
      </c>
      <c r="W9" s="2428"/>
      <c r="X9" s="2428">
        <f>ROUND(IF(项目基本情况!B8="出让",SUMPRODUCT(PRODUCT(1+N9:N$33)),SUMPRODUCT(PRODUCT(1+N9:N$32))),4)</f>
        <v>1.5605</v>
      </c>
      <c r="Y9" s="2428">
        <f>ROUND(IF(项目基本情况!B8="出让",SUMPRODUCT(PRODUCT(1+O9:O$33)),SUMPRODUCT(PRODUCT(1+O9:O$32))),4)</f>
        <v>1.3577999999999999</v>
      </c>
      <c r="Z9" s="2428">
        <f t="shared" ref="Z9" si="58">Y9</f>
        <v>1.3577999999999999</v>
      </c>
      <c r="AA9" s="2428">
        <f>ROUND(IF(项目基本情况!B8="出让",SUMPRODUCT(PRODUCT(1+P9:P$33)),SUMPRODUCT(PRODUCT(1+P9:P$32))),4)</f>
        <v>1.6254999999999999</v>
      </c>
      <c r="AB9" s="2428">
        <f>ROUND(IF(项目基本情况!B8="出让",SUMPRODUCT(PRODUCT(1+Q9:Q$33)),SUMPRODUCT(PRODUCT(1+Q9:Q$32))),4)</f>
        <v>1.3815999999999999</v>
      </c>
      <c r="AC9" s="2428"/>
      <c r="AD9" s="2429">
        <f>ROUND(AVERAGE(I9:I$33)/100,4)</f>
        <v>1.9199999999999998E-2</v>
      </c>
      <c r="AE9" s="2429">
        <f>ROUND(AVERAGE(J9:J$33)/100,4)</f>
        <v>1.3299999999999999E-2</v>
      </c>
      <c r="AF9" s="2429">
        <f t="shared" ref="AF9" si="59">AE9</f>
        <v>1.3299999999999999E-2</v>
      </c>
      <c r="AG9" s="2429">
        <f>ROUND(AVERAGE(K9:K$33)/100,4)</f>
        <v>2.1100000000000001E-2</v>
      </c>
      <c r="AH9" s="2429">
        <f>ROUND(AVERAGE(L9:L$33)/100,4)</f>
        <v>1.3599999999999999E-2</v>
      </c>
    </row>
    <row r="10" spans="1:34" s="2430" customFormat="1">
      <c r="A10" s="2423" t="s">
        <v>2868</v>
      </c>
      <c r="B10" s="2424">
        <f t="shared" ref="B10" si="60">B11*(1+N10)</f>
        <v>479.34737379023579</v>
      </c>
      <c r="C10" s="2424">
        <f t="shared" ref="C10" si="61">C11*(1+O10)</f>
        <v>351.4265287986122</v>
      </c>
      <c r="D10" s="2424">
        <f t="shared" ref="D10" si="62">C10</f>
        <v>351.4265287986122</v>
      </c>
      <c r="E10" s="2424">
        <f t="shared" ref="E10" si="63">E11*(1+P10)</f>
        <v>685.98209703803116</v>
      </c>
      <c r="F10" s="2424">
        <f t="shared" ref="F10" si="64">F11*(1+Q10)</f>
        <v>316.78315206651001</v>
      </c>
      <c r="G10" s="2414">
        <v>2019</v>
      </c>
      <c r="H10" s="2425">
        <v>4</v>
      </c>
      <c r="I10" s="2425">
        <v>0.45</v>
      </c>
      <c r="J10" s="2425">
        <v>-0.12</v>
      </c>
      <c r="K10" s="2425">
        <v>0.54</v>
      </c>
      <c r="L10" s="2431">
        <v>0.48</v>
      </c>
      <c r="M10" s="2410"/>
      <c r="N10" s="2426">
        <f t="shared" ref="N10:N15" si="65">I10/100</f>
        <v>4.5000000000000005E-3</v>
      </c>
      <c r="O10" s="2411">
        <f t="shared" ref="O10" si="66">J10/100</f>
        <v>-1.1999999999999999E-3</v>
      </c>
      <c r="P10" s="2411">
        <f t="shared" ref="P10" si="67">K10/100</f>
        <v>5.4000000000000003E-3</v>
      </c>
      <c r="Q10" s="2411">
        <f t="shared" ref="Q10" si="68">L10/100</f>
        <v>4.7999999999999996E-3</v>
      </c>
      <c r="R10" s="2427"/>
      <c r="S10" s="2426"/>
      <c r="T10" s="2411"/>
      <c r="U10" s="2411"/>
      <c r="V10" s="2411"/>
      <c r="W10" s="2428"/>
      <c r="X10" s="2428">
        <f>ROUND(IF(项目基本情况!B8="出让",SUMPRODUCT(PRODUCT(1+N10:N$33)),SUMPRODUCT(PRODUCT(1+N10:N$32))),4)</f>
        <v>1.5586</v>
      </c>
      <c r="Y10" s="2428">
        <f>ROUND(IF(项目基本情况!B8="出让",SUMPRODUCT(PRODUCT(1+O10:O$33)),SUMPRODUCT(PRODUCT(1+O10:O$32))),4)</f>
        <v>1.3633</v>
      </c>
      <c r="Z10" s="2428">
        <f t="shared" ref="Z10" si="69">Y10</f>
        <v>1.3633</v>
      </c>
      <c r="AA10" s="2428">
        <f>ROUND(IF(项目基本情况!B8="出让",SUMPRODUCT(PRODUCT(1+P10:P$33)),SUMPRODUCT(PRODUCT(1+P10:P$32))),4)</f>
        <v>1.6221000000000001</v>
      </c>
      <c r="AB10" s="2428">
        <f>ROUND(IF(项目基本情况!B8="出让",SUMPRODUCT(PRODUCT(1+Q10:Q$33)),SUMPRODUCT(PRODUCT(1+Q10:Q$32))),4)</f>
        <v>1.3777999999999999</v>
      </c>
      <c r="AC10" s="2428"/>
      <c r="AD10" s="2429">
        <f>ROUND(AVERAGE(I10:I$33)/100,4)</f>
        <v>0.02</v>
      </c>
      <c r="AE10" s="2429">
        <f>ROUND(AVERAGE(J10:J$33)/100,4)</f>
        <v>1.4E-2</v>
      </c>
      <c r="AF10" s="2429">
        <f t="shared" ref="AF10" si="70">AE10</f>
        <v>1.4E-2</v>
      </c>
      <c r="AG10" s="2429">
        <f>ROUND(AVERAGE(K10:K$33)/100,4)</f>
        <v>2.1899999999999999E-2</v>
      </c>
      <c r="AH10" s="2429">
        <f>ROUND(AVERAGE(L10:L$33)/100,4)</f>
        <v>1.4E-2</v>
      </c>
    </row>
    <row r="11" spans="1:34" s="2430" customFormat="1" ht="13.5" thickBot="1">
      <c r="A11" s="2423" t="s">
        <v>2867</v>
      </c>
      <c r="B11" s="2424">
        <f t="shared" ref="B11" si="71">B12*(1+N11)</f>
        <v>477.19997390765138</v>
      </c>
      <c r="C11" s="2424">
        <f t="shared" ref="C11" si="72">C12*(1+O11)</f>
        <v>351.84874729536665</v>
      </c>
      <c r="D11" s="2424">
        <f t="shared" ref="D11" si="73">C11</f>
        <v>351.84874729536665</v>
      </c>
      <c r="E11" s="2424">
        <f t="shared" ref="E11" si="74">E12*(1+P11)</f>
        <v>682.29768951465201</v>
      </c>
      <c r="F11" s="2424">
        <f t="shared" ref="F11" si="75">F12*(1+Q11)</f>
        <v>315.26985675409043</v>
      </c>
      <c r="G11" s="2414">
        <v>2019</v>
      </c>
      <c r="H11" s="2425">
        <v>3</v>
      </c>
      <c r="I11" s="2425">
        <v>0.61</v>
      </c>
      <c r="J11" s="2425">
        <v>0.67</v>
      </c>
      <c r="K11" s="2425">
        <v>0.6</v>
      </c>
      <c r="L11" s="2431">
        <v>1.03</v>
      </c>
      <c r="M11" s="2410"/>
      <c r="N11" s="2426">
        <f t="shared" si="65"/>
        <v>6.0999999999999995E-3</v>
      </c>
      <c r="O11" s="2411">
        <f t="shared" ref="O11" si="76">J11/100</f>
        <v>6.7000000000000002E-3</v>
      </c>
      <c r="P11" s="2411">
        <f t="shared" ref="P11" si="77">K11/100</f>
        <v>6.0000000000000001E-3</v>
      </c>
      <c r="Q11" s="2411">
        <f t="shared" ref="Q11" si="78">L11/100</f>
        <v>1.03E-2</v>
      </c>
      <c r="R11" s="2427"/>
      <c r="S11" s="2426"/>
      <c r="T11" s="2411"/>
      <c r="U11" s="2411"/>
      <c r="V11" s="2411"/>
      <c r="W11" s="2428"/>
      <c r="X11" s="2428">
        <f>ROUND(IF(项目基本情况!B8="出让",SUMPRODUCT(PRODUCT(1+N11:N$33)),SUMPRODUCT(PRODUCT(1+N11:N$32))),4)</f>
        <v>1.5516000000000001</v>
      </c>
      <c r="Y11" s="2428">
        <f>ROUND(IF(项目基本情况!B8="出让",SUMPRODUCT(PRODUCT(1+O11:O$33)),SUMPRODUCT(PRODUCT(1+O11:O$32))),4)</f>
        <v>1.3649</v>
      </c>
      <c r="Z11" s="2428">
        <f t="shared" ref="Z11" si="79">Y11</f>
        <v>1.3649</v>
      </c>
      <c r="AA11" s="2428">
        <f>ROUND(IF(项目基本情况!B8="出让",SUMPRODUCT(PRODUCT(1+P11:P$33)),SUMPRODUCT(PRODUCT(1+P11:P$32))),4)</f>
        <v>1.6133999999999999</v>
      </c>
      <c r="AB11" s="2428">
        <f>ROUND(IF(项目基本情况!B8="出让",SUMPRODUCT(PRODUCT(1+Q11:Q$33)),SUMPRODUCT(PRODUCT(1+Q11:Q$32))),4)</f>
        <v>1.3713</v>
      </c>
      <c r="AC11" s="2428"/>
      <c r="AD11" s="2429">
        <f>ROUND(AVERAGE(I11:I$33)/100,4)</f>
        <v>2.07E-2</v>
      </c>
      <c r="AE11" s="2429">
        <f>ROUND(AVERAGE(J11:J$33)/100,4)</f>
        <v>1.47E-2</v>
      </c>
      <c r="AF11" s="2429">
        <f t="shared" ref="AF11" si="80">AE11</f>
        <v>1.47E-2</v>
      </c>
      <c r="AG11" s="2429">
        <f>ROUND(AVERAGE(K11:K$33)/100,4)</f>
        <v>2.2599999999999999E-2</v>
      </c>
      <c r="AH11" s="2429">
        <f>ROUND(AVERAGE(L11:L$33)/100,4)</f>
        <v>1.44E-2</v>
      </c>
    </row>
    <row r="12" spans="1:34" s="2430" customFormat="1">
      <c r="A12" s="2423" t="s">
        <v>2865</v>
      </c>
      <c r="B12" s="2424">
        <f t="shared" ref="B12" si="81">B13*(1+N12)</f>
        <v>474.30670301923408</v>
      </c>
      <c r="C12" s="2424">
        <f t="shared" ref="C12" si="82">C13*(1+O12)</f>
        <v>349.50705005996491</v>
      </c>
      <c r="D12" s="2424">
        <f t="shared" ref="D12" si="83">C12</f>
        <v>349.50705005996491</v>
      </c>
      <c r="E12" s="2424">
        <f t="shared" ref="E12" si="84">E13*(1+P12)</f>
        <v>678.22831959706957</v>
      </c>
      <c r="F12" s="2424">
        <f t="shared" ref="F12" si="85">F13*(1+Q12)</f>
        <v>312.0556832169558</v>
      </c>
      <c r="G12" s="2414">
        <v>2019</v>
      </c>
      <c r="H12" s="2432">
        <v>2</v>
      </c>
      <c r="I12" s="2432">
        <v>1.53</v>
      </c>
      <c r="J12" s="2432">
        <v>1.01</v>
      </c>
      <c r="K12" s="2432">
        <v>1.62</v>
      </c>
      <c r="L12" s="2433">
        <v>1.25</v>
      </c>
      <c r="M12" s="2410"/>
      <c r="N12" s="2426">
        <f t="shared" si="65"/>
        <v>1.5300000000000001E-2</v>
      </c>
      <c r="O12" s="2411">
        <f t="shared" ref="O12" si="86">J12/100</f>
        <v>1.01E-2</v>
      </c>
      <c r="P12" s="2411">
        <f t="shared" ref="P12" si="87">K12/100</f>
        <v>1.6200000000000003E-2</v>
      </c>
      <c r="Q12" s="2411">
        <f t="shared" ref="Q12" si="88">L12/100</f>
        <v>1.2500000000000001E-2</v>
      </c>
      <c r="R12" s="2427"/>
      <c r="S12" s="2426"/>
      <c r="T12" s="2411"/>
      <c r="U12" s="2411"/>
      <c r="V12" s="2411"/>
      <c r="W12" s="2428"/>
      <c r="X12" s="2428">
        <f>ROUND(IF(项目基本情况!B8="出让",SUMPRODUCT(PRODUCT(1+N12:N$33)),SUMPRODUCT(PRODUCT(1+N12:N$32))),4)</f>
        <v>1.5422</v>
      </c>
      <c r="Y12" s="2428">
        <f>ROUND(IF(项目基本情况!B8="出让",SUMPRODUCT(PRODUCT(1+O12:O$33)),SUMPRODUCT(PRODUCT(1+O12:O$32))),4)</f>
        <v>1.3557999999999999</v>
      </c>
      <c r="Z12" s="2428">
        <f t="shared" ref="Z12" si="89">Y12</f>
        <v>1.3557999999999999</v>
      </c>
      <c r="AA12" s="2428">
        <f>ROUND(IF(项目基本情况!B8="出让",SUMPRODUCT(PRODUCT(1+P12:P$33)),SUMPRODUCT(PRODUCT(1+P12:P$32))),4)</f>
        <v>1.6036999999999999</v>
      </c>
      <c r="AB12" s="2428">
        <f>ROUND(IF(项目基本情况!B8="出让",SUMPRODUCT(PRODUCT(1+Q12:Q$33)),SUMPRODUCT(PRODUCT(1+Q12:Q$32))),4)</f>
        <v>1.3573</v>
      </c>
      <c r="AC12" s="2428"/>
      <c r="AD12" s="2429">
        <f>ROUND(AVERAGE(I12:I$33)/100,4)</f>
        <v>2.1299999999999999E-2</v>
      </c>
      <c r="AE12" s="2429">
        <f>ROUND(AVERAGE(J12:J$33)/100,4)</f>
        <v>1.4999999999999999E-2</v>
      </c>
      <c r="AF12" s="2429">
        <f t="shared" ref="AF12" si="90">AE12</f>
        <v>1.4999999999999999E-2</v>
      </c>
      <c r="AG12" s="2429">
        <f>ROUND(AVERAGE(K12:K$33)/100,4)</f>
        <v>2.3300000000000001E-2</v>
      </c>
      <c r="AH12" s="2429">
        <f>ROUND(AVERAGE(L12:L$33)/100,4)</f>
        <v>1.46E-2</v>
      </c>
    </row>
    <row r="13" spans="1:34" s="2430" customFormat="1" ht="13.5" thickBot="1">
      <c r="A13" s="2423" t="s">
        <v>2863</v>
      </c>
      <c r="B13" s="2424">
        <f t="shared" ref="B13" si="91">B14*(1+N13)</f>
        <v>467.15916775261894</v>
      </c>
      <c r="C13" s="2424">
        <f t="shared" ref="C13" si="92">C14*(1+O13)</f>
        <v>346.01232557169084</v>
      </c>
      <c r="D13" s="2424">
        <f t="shared" ref="D13" si="93">C13</f>
        <v>346.01232557169084</v>
      </c>
      <c r="E13" s="2424">
        <f t="shared" ref="E13" si="94">E14*(1+P13)</f>
        <v>667.41617752122568</v>
      </c>
      <c r="F13" s="2424">
        <f t="shared" ref="F13" si="95">F14*(1+Q13)</f>
        <v>308.20314391798104</v>
      </c>
      <c r="G13" s="2414">
        <v>2019</v>
      </c>
      <c r="H13" s="2425">
        <v>1</v>
      </c>
      <c r="I13" s="2425">
        <v>0.6</v>
      </c>
      <c r="J13" s="2425">
        <v>0.37</v>
      </c>
      <c r="K13" s="2425">
        <v>0.63</v>
      </c>
      <c r="L13" s="2431">
        <v>1.1299999999999999</v>
      </c>
      <c r="M13" s="2410"/>
      <c r="N13" s="2426">
        <f t="shared" si="65"/>
        <v>6.0000000000000001E-3</v>
      </c>
      <c r="O13" s="2411">
        <f t="shared" ref="O13" si="96">J13/100</f>
        <v>3.7000000000000002E-3</v>
      </c>
      <c r="P13" s="2411">
        <f t="shared" ref="P13" si="97">K13/100</f>
        <v>6.3E-3</v>
      </c>
      <c r="Q13" s="2411">
        <f t="shared" ref="Q13" si="98">L13/100</f>
        <v>1.1299999999999999E-2</v>
      </c>
      <c r="R13" s="2427"/>
      <c r="S13" s="2426">
        <f>B13/B14-1</f>
        <v>6.0000000000000053E-3</v>
      </c>
      <c r="T13" s="2411">
        <f t="shared" ref="T13" si="99">C13/C14-1</f>
        <v>3.7000000000000366E-3</v>
      </c>
      <c r="U13" s="2411">
        <f t="shared" ref="U13" si="100">D13/D14-1</f>
        <v>3.7000000000000366E-3</v>
      </c>
      <c r="V13" s="2411">
        <f t="shared" ref="V13" si="101">E13/E14-1</f>
        <v>6.2999999999999723E-3</v>
      </c>
      <c r="W13" s="2428"/>
      <c r="X13" s="2428">
        <f>ROUND(IF(项目基本情况!B8="出让",SUMPRODUCT(PRODUCT(1+N13:N$33)),SUMPRODUCT(PRODUCT(1+N13:N$32))),4)</f>
        <v>1.5189999999999999</v>
      </c>
      <c r="Y13" s="2428">
        <f>ROUND(IF(项目基本情况!B8="出让",SUMPRODUCT(PRODUCT(1+O13:O$33)),SUMPRODUCT(PRODUCT(1+O13:O$32))),4)</f>
        <v>1.3423</v>
      </c>
      <c r="Z13" s="2428">
        <f t="shared" ref="Z13" si="102">Y13</f>
        <v>1.3423</v>
      </c>
      <c r="AA13" s="2428">
        <f>ROUND(IF(项目基本情况!B8="出让",SUMPRODUCT(PRODUCT(1+P13:P$33)),SUMPRODUCT(PRODUCT(1+P13:P$32))),4)</f>
        <v>1.5782</v>
      </c>
      <c r="AB13" s="2428">
        <f>ROUND(IF(项目基本情况!B8="出让",SUMPRODUCT(PRODUCT(1+Q13:Q$33)),SUMPRODUCT(PRODUCT(1+Q13:Q$32))),4)</f>
        <v>1.3405</v>
      </c>
      <c r="AC13" s="2428"/>
      <c r="AD13" s="2429">
        <f>ROUND(AVERAGE(I13:I$33)/100,4)</f>
        <v>2.1600000000000001E-2</v>
      </c>
      <c r="AE13" s="2429">
        <f>ROUND(AVERAGE(J13:J$33)/100,4)</f>
        <v>1.5299999999999999E-2</v>
      </c>
      <c r="AF13" s="2429">
        <f t="shared" ref="AF13" si="103">AE13</f>
        <v>1.5299999999999999E-2</v>
      </c>
      <c r="AG13" s="2429">
        <f>ROUND(AVERAGE(K13:K$33)/100,4)</f>
        <v>2.3699999999999999E-2</v>
      </c>
      <c r="AH13" s="2429">
        <f>ROUND(AVERAGE(L13:L$33)/100,4)</f>
        <v>1.47E-2</v>
      </c>
    </row>
    <row r="14" spans="1:34" s="2430" customFormat="1">
      <c r="A14" s="2423" t="s">
        <v>2866</v>
      </c>
      <c r="B14" s="2434">
        <f t="shared" ref="B14" si="104">B15*(1+N14)</f>
        <v>464.37293017158942</v>
      </c>
      <c r="C14" s="2434">
        <f t="shared" ref="C14" si="105">C15*(1+O14)</f>
        <v>344.73679941385956</v>
      </c>
      <c r="D14" s="2434">
        <f t="shared" ref="D14" si="106">C14</f>
        <v>344.73679941385956</v>
      </c>
      <c r="E14" s="2434">
        <f t="shared" ref="E14" si="107">E15*(1+P14)</f>
        <v>663.2377795103107</v>
      </c>
      <c r="F14" s="2435">
        <f t="shared" ref="F14" si="108">F15*(1+Q14)</f>
        <v>304.75936311478398</v>
      </c>
      <c r="G14" s="3390">
        <v>2018</v>
      </c>
      <c r="H14" s="2432">
        <v>4</v>
      </c>
      <c r="I14" s="2432">
        <v>0.96</v>
      </c>
      <c r="J14" s="2432">
        <v>1.03</v>
      </c>
      <c r="K14" s="2432">
        <v>0.92</v>
      </c>
      <c r="L14" s="2433">
        <v>1.29</v>
      </c>
      <c r="M14" s="2410"/>
      <c r="N14" s="2426">
        <f t="shared" si="65"/>
        <v>9.5999999999999992E-3</v>
      </c>
      <c r="O14" s="2411">
        <f t="shared" ref="O14" si="109">J14/100</f>
        <v>1.03E-2</v>
      </c>
      <c r="P14" s="2411">
        <f t="shared" ref="P14" si="110">K14/100</f>
        <v>9.1999999999999998E-3</v>
      </c>
      <c r="Q14" s="2411">
        <f t="shared" ref="Q14" si="111">L14/100</f>
        <v>1.29E-2</v>
      </c>
      <c r="R14" s="2427"/>
      <c r="S14" s="2426"/>
      <c r="T14" s="2411"/>
      <c r="U14" s="2411"/>
      <c r="V14" s="2411"/>
      <c r="W14" s="2428"/>
      <c r="X14" s="2428">
        <f>ROUND(SUMPRODUCT(PRODUCT(1+N14:N$32)),4)</f>
        <v>1.5099</v>
      </c>
      <c r="Y14" s="2428">
        <f>ROUND(SUMPRODUCT(PRODUCT(1+O14:O$32)),4)</f>
        <v>1.3372999999999999</v>
      </c>
      <c r="Z14" s="2428">
        <f t="shared" ref="Z14" si="112">Y14</f>
        <v>1.3372999999999999</v>
      </c>
      <c r="AA14" s="2428">
        <f>ROUND(SUMPRODUCT(PRODUCT(1+P14:P$32)),4)</f>
        <v>1.5683</v>
      </c>
      <c r="AB14" s="2428">
        <f>ROUND(SUMPRODUCT(PRODUCT(1+Q14:Q$32)),4)</f>
        <v>1.3255999999999999</v>
      </c>
      <c r="AC14" s="2428"/>
      <c r="AD14" s="2429">
        <f>ROUND(AVERAGE(I14:I$33)/100,4)</f>
        <v>2.24E-2</v>
      </c>
      <c r="AE14" s="2429">
        <f>ROUND(AVERAGE(J14:J$33)/100,4)</f>
        <v>1.5800000000000002E-2</v>
      </c>
      <c r="AF14" s="2429">
        <f t="shared" ref="AF14" si="113">AE14</f>
        <v>1.5800000000000002E-2</v>
      </c>
      <c r="AG14" s="2429">
        <f>ROUND(AVERAGE(K14:K$33)/100,4)</f>
        <v>2.4500000000000001E-2</v>
      </c>
      <c r="AH14" s="2429">
        <f>ROUND(AVERAGE(L14:L$33)/100,4)</f>
        <v>1.49E-2</v>
      </c>
    </row>
    <row r="15" spans="1:34" s="2430" customFormat="1" ht="14.45" customHeight="1">
      <c r="A15" s="2423" t="s">
        <v>2861</v>
      </c>
      <c r="B15" s="2424">
        <f t="shared" ref="B15" si="114">B16*(1+N15)</f>
        <v>459.95733971036987</v>
      </c>
      <c r="C15" s="2424">
        <f t="shared" ref="C15" si="115">C16*(1+O15)</f>
        <v>341.22221064422405</v>
      </c>
      <c r="D15" s="2424">
        <f t="shared" ref="D15" si="116">C15</f>
        <v>341.22221064422405</v>
      </c>
      <c r="E15" s="2424">
        <f t="shared" ref="E15" si="117">E16*(1+P15)</f>
        <v>657.19161663724799</v>
      </c>
      <c r="F15" s="2424">
        <f t="shared" ref="F15" si="118">F16*(1+Q15)</f>
        <v>300.87803644464805</v>
      </c>
      <c r="G15" s="3390"/>
      <c r="H15" s="2425">
        <v>3</v>
      </c>
      <c r="I15" s="2425">
        <v>1.51</v>
      </c>
      <c r="J15" s="2425">
        <v>1.41</v>
      </c>
      <c r="K15" s="2425">
        <v>1.52</v>
      </c>
      <c r="L15" s="2431">
        <v>1.74</v>
      </c>
      <c r="M15" s="2410"/>
      <c r="N15" s="2426">
        <f t="shared" si="65"/>
        <v>1.5100000000000001E-2</v>
      </c>
      <c r="O15" s="2411">
        <f t="shared" ref="O15" si="119">J15/100</f>
        <v>1.41E-2</v>
      </c>
      <c r="P15" s="2411">
        <f t="shared" ref="P15" si="120">K15/100</f>
        <v>1.52E-2</v>
      </c>
      <c r="Q15" s="2411">
        <f t="shared" ref="Q15" si="121">L15/100</f>
        <v>1.7399999999999999E-2</v>
      </c>
      <c r="R15" s="2427"/>
      <c r="S15" s="2426"/>
      <c r="T15" s="2411"/>
      <c r="U15" s="2411"/>
      <c r="V15" s="2411"/>
      <c r="W15" s="2428"/>
      <c r="X15" s="2428">
        <f>ROUND(SUMPRODUCT(PRODUCT(1+N15:N$32)),4)</f>
        <v>1.4956</v>
      </c>
      <c r="Y15" s="2428">
        <f>ROUND(SUMPRODUCT(PRODUCT(1+O15:O$32)),4)</f>
        <v>1.3237000000000001</v>
      </c>
      <c r="Z15" s="2428">
        <f t="shared" ref="Z15" si="122">Y15</f>
        <v>1.3237000000000001</v>
      </c>
      <c r="AA15" s="2428">
        <f>ROUND(SUMPRODUCT(PRODUCT(1+P15:P$32)),4)</f>
        <v>1.554</v>
      </c>
      <c r="AB15" s="2428">
        <f>ROUND(SUMPRODUCT(PRODUCT(1+Q15:Q$32)),4)</f>
        <v>1.3087</v>
      </c>
      <c r="AC15" s="2428"/>
      <c r="AD15" s="2429">
        <f>ROUND(AVERAGE(I15:I$33)/100,4)</f>
        <v>2.3099999999999999E-2</v>
      </c>
      <c r="AE15" s="2429">
        <f>ROUND(AVERAGE(J15:J$33)/100,4)</f>
        <v>1.61E-2</v>
      </c>
      <c r="AF15" s="2429">
        <f t="shared" ref="AF15" si="123">AE15</f>
        <v>1.61E-2</v>
      </c>
      <c r="AG15" s="2429">
        <f>ROUND(AVERAGE(K15:K$33)/100,4)</f>
        <v>2.53E-2</v>
      </c>
      <c r="AH15" s="2429">
        <f>ROUND(AVERAGE(L15:L$33)/100,4)</f>
        <v>1.4999999999999999E-2</v>
      </c>
    </row>
    <row r="16" spans="1:34" s="2430" customFormat="1" ht="14.45" customHeight="1">
      <c r="A16" s="2423" t="s">
        <v>2860</v>
      </c>
      <c r="B16" s="2424">
        <f t="shared" ref="B16" si="124">B17*(1+N16)</f>
        <v>453.11529869999993</v>
      </c>
      <c r="C16" s="2424">
        <f t="shared" ref="C16" si="125">C17*(1+O16)</f>
        <v>336.47787264000004</v>
      </c>
      <c r="D16" s="2424">
        <f t="shared" ref="D16" si="126">C16</f>
        <v>336.47787264000004</v>
      </c>
      <c r="E16" s="2424">
        <f t="shared" ref="E16" si="127">E17*(1+P16)</f>
        <v>647.35186823999993</v>
      </c>
      <c r="F16" s="2424">
        <f t="shared" ref="F16" si="128">F17*(1+Q16)</f>
        <v>295.73229452000004</v>
      </c>
      <c r="G16" s="3390"/>
      <c r="H16" s="2436">
        <v>2</v>
      </c>
      <c r="I16" s="2436">
        <v>1.49</v>
      </c>
      <c r="J16" s="2436">
        <v>0.96</v>
      </c>
      <c r="K16" s="2436">
        <v>1.58</v>
      </c>
      <c r="L16" s="2437">
        <v>2.44</v>
      </c>
      <c r="M16" s="2410"/>
      <c r="N16" s="2426">
        <f t="shared" ref="N16" si="129">I16/100</f>
        <v>1.49E-2</v>
      </c>
      <c r="O16" s="2411">
        <f t="shared" ref="O16" si="130">J16/100</f>
        <v>9.5999999999999992E-3</v>
      </c>
      <c r="P16" s="2411">
        <f t="shared" ref="P16" si="131">K16/100</f>
        <v>1.5800000000000002E-2</v>
      </c>
      <c r="Q16" s="2411">
        <f t="shared" ref="Q16" si="132">L16/100</f>
        <v>2.4399999999999998E-2</v>
      </c>
      <c r="R16" s="2427"/>
      <c r="S16" s="2426"/>
      <c r="T16" s="2411"/>
      <c r="U16" s="2411"/>
      <c r="V16" s="2411"/>
      <c r="W16" s="2428"/>
      <c r="X16" s="2428">
        <f>ROUND(SUMPRODUCT(PRODUCT(1+N16:N$32)),4)</f>
        <v>1.4733000000000001</v>
      </c>
      <c r="Y16" s="2428">
        <f>ROUND(SUMPRODUCT(PRODUCT(1+O16:O$32)),4)</f>
        <v>1.3052999999999999</v>
      </c>
      <c r="Z16" s="2428">
        <f t="shared" ref="Z16" si="133">Y16</f>
        <v>1.3052999999999999</v>
      </c>
      <c r="AA16" s="2428">
        <f>ROUND(SUMPRODUCT(PRODUCT(1+P16:P$32)),4)</f>
        <v>1.5306999999999999</v>
      </c>
      <c r="AB16" s="2428">
        <f>ROUND(SUMPRODUCT(PRODUCT(1+Q16:Q$32)),4)</f>
        <v>1.2863</v>
      </c>
      <c r="AC16" s="2428"/>
      <c r="AD16" s="2429">
        <f>ROUND(AVERAGE(I16:I$33)/100,4)</f>
        <v>2.35E-2</v>
      </c>
      <c r="AE16" s="2429">
        <f>ROUND(AVERAGE(J16:J$33)/100,4)</f>
        <v>1.6199999999999999E-2</v>
      </c>
      <c r="AF16" s="2429">
        <f t="shared" ref="AF16" si="134">AE16</f>
        <v>1.6199999999999999E-2</v>
      </c>
      <c r="AG16" s="2429">
        <f>ROUND(AVERAGE(K16:K$33)/100,4)</f>
        <v>2.5899999999999999E-2</v>
      </c>
      <c r="AH16" s="2429">
        <f>ROUND(AVERAGE(L16:L$33)/100,4)</f>
        <v>1.49E-2</v>
      </c>
    </row>
    <row r="17" spans="1:34" s="2430" customFormat="1" ht="15" customHeight="1" thickBot="1">
      <c r="A17" s="2423" t="s">
        <v>2853</v>
      </c>
      <c r="B17" s="2424">
        <f t="shared" ref="B17" si="135">B18*(1+N17)</f>
        <v>446.46299999999997</v>
      </c>
      <c r="C17" s="2424">
        <f t="shared" ref="C17" si="136">C18*(1+O17)</f>
        <v>333.27840000000003</v>
      </c>
      <c r="D17" s="2424">
        <f t="shared" ref="D17" si="137">C17</f>
        <v>333.27840000000003</v>
      </c>
      <c r="E17" s="2424">
        <f t="shared" ref="E17" si="138">E18*(1+P17)</f>
        <v>637.28279999999995</v>
      </c>
      <c r="F17" s="2424">
        <f t="shared" ref="F17" si="139">F18*(1+Q17)</f>
        <v>288.68830000000003</v>
      </c>
      <c r="G17" s="3397"/>
      <c r="H17" s="2425">
        <v>1</v>
      </c>
      <c r="I17" s="2425">
        <v>1.7</v>
      </c>
      <c r="J17" s="2425">
        <v>1.92</v>
      </c>
      <c r="K17" s="2425">
        <v>1.64</v>
      </c>
      <c r="L17" s="2431">
        <v>2.0099999999999998</v>
      </c>
      <c r="M17" s="2410"/>
      <c r="N17" s="2426">
        <f t="shared" ref="N17:N22" si="140">I17/100</f>
        <v>1.7000000000000001E-2</v>
      </c>
      <c r="O17" s="2411">
        <f t="shared" ref="O17" si="141">J17/100</f>
        <v>1.9199999999999998E-2</v>
      </c>
      <c r="P17" s="2411">
        <f t="shared" ref="P17" si="142">K17/100</f>
        <v>1.6399999999999998E-2</v>
      </c>
      <c r="Q17" s="2411">
        <f t="shared" ref="Q17" si="143">L17/100</f>
        <v>2.0099999999999996E-2</v>
      </c>
      <c r="R17" s="2427"/>
      <c r="S17" s="2426">
        <f>B17/B18-1</f>
        <v>1.6999999999999904E-2</v>
      </c>
      <c r="T17" s="2411">
        <f t="shared" ref="T17" si="144">C17/C18-1</f>
        <v>1.9200000000000106E-2</v>
      </c>
      <c r="U17" s="2411">
        <f t="shared" ref="U17" si="145">D17/D18-1</f>
        <v>1.9200000000000106E-2</v>
      </c>
      <c r="V17" s="2411">
        <f t="shared" ref="V17" si="146">E17/E18-1</f>
        <v>1.639999999999997E-2</v>
      </c>
      <c r="W17" s="2428"/>
      <c r="X17" s="2428">
        <f>ROUND(SUMPRODUCT(PRODUCT(1+N17:N$32)),4)</f>
        <v>1.4517</v>
      </c>
      <c r="Y17" s="2428">
        <f>ROUND(SUMPRODUCT(PRODUCT(1+O17:O$32)),4)</f>
        <v>1.2928999999999999</v>
      </c>
      <c r="Z17" s="2428">
        <f t="shared" ref="Z17" si="147">Y17</f>
        <v>1.2928999999999999</v>
      </c>
      <c r="AA17" s="2428">
        <f>ROUND(SUMPRODUCT(PRODUCT(1+P17:P$32)),4)</f>
        <v>1.5068999999999999</v>
      </c>
      <c r="AB17" s="2428">
        <f>ROUND(SUMPRODUCT(PRODUCT(1+Q17:Q$32)),4)</f>
        <v>1.2557</v>
      </c>
      <c r="AC17" s="2428"/>
      <c r="AD17" s="2429">
        <f>ROUND(AVERAGE(I17:I$33)/100,4)</f>
        <v>2.4E-2</v>
      </c>
      <c r="AE17" s="2429">
        <f>ROUND(AVERAGE(J17:J$33)/100,4)</f>
        <v>1.66E-2</v>
      </c>
      <c r="AF17" s="2429">
        <f t="shared" ref="AF17" si="148">AE17</f>
        <v>1.66E-2</v>
      </c>
      <c r="AG17" s="2429">
        <f>ROUND(AVERAGE(K17:K$33)/100,4)</f>
        <v>2.6499999999999999E-2</v>
      </c>
      <c r="AH17" s="2429">
        <f>ROUND(AVERAGE(L17:L$33)/100,4)</f>
        <v>1.43E-2</v>
      </c>
    </row>
    <row r="18" spans="1:34">
      <c r="A18" s="2423" t="s">
        <v>2851</v>
      </c>
      <c r="B18" s="2438">
        <v>439</v>
      </c>
      <c r="C18" s="2438">
        <v>327</v>
      </c>
      <c r="D18" s="2438">
        <f>C18</f>
        <v>327</v>
      </c>
      <c r="E18" s="2438">
        <v>627</v>
      </c>
      <c r="F18" s="2439">
        <v>283</v>
      </c>
      <c r="G18" s="3393">
        <v>2017</v>
      </c>
      <c r="H18" s="2432">
        <v>4</v>
      </c>
      <c r="I18" s="2432">
        <v>1.71</v>
      </c>
      <c r="J18" s="2432">
        <v>1.78</v>
      </c>
      <c r="K18" s="2432">
        <v>1.71</v>
      </c>
      <c r="L18" s="2433">
        <v>1.43</v>
      </c>
      <c r="N18" s="2426">
        <f t="shared" si="140"/>
        <v>1.7100000000000001E-2</v>
      </c>
      <c r="O18" s="2411">
        <f t="shared" ref="O18" si="149">J18/100</f>
        <v>1.78E-2</v>
      </c>
      <c r="P18" s="2411">
        <f t="shared" ref="P18" si="150">K18/100</f>
        <v>1.7100000000000001E-2</v>
      </c>
      <c r="Q18" s="2411">
        <f t="shared" ref="Q18" si="151">L18/100</f>
        <v>1.43E-2</v>
      </c>
      <c r="R18" s="2427"/>
      <c r="S18" s="2440"/>
      <c r="T18" s="2441"/>
      <c r="U18" s="2441"/>
      <c r="V18" s="2441"/>
      <c r="X18" s="2410">
        <f>ROUND(SUMPRODUCT(PRODUCT(1+N18:N$32)),4)</f>
        <v>1.4274</v>
      </c>
      <c r="Y18" s="2410">
        <f>ROUND(SUMPRODUCT(PRODUCT(1+O18:O$32)),4)</f>
        <v>1.2685</v>
      </c>
      <c r="Z18" s="2410">
        <f t="shared" si="0"/>
        <v>1.2685</v>
      </c>
      <c r="AA18" s="2410">
        <f>ROUND(SUMPRODUCT(PRODUCT(1+P18:P$32)),4)</f>
        <v>1.4825999999999999</v>
      </c>
      <c r="AB18" s="2410">
        <f>ROUND(SUMPRODUCT(PRODUCT(1+Q18:Q$32)),4)</f>
        <v>1.2309000000000001</v>
      </c>
      <c r="AD18" s="2411">
        <f>ROUND(AVERAGE(I18:I$33)/100,4)</f>
        <v>2.4500000000000001E-2</v>
      </c>
      <c r="AE18" s="2411">
        <f>ROUND(AVERAGE(J18:J$33)/100,4)</f>
        <v>1.6500000000000001E-2</v>
      </c>
      <c r="AF18" s="2411">
        <f t="shared" si="1"/>
        <v>1.6500000000000001E-2</v>
      </c>
      <c r="AG18" s="2411">
        <f>ROUND(AVERAGE(K18:K$33)/100,4)</f>
        <v>2.7099999999999999E-2</v>
      </c>
      <c r="AH18" s="2411">
        <f>ROUND(AVERAGE(L18:L$33)/100,4)</f>
        <v>1.3899999999999999E-2</v>
      </c>
    </row>
    <row r="19" spans="1:34" s="2430" customFormat="1" ht="14.45" customHeight="1">
      <c r="A19" s="2423" t="s">
        <v>2852</v>
      </c>
      <c r="B19" s="2424">
        <f t="shared" ref="B19:B20" si="152">B20*(1+N19)</f>
        <v>431.80730811680002</v>
      </c>
      <c r="C19" s="2424">
        <f t="shared" ref="C19:C20" si="153">C20*(1+O19)</f>
        <v>320.57880516480003</v>
      </c>
      <c r="D19" s="2424">
        <f t="shared" ref="D19:D20" si="154">C19</f>
        <v>320.57880516480003</v>
      </c>
      <c r="E19" s="2424">
        <f t="shared" ref="E19:E20" si="155">E20*(1+P19)</f>
        <v>615.96110553196797</v>
      </c>
      <c r="F19" s="2424">
        <f t="shared" ref="F19:F20" si="156">F20*(1+Q19)</f>
        <v>279.46777300108801</v>
      </c>
      <c r="G19" s="3390"/>
      <c r="H19" s="2425">
        <v>3</v>
      </c>
      <c r="I19" s="2425">
        <v>2.98</v>
      </c>
      <c r="J19" s="2425">
        <v>2.11</v>
      </c>
      <c r="K19" s="2425">
        <v>3.24</v>
      </c>
      <c r="L19" s="2431">
        <v>1.72</v>
      </c>
      <c r="M19" s="2410"/>
      <c r="N19" s="2426">
        <f t="shared" si="140"/>
        <v>2.98E-2</v>
      </c>
      <c r="O19" s="2411">
        <f t="shared" ref="O19" si="157">J19/100</f>
        <v>2.1099999999999997E-2</v>
      </c>
      <c r="P19" s="2411">
        <f t="shared" ref="P19" si="158">K19/100</f>
        <v>3.2400000000000005E-2</v>
      </c>
      <c r="Q19" s="2411">
        <f t="shared" ref="Q19" si="159">L19/100</f>
        <v>1.72E-2</v>
      </c>
      <c r="R19" s="2427"/>
      <c r="S19" s="2426"/>
      <c r="T19" s="2411"/>
      <c r="U19" s="2411"/>
      <c r="V19" s="2411"/>
      <c r="W19" s="2428"/>
      <c r="X19" s="2428">
        <f>ROUND(SUMPRODUCT(PRODUCT(1+N19:N$32)),4)</f>
        <v>1.4034</v>
      </c>
      <c r="Y19" s="2428">
        <f>ROUND(SUMPRODUCT(PRODUCT(1+O19:O$32)),4)</f>
        <v>1.2463</v>
      </c>
      <c r="Z19" s="2428">
        <f t="shared" si="0"/>
        <v>1.2463</v>
      </c>
      <c r="AA19" s="2428">
        <f>ROUND(SUMPRODUCT(PRODUCT(1+P19:P$32)),4)</f>
        <v>1.4577</v>
      </c>
      <c r="AB19" s="2428">
        <f>ROUND(SUMPRODUCT(PRODUCT(1+Q19:Q$32)),4)</f>
        <v>1.2136</v>
      </c>
      <c r="AC19" s="2428"/>
      <c r="AD19" s="2429">
        <f>ROUND(AVERAGE(I19:I$33)/100,4)</f>
        <v>2.4899999999999999E-2</v>
      </c>
      <c r="AE19" s="2429">
        <f>ROUND(AVERAGE(J19:J$33)/100,4)</f>
        <v>1.6400000000000001E-2</v>
      </c>
      <c r="AF19" s="2429">
        <f t="shared" si="1"/>
        <v>1.6400000000000001E-2</v>
      </c>
      <c r="AG19" s="2429">
        <f>ROUND(AVERAGE(K19:K$33)/100,4)</f>
        <v>2.7799999999999998E-2</v>
      </c>
      <c r="AH19" s="2429">
        <f>ROUND(AVERAGE(L19:L$33)/100,4)</f>
        <v>1.3899999999999999E-2</v>
      </c>
    </row>
    <row r="20" spans="1:34" s="2417" customFormat="1" ht="14.45" customHeight="1">
      <c r="A20" s="2423" t="s">
        <v>1351</v>
      </c>
      <c r="B20" s="2424">
        <f t="shared" si="152"/>
        <v>419.31181600000002</v>
      </c>
      <c r="C20" s="2424">
        <f t="shared" si="153"/>
        <v>313.95436800000004</v>
      </c>
      <c r="D20" s="2424">
        <f t="shared" si="154"/>
        <v>313.95436800000004</v>
      </c>
      <c r="E20" s="2424">
        <f t="shared" si="155"/>
        <v>596.63028431999999</v>
      </c>
      <c r="F20" s="2424">
        <f t="shared" si="156"/>
        <v>274.74220703999998</v>
      </c>
      <c r="G20" s="3390"/>
      <c r="H20" s="2436">
        <v>2</v>
      </c>
      <c r="I20" s="2436">
        <v>3.4</v>
      </c>
      <c r="J20" s="2436">
        <v>2</v>
      </c>
      <c r="K20" s="2436">
        <v>3.82</v>
      </c>
      <c r="L20" s="2437">
        <v>1.68</v>
      </c>
      <c r="M20" s="2410"/>
      <c r="N20" s="2426">
        <f t="shared" si="140"/>
        <v>3.4000000000000002E-2</v>
      </c>
      <c r="O20" s="2411">
        <f t="shared" ref="O20" si="160">J20/100</f>
        <v>0.02</v>
      </c>
      <c r="P20" s="2411">
        <f t="shared" ref="P20" si="161">K20/100</f>
        <v>3.8199999999999998E-2</v>
      </c>
      <c r="Q20" s="2411">
        <f t="shared" ref="Q20" si="162">L20/100</f>
        <v>1.6799999999999999E-2</v>
      </c>
      <c r="R20" s="2427"/>
      <c r="S20" s="2440"/>
      <c r="T20" s="2441"/>
      <c r="U20" s="2441"/>
      <c r="V20" s="2441"/>
      <c r="W20" s="2404"/>
      <c r="X20" s="2428">
        <f>ROUND(SUMPRODUCT(PRODUCT(1+N20:N$32)),4)</f>
        <v>1.3628</v>
      </c>
      <c r="Y20" s="2428">
        <f>ROUND(SUMPRODUCT(PRODUCT(1+O20:O$32)),4)</f>
        <v>1.2205999999999999</v>
      </c>
      <c r="Z20" s="2428">
        <f t="shared" si="0"/>
        <v>1.2205999999999999</v>
      </c>
      <c r="AA20" s="2428">
        <f>ROUND(SUMPRODUCT(PRODUCT(1+P20:P$32)),4)</f>
        <v>1.4118999999999999</v>
      </c>
      <c r="AB20" s="2428">
        <f>ROUND(SUMPRODUCT(PRODUCT(1+Q20:Q$32)),4)</f>
        <v>1.1930000000000001</v>
      </c>
      <c r="AC20" s="2404"/>
      <c r="AD20" s="2429">
        <f>ROUND(AVERAGE(I20:I$33)/100,4)</f>
        <v>2.46E-2</v>
      </c>
      <c r="AE20" s="2429">
        <f>ROUND(AVERAGE(J20:J$33)/100,4)</f>
        <v>1.6E-2</v>
      </c>
      <c r="AF20" s="2429">
        <f t="shared" si="1"/>
        <v>1.6E-2</v>
      </c>
      <c r="AG20" s="2429">
        <f>ROUND(AVERAGE(K20:K$33)/100,4)</f>
        <v>2.75E-2</v>
      </c>
      <c r="AH20" s="2429">
        <f>ROUND(AVERAGE(L20:L$33)/100,4)</f>
        <v>1.37E-2</v>
      </c>
    </row>
    <row r="21" spans="1:34" s="2430" customFormat="1" ht="15" customHeight="1" thickBot="1">
      <c r="A21" s="2423" t="s">
        <v>1128</v>
      </c>
      <c r="B21" s="2424">
        <f>B22*(1+N21)</f>
        <v>405.524</v>
      </c>
      <c r="C21" s="2424">
        <f>C22*(1+O21)</f>
        <v>307.79840000000002</v>
      </c>
      <c r="D21" s="2424">
        <f>C21</f>
        <v>307.79840000000002</v>
      </c>
      <c r="E21" s="2424">
        <f>E22*(1+P21)</f>
        <v>574.67759999999998</v>
      </c>
      <c r="F21" s="2424">
        <f>F22*(1+Q21)</f>
        <v>270.20280000000002</v>
      </c>
      <c r="G21" s="3397"/>
      <c r="H21" s="2425">
        <v>1</v>
      </c>
      <c r="I21" s="2425">
        <v>3.45</v>
      </c>
      <c r="J21" s="2425">
        <v>1.92</v>
      </c>
      <c r="K21" s="2425">
        <v>3.92</v>
      </c>
      <c r="L21" s="2431">
        <v>1.58</v>
      </c>
      <c r="M21" s="2410"/>
      <c r="N21" s="2426">
        <f t="shared" si="140"/>
        <v>3.4500000000000003E-2</v>
      </c>
      <c r="O21" s="2411">
        <f t="shared" ref="O21:Q36" si="163">J21/100</f>
        <v>1.9199999999999998E-2</v>
      </c>
      <c r="P21" s="2411">
        <f t="shared" si="163"/>
        <v>3.9199999999999999E-2</v>
      </c>
      <c r="Q21" s="2411">
        <f t="shared" si="163"/>
        <v>1.5800000000000002E-2</v>
      </c>
      <c r="R21" s="2427"/>
      <c r="S21" s="2426">
        <f>B21/B22-1</f>
        <v>3.4499999999999975E-2</v>
      </c>
      <c r="T21" s="2411">
        <f t="shared" ref="T21:V21" si="164">C21/C22-1</f>
        <v>1.9200000000000106E-2</v>
      </c>
      <c r="U21" s="2411">
        <f t="shared" si="164"/>
        <v>1.9200000000000106E-2</v>
      </c>
      <c r="V21" s="2411">
        <f t="shared" si="164"/>
        <v>3.9199999999999902E-2</v>
      </c>
      <c r="W21" s="2428"/>
      <c r="X21" s="2428">
        <f>ROUND(SUMPRODUCT(PRODUCT(1+N21:N$32)),4)</f>
        <v>1.3180000000000001</v>
      </c>
      <c r="Y21" s="2428">
        <f>ROUND(SUMPRODUCT(PRODUCT(1+O21:O$32)),4)</f>
        <v>1.1966000000000001</v>
      </c>
      <c r="Z21" s="2428">
        <f t="shared" si="0"/>
        <v>1.1966000000000001</v>
      </c>
      <c r="AA21" s="2428">
        <f>ROUND(SUMPRODUCT(PRODUCT(1+P21:P$32)),4)</f>
        <v>1.36</v>
      </c>
      <c r="AB21" s="2428">
        <f>ROUND(SUMPRODUCT(PRODUCT(1+Q21:Q$32)),4)</f>
        <v>1.1733</v>
      </c>
      <c r="AC21" s="2428"/>
      <c r="AD21" s="2429">
        <f>ROUND(AVERAGE(I21:I$33)/100,4)</f>
        <v>2.3900000000000001E-2</v>
      </c>
      <c r="AE21" s="2429">
        <f>ROUND(AVERAGE(J21:J$33)/100,4)</f>
        <v>1.5699999999999999E-2</v>
      </c>
      <c r="AF21" s="2429">
        <f t="shared" si="1"/>
        <v>1.5699999999999999E-2</v>
      </c>
      <c r="AG21" s="2429">
        <f>ROUND(AVERAGE(K21:K$33)/100,4)</f>
        <v>2.6599999999999999E-2</v>
      </c>
      <c r="AH21" s="2429">
        <f>ROUND(AVERAGE(L21:L$33)/100,4)</f>
        <v>1.34E-2</v>
      </c>
    </row>
    <row r="22" spans="1:34">
      <c r="A22" s="2423" t="s">
        <v>154</v>
      </c>
      <c r="B22" s="2438">
        <v>392</v>
      </c>
      <c r="C22" s="2438">
        <v>302</v>
      </c>
      <c r="D22" s="2438">
        <f>C22</f>
        <v>302</v>
      </c>
      <c r="E22" s="2438">
        <v>553</v>
      </c>
      <c r="F22" s="2439">
        <v>266</v>
      </c>
      <c r="G22" s="3393">
        <v>2016</v>
      </c>
      <c r="H22" s="2432">
        <v>4</v>
      </c>
      <c r="I22" s="2432">
        <v>4.5599999999999996</v>
      </c>
      <c r="J22" s="2432">
        <v>2.15</v>
      </c>
      <c r="K22" s="2432">
        <v>5.32</v>
      </c>
      <c r="L22" s="2433">
        <v>1.57</v>
      </c>
      <c r="N22" s="2426">
        <f t="shared" si="140"/>
        <v>4.5599999999999995E-2</v>
      </c>
      <c r="O22" s="2411">
        <f t="shared" si="163"/>
        <v>2.1499999999999998E-2</v>
      </c>
      <c r="P22" s="2411">
        <f t="shared" si="163"/>
        <v>5.3200000000000004E-2</v>
      </c>
      <c r="Q22" s="2411">
        <f t="shared" si="163"/>
        <v>1.5700000000000002E-2</v>
      </c>
      <c r="R22" s="2427"/>
      <c r="S22" s="2440"/>
      <c r="T22" s="2441"/>
      <c r="U22" s="2441"/>
      <c r="V22" s="2441"/>
      <c r="X22" s="2410">
        <f>ROUND(SUMPRODUCT(PRODUCT(1+N22:N$32)),4)</f>
        <v>1.274</v>
      </c>
      <c r="Y22" s="2410">
        <f>ROUND(SUMPRODUCT(PRODUCT(1+O22:O$32)),4)</f>
        <v>1.1740999999999999</v>
      </c>
      <c r="Z22" s="2410">
        <f t="shared" si="0"/>
        <v>1.1740999999999999</v>
      </c>
      <c r="AA22" s="2410">
        <f>ROUND(SUMPRODUCT(PRODUCT(1+P22:P$32)),4)</f>
        <v>1.3087</v>
      </c>
      <c r="AB22" s="2410">
        <f>ROUND(SUMPRODUCT(PRODUCT(1+Q22:Q$32)),4)</f>
        <v>1.1551</v>
      </c>
      <c r="AD22" s="2411">
        <f>ROUND(AVERAGE(I22:I$33)/100,4)</f>
        <v>2.3E-2</v>
      </c>
      <c r="AE22" s="2411">
        <f>ROUND(AVERAGE(J22:J$33)/100,4)</f>
        <v>1.55E-2</v>
      </c>
      <c r="AF22" s="2411">
        <f t="shared" si="1"/>
        <v>1.55E-2</v>
      </c>
      <c r="AG22" s="2411">
        <f>ROUND(AVERAGE(K22:K$33)/100,4)</f>
        <v>2.5600000000000001E-2</v>
      </c>
      <c r="AH22" s="2411">
        <f>ROUND(AVERAGE(L22:L$33)/100,4)</f>
        <v>1.32E-2</v>
      </c>
    </row>
    <row r="23" spans="1:34">
      <c r="A23" s="2423" t="s">
        <v>153</v>
      </c>
      <c r="B23" s="2424">
        <f t="shared" ref="B23:C25" si="165">B22/(1+N22)</f>
        <v>374.90436113236416</v>
      </c>
      <c r="C23" s="2424">
        <f t="shared" si="165"/>
        <v>295.64366128242779</v>
      </c>
      <c r="D23" s="2424">
        <f t="shared" ref="D23:D82" si="166">C23</f>
        <v>295.64366128242779</v>
      </c>
      <c r="E23" s="2424">
        <f t="shared" ref="E23:F25" si="167">E22/(1+P22)</f>
        <v>525.06646410938095</v>
      </c>
      <c r="F23" s="2424">
        <f t="shared" si="167"/>
        <v>261.88835286009646</v>
      </c>
      <c r="G23" s="3390"/>
      <c r="H23" s="2425">
        <v>3</v>
      </c>
      <c r="I23" s="2425">
        <v>4.12</v>
      </c>
      <c r="J23" s="2425">
        <v>2</v>
      </c>
      <c r="K23" s="2425">
        <v>4.79</v>
      </c>
      <c r="L23" s="2431">
        <v>1.97</v>
      </c>
      <c r="N23" s="2426">
        <f t="shared" ref="N23:Q57" si="168">I23/100</f>
        <v>4.1200000000000001E-2</v>
      </c>
      <c r="O23" s="2411">
        <f t="shared" si="163"/>
        <v>0.02</v>
      </c>
      <c r="P23" s="2411">
        <f t="shared" si="163"/>
        <v>4.7899999999999998E-2</v>
      </c>
      <c r="Q23" s="2411">
        <f t="shared" si="163"/>
        <v>1.9699999999999999E-2</v>
      </c>
      <c r="R23" s="2427"/>
      <c r="S23" s="2426"/>
      <c r="T23" s="2411"/>
      <c r="U23" s="2411"/>
      <c r="V23" s="2411"/>
      <c r="X23" s="2410">
        <f>ROUND(SUMPRODUCT(PRODUCT(1+N23:N$32)),4)</f>
        <v>1.2184999999999999</v>
      </c>
      <c r="Y23" s="2410">
        <f>ROUND(SUMPRODUCT(PRODUCT(1+O23:O$32)),4)</f>
        <v>1.1494</v>
      </c>
      <c r="Z23" s="2410">
        <f t="shared" si="0"/>
        <v>1.1494</v>
      </c>
      <c r="AA23" s="2410">
        <f>ROUND(SUMPRODUCT(PRODUCT(1+P23:P$32)),4)</f>
        <v>1.2425999999999999</v>
      </c>
      <c r="AB23" s="2410">
        <f>ROUND(SUMPRODUCT(PRODUCT(1+Q23:Q$32)),4)</f>
        <v>1.1372</v>
      </c>
      <c r="AD23" s="2411">
        <f>ROUND(AVERAGE(I23:I$33)/100,4)</f>
        <v>2.0899999999999998E-2</v>
      </c>
      <c r="AE23" s="2411">
        <f>ROUND(AVERAGE(J23:J$33)/100,4)</f>
        <v>1.49E-2</v>
      </c>
      <c r="AF23" s="2411">
        <f t="shared" si="1"/>
        <v>1.49E-2</v>
      </c>
      <c r="AG23" s="2411">
        <f>ROUND(AVERAGE(K23:K$33)/100,4)</f>
        <v>2.3099999999999999E-2</v>
      </c>
      <c r="AH23" s="2411">
        <f>ROUND(AVERAGE(L23:L$33)/100,4)</f>
        <v>1.2999999999999999E-2</v>
      </c>
    </row>
    <row r="24" spans="1:34">
      <c r="A24" s="2423" t="s">
        <v>143</v>
      </c>
      <c r="B24" s="2424">
        <f t="shared" si="165"/>
        <v>360.06949782209392</v>
      </c>
      <c r="C24" s="2424">
        <f t="shared" si="165"/>
        <v>289.84672674747821</v>
      </c>
      <c r="D24" s="2424">
        <f t="shared" si="166"/>
        <v>289.84672674747821</v>
      </c>
      <c r="E24" s="2424">
        <f t="shared" si="167"/>
        <v>501.06543001181495</v>
      </c>
      <c r="F24" s="2424">
        <f t="shared" si="167"/>
        <v>256.82882500744967</v>
      </c>
      <c r="G24" s="3390"/>
      <c r="H24" s="2436">
        <v>2</v>
      </c>
      <c r="I24" s="2436">
        <v>3.85</v>
      </c>
      <c r="J24" s="2436">
        <v>1.95</v>
      </c>
      <c r="K24" s="2436">
        <v>4.4800000000000004</v>
      </c>
      <c r="L24" s="2437">
        <v>1.41</v>
      </c>
      <c r="N24" s="2426">
        <f t="shared" si="168"/>
        <v>3.85E-2</v>
      </c>
      <c r="O24" s="2411">
        <f t="shared" si="163"/>
        <v>1.95E-2</v>
      </c>
      <c r="P24" s="2411">
        <f t="shared" si="163"/>
        <v>4.4800000000000006E-2</v>
      </c>
      <c r="Q24" s="2411">
        <f t="shared" si="163"/>
        <v>1.41E-2</v>
      </c>
      <c r="R24" s="2427"/>
      <c r="S24" s="2426"/>
      <c r="T24" s="2411"/>
      <c r="U24" s="2411"/>
      <c r="V24" s="2411"/>
      <c r="X24" s="2410">
        <f>ROUND(SUMPRODUCT(PRODUCT(1+N24:N$32)),4)</f>
        <v>1.1702999999999999</v>
      </c>
      <c r="Y24" s="2410">
        <f>ROUND(SUMPRODUCT(PRODUCT(1+O24:O$32)),4)</f>
        <v>1.1269</v>
      </c>
      <c r="Z24" s="2410">
        <f t="shared" si="0"/>
        <v>1.1269</v>
      </c>
      <c r="AA24" s="2410">
        <f>ROUND(SUMPRODUCT(PRODUCT(1+P24:P$32)),4)</f>
        <v>1.1858</v>
      </c>
      <c r="AB24" s="2410">
        <f>ROUND(SUMPRODUCT(PRODUCT(1+Q24:Q$32)),4)</f>
        <v>1.1152</v>
      </c>
      <c r="AD24" s="2411">
        <f>ROUND(AVERAGE(I24:I$33)/100,4)</f>
        <v>1.89E-2</v>
      </c>
      <c r="AE24" s="2411">
        <f>ROUND(AVERAGE(J24:J$33)/100,4)</f>
        <v>1.44E-2</v>
      </c>
      <c r="AF24" s="2411">
        <f t="shared" si="1"/>
        <v>1.44E-2</v>
      </c>
      <c r="AG24" s="2411">
        <f>ROUND(AVERAGE(K24:K$33)/100,4)</f>
        <v>2.06E-2</v>
      </c>
      <c r="AH24" s="2411">
        <f>ROUND(AVERAGE(L24:L$33)/100,4)</f>
        <v>1.23E-2</v>
      </c>
    </row>
    <row r="25" spans="1:34" ht="13.5" thickBot="1">
      <c r="A25" s="2423" t="s">
        <v>152</v>
      </c>
      <c r="B25" s="2424">
        <f t="shared" si="165"/>
        <v>346.720748986128</v>
      </c>
      <c r="C25" s="2424">
        <f t="shared" si="165"/>
        <v>284.30282172386285</v>
      </c>
      <c r="D25" s="2424">
        <f t="shared" si="166"/>
        <v>284.30282172386285</v>
      </c>
      <c r="E25" s="2424">
        <f t="shared" si="167"/>
        <v>479.58023546306947</v>
      </c>
      <c r="F25" s="2424">
        <f t="shared" si="167"/>
        <v>253.25788877571213</v>
      </c>
      <c r="G25" s="3391"/>
      <c r="H25" s="2425">
        <v>1</v>
      </c>
      <c r="I25" s="2425">
        <v>4.09</v>
      </c>
      <c r="J25" s="2425">
        <v>2.93</v>
      </c>
      <c r="K25" s="2425">
        <v>4.54</v>
      </c>
      <c r="L25" s="2431">
        <v>1.48</v>
      </c>
      <c r="N25" s="2426">
        <f t="shared" si="168"/>
        <v>4.0899999999999999E-2</v>
      </c>
      <c r="O25" s="2411">
        <f t="shared" si="163"/>
        <v>2.9300000000000003E-2</v>
      </c>
      <c r="P25" s="2411">
        <f t="shared" si="163"/>
        <v>4.5400000000000003E-2</v>
      </c>
      <c r="Q25" s="2411">
        <f t="shared" si="163"/>
        <v>1.4800000000000001E-2</v>
      </c>
      <c r="R25" s="2427"/>
      <c r="S25" s="2442">
        <f>B25/B26-1</f>
        <v>4.1203450408792808E-2</v>
      </c>
      <c r="T25" s="2443">
        <f>C25/C26-1</f>
        <v>2.6363977342465095E-2</v>
      </c>
      <c r="U25" s="2443">
        <f>E25/E26-1</f>
        <v>4.4837114298626357E-2</v>
      </c>
      <c r="V25" s="2443">
        <f>F25/F26-1</f>
        <v>1.7099954922538574E-2</v>
      </c>
      <c r="X25" s="2410">
        <f>ROUND(SUMPRODUCT(PRODUCT(1+N25:N$32)),4)</f>
        <v>1.1269</v>
      </c>
      <c r="Y25" s="2410">
        <f>ROUND(SUMPRODUCT(PRODUCT(1+O25:O$32)),4)</f>
        <v>1.1052999999999999</v>
      </c>
      <c r="Z25" s="2410">
        <f t="shared" si="0"/>
        <v>1.1052999999999999</v>
      </c>
      <c r="AA25" s="2410">
        <f>ROUND(SUMPRODUCT(PRODUCT(1+P25:P$32)),4)</f>
        <v>1.1349</v>
      </c>
      <c r="AB25" s="2410">
        <f>ROUND(SUMPRODUCT(PRODUCT(1+Q25:Q$32)),4)</f>
        <v>1.0996999999999999</v>
      </c>
      <c r="AD25" s="2411">
        <f>ROUND(AVERAGE(I25:I$33)/100,4)</f>
        <v>1.67E-2</v>
      </c>
      <c r="AE25" s="2411">
        <f>ROUND(AVERAGE(J25:J$33)/100,4)</f>
        <v>1.38E-2</v>
      </c>
      <c r="AF25" s="2411">
        <f t="shared" si="1"/>
        <v>1.38E-2</v>
      </c>
      <c r="AG25" s="2411">
        <f>ROUND(AVERAGE(K25:K$33)/100,4)</f>
        <v>1.7899999999999999E-2</v>
      </c>
      <c r="AH25" s="2411">
        <f>ROUND(AVERAGE(L25:L$33)/100,4)</f>
        <v>1.21E-2</v>
      </c>
    </row>
    <row r="26" spans="1:34" ht="13.5" thickBot="1">
      <c r="A26" s="2423" t="s">
        <v>151</v>
      </c>
      <c r="B26" s="2438">
        <v>333</v>
      </c>
      <c r="C26" s="2438">
        <v>277</v>
      </c>
      <c r="D26" s="2438">
        <f t="shared" si="166"/>
        <v>277</v>
      </c>
      <c r="E26" s="2438">
        <v>459</v>
      </c>
      <c r="F26" s="2439">
        <v>249</v>
      </c>
      <c r="G26" s="3389">
        <v>2015</v>
      </c>
      <c r="H26" s="2444">
        <v>4</v>
      </c>
      <c r="I26" s="2444">
        <v>1.63</v>
      </c>
      <c r="J26" s="2444">
        <v>1.1100000000000001</v>
      </c>
      <c r="K26" s="2444">
        <v>1.77</v>
      </c>
      <c r="L26" s="2445">
        <v>1.89</v>
      </c>
      <c r="N26" s="2446">
        <f t="shared" si="168"/>
        <v>1.6299999999999999E-2</v>
      </c>
      <c r="O26" s="2447">
        <f t="shared" si="163"/>
        <v>1.11E-2</v>
      </c>
      <c r="P26" s="2447">
        <f t="shared" si="163"/>
        <v>1.77E-2</v>
      </c>
      <c r="Q26" s="2447">
        <f t="shared" si="163"/>
        <v>1.89E-2</v>
      </c>
      <c r="R26" s="2427"/>
      <c r="X26" s="2410">
        <f>ROUND(SUMPRODUCT(PRODUCT(1+N26:N$32)),4)</f>
        <v>1.0826</v>
      </c>
      <c r="Y26" s="2410">
        <f>ROUND(SUMPRODUCT(PRODUCT(1+O26:O$32)),4)</f>
        <v>1.0738000000000001</v>
      </c>
      <c r="Z26" s="2410">
        <f t="shared" si="0"/>
        <v>1.0738000000000001</v>
      </c>
      <c r="AA26" s="2410">
        <f>ROUND(SUMPRODUCT(PRODUCT(1+P26:P$32)),4)</f>
        <v>1.0855999999999999</v>
      </c>
      <c r="AB26" s="2410">
        <f>ROUND(SUMPRODUCT(PRODUCT(1+Q26:Q$32)),4)</f>
        <v>1.0837000000000001</v>
      </c>
      <c r="AD26" s="2411">
        <f>ROUND(AVERAGE(I26:I$33)/100,4)</f>
        <v>1.37E-2</v>
      </c>
      <c r="AE26" s="2411">
        <f>ROUND(AVERAGE(J26:J$33)/100,4)</f>
        <v>1.1900000000000001E-2</v>
      </c>
      <c r="AF26" s="2411">
        <f t="shared" si="1"/>
        <v>1.1900000000000001E-2</v>
      </c>
      <c r="AG26" s="2411">
        <f>ROUND(AVERAGE(K26:K$33)/100,4)</f>
        <v>1.4500000000000001E-2</v>
      </c>
      <c r="AH26" s="2411">
        <f>ROUND(AVERAGE(L26:L$33)/100,4)</f>
        <v>1.18E-2</v>
      </c>
    </row>
    <row r="27" spans="1:34">
      <c r="A27" s="2423" t="s">
        <v>150</v>
      </c>
      <c r="B27" s="2424">
        <f t="shared" ref="B27:C29" si="169">B26/(1+N26)</f>
        <v>327.65915576109415</v>
      </c>
      <c r="C27" s="2424">
        <f t="shared" si="169"/>
        <v>273.95905449510434</v>
      </c>
      <c r="D27" s="2424">
        <f t="shared" si="166"/>
        <v>273.95905449510434</v>
      </c>
      <c r="E27" s="2424">
        <f t="shared" ref="E27:F29" si="170">E26/(1+P26)</f>
        <v>451.01699911565294</v>
      </c>
      <c r="F27" s="2424">
        <f t="shared" si="170"/>
        <v>244.38119540681129</v>
      </c>
      <c r="G27" s="3390"/>
      <c r="H27" s="2449">
        <v>3</v>
      </c>
      <c r="I27" s="2449">
        <v>1.65</v>
      </c>
      <c r="J27" s="2449">
        <v>0.92</v>
      </c>
      <c r="K27" s="2449">
        <v>1.88</v>
      </c>
      <c r="L27" s="2450">
        <v>1.26</v>
      </c>
      <c r="N27" s="2426">
        <f t="shared" si="168"/>
        <v>1.6500000000000001E-2</v>
      </c>
      <c r="O27" s="2451">
        <f t="shared" si="163"/>
        <v>9.1999999999999998E-3</v>
      </c>
      <c r="P27" s="2451">
        <f t="shared" si="163"/>
        <v>1.8799999999999997E-2</v>
      </c>
      <c r="Q27" s="2451">
        <f t="shared" si="163"/>
        <v>1.26E-2</v>
      </c>
      <c r="R27" s="2427"/>
      <c r="S27" s="2426"/>
      <c r="T27" s="2411"/>
      <c r="U27" s="2411"/>
      <c r="V27" s="2411"/>
      <c r="X27" s="2410">
        <f>ROUND(SUMPRODUCT(PRODUCT(1+N27:N$32)),4)</f>
        <v>1.0651999999999999</v>
      </c>
      <c r="Y27" s="2410">
        <f>ROUND(SUMPRODUCT(PRODUCT(1+O27:O$32)),4)</f>
        <v>1.0621</v>
      </c>
      <c r="Z27" s="2410">
        <f t="shared" si="0"/>
        <v>1.0621</v>
      </c>
      <c r="AA27" s="2410">
        <f>ROUND(SUMPRODUCT(PRODUCT(1+P27:P$32)),4)</f>
        <v>1.0668</v>
      </c>
      <c r="AB27" s="2410">
        <f>ROUND(SUMPRODUCT(PRODUCT(1+Q27:Q$32)),4)</f>
        <v>1.0636000000000001</v>
      </c>
      <c r="AD27" s="2411">
        <f>ROUND(AVERAGE(I27:I$33)/100,4)</f>
        <v>1.3299999999999999E-2</v>
      </c>
      <c r="AE27" s="2411">
        <f>ROUND(AVERAGE(J27:J$33)/100,4)</f>
        <v>1.2E-2</v>
      </c>
      <c r="AF27" s="2411">
        <f t="shared" si="1"/>
        <v>1.2E-2</v>
      </c>
      <c r="AG27" s="2411">
        <f>ROUND(AVERAGE(K27:K$33)/100,4)</f>
        <v>1.4E-2</v>
      </c>
      <c r="AH27" s="2411">
        <f>ROUND(AVERAGE(L27:L$33)/100,4)</f>
        <v>1.0800000000000001E-2</v>
      </c>
    </row>
    <row r="28" spans="1:34">
      <c r="A28" s="2423" t="s">
        <v>149</v>
      </c>
      <c r="B28" s="2424">
        <f t="shared" si="169"/>
        <v>322.34053690220776</v>
      </c>
      <c r="C28" s="2424">
        <f t="shared" si="169"/>
        <v>271.46160770422546</v>
      </c>
      <c r="D28" s="2424">
        <f t="shared" si="166"/>
        <v>271.46160770422546</v>
      </c>
      <c r="E28" s="2424">
        <f t="shared" si="170"/>
        <v>442.69434542172456</v>
      </c>
      <c r="F28" s="2424">
        <f t="shared" si="170"/>
        <v>241.34030753190925</v>
      </c>
      <c r="G28" s="3390"/>
      <c r="H28" s="2436">
        <v>2</v>
      </c>
      <c r="I28" s="2436">
        <v>0.77</v>
      </c>
      <c r="J28" s="2436">
        <v>0.69</v>
      </c>
      <c r="K28" s="2436">
        <v>0.8</v>
      </c>
      <c r="L28" s="2437">
        <v>0.88</v>
      </c>
      <c r="N28" s="2426">
        <f t="shared" si="168"/>
        <v>7.7000000000000002E-3</v>
      </c>
      <c r="O28" s="2451">
        <f t="shared" si="163"/>
        <v>6.8999999999999999E-3</v>
      </c>
      <c r="P28" s="2451">
        <f t="shared" si="163"/>
        <v>8.0000000000000002E-3</v>
      </c>
      <c r="Q28" s="2451">
        <f t="shared" si="163"/>
        <v>8.8000000000000005E-3</v>
      </c>
      <c r="R28" s="2427"/>
      <c r="S28" s="2426"/>
      <c r="T28" s="2411"/>
      <c r="U28" s="2411"/>
      <c r="V28" s="2411"/>
      <c r="X28" s="2410">
        <f>ROUND(SUMPRODUCT(PRODUCT(1+N28:N$32)),4)</f>
        <v>1.048</v>
      </c>
      <c r="Y28" s="2410">
        <f>ROUND(SUMPRODUCT(PRODUCT(1+O28:O$32)),4)</f>
        <v>1.0524</v>
      </c>
      <c r="Z28" s="2410">
        <f t="shared" si="0"/>
        <v>1.0524</v>
      </c>
      <c r="AA28" s="2410">
        <f>ROUND(SUMPRODUCT(PRODUCT(1+P28:P$32)),4)</f>
        <v>1.0470999999999999</v>
      </c>
      <c r="AB28" s="2410">
        <f>ROUND(SUMPRODUCT(PRODUCT(1+Q28:Q$32)),4)</f>
        <v>1.0504</v>
      </c>
      <c r="AD28" s="2411">
        <f>ROUND(AVERAGE(I28:I$33)/100,4)</f>
        <v>1.2800000000000001E-2</v>
      </c>
      <c r="AE28" s="2411">
        <f>ROUND(AVERAGE(J28:J$33)/100,4)</f>
        <v>1.2500000000000001E-2</v>
      </c>
      <c r="AF28" s="2411">
        <f t="shared" si="1"/>
        <v>1.2500000000000001E-2</v>
      </c>
      <c r="AG28" s="2411">
        <f>ROUND(AVERAGE(K28:K$33)/100,4)</f>
        <v>1.32E-2</v>
      </c>
      <c r="AH28" s="2411">
        <f>ROUND(AVERAGE(L28:L$33)/100,4)</f>
        <v>1.0500000000000001E-2</v>
      </c>
    </row>
    <row r="29" spans="1:34">
      <c r="A29" s="2423" t="s">
        <v>148</v>
      </c>
      <c r="B29" s="2424">
        <f t="shared" si="169"/>
        <v>319.87748030386797</v>
      </c>
      <c r="C29" s="2424">
        <f t="shared" si="169"/>
        <v>269.60135833173649</v>
      </c>
      <c r="D29" s="2424">
        <f t="shared" si="166"/>
        <v>269.60135833173649</v>
      </c>
      <c r="E29" s="2424">
        <f t="shared" si="170"/>
        <v>439.18089823583784</v>
      </c>
      <c r="F29" s="2424">
        <f t="shared" si="170"/>
        <v>239.23503918706311</v>
      </c>
      <c r="G29" s="3391"/>
      <c r="H29" s="2425">
        <v>1</v>
      </c>
      <c r="I29" s="2425">
        <v>0.51</v>
      </c>
      <c r="J29" s="2425">
        <v>0.54</v>
      </c>
      <c r="K29" s="2425">
        <v>0.48</v>
      </c>
      <c r="L29" s="2431">
        <v>0.93</v>
      </c>
      <c r="N29" s="2442">
        <f t="shared" si="168"/>
        <v>5.1000000000000004E-3</v>
      </c>
      <c r="O29" s="2443">
        <f t="shared" si="163"/>
        <v>5.4000000000000003E-3</v>
      </c>
      <c r="P29" s="2443">
        <f t="shared" si="163"/>
        <v>4.7999999999999996E-3</v>
      </c>
      <c r="Q29" s="2443">
        <f t="shared" si="163"/>
        <v>9.300000000000001E-3</v>
      </c>
      <c r="R29" s="2427"/>
      <c r="S29" s="2442">
        <f>B29/B30-1</f>
        <v>5.9040261127922822E-3</v>
      </c>
      <c r="T29" s="2443">
        <f>C29/C30-1</f>
        <v>5.9752176557332781E-3</v>
      </c>
      <c r="U29" s="2443">
        <f>E29/E30-1</f>
        <v>4.9906138119859556E-3</v>
      </c>
      <c r="V29" s="2443">
        <f>F29/F30-1</f>
        <v>9.4305450930933787E-3</v>
      </c>
      <c r="X29" s="2410">
        <f>ROUND(SUMPRODUCT(PRODUCT(1+N29:N$32)),4)</f>
        <v>1.0399</v>
      </c>
      <c r="Y29" s="2410">
        <f>ROUND(SUMPRODUCT(PRODUCT(1+O29:O$32)),4)</f>
        <v>1.0451999999999999</v>
      </c>
      <c r="Z29" s="2410">
        <f t="shared" si="0"/>
        <v>1.0451999999999999</v>
      </c>
      <c r="AA29" s="2410">
        <f>ROUND(SUMPRODUCT(PRODUCT(1+P29:P$32)),4)</f>
        <v>1.0387999999999999</v>
      </c>
      <c r="AB29" s="2410">
        <f>ROUND(SUMPRODUCT(PRODUCT(1+Q29:Q$32)),4)</f>
        <v>1.0411999999999999</v>
      </c>
      <c r="AD29" s="2411">
        <f>ROUND(AVERAGE(I29:I$33)/100,4)</f>
        <v>1.38E-2</v>
      </c>
      <c r="AE29" s="2411">
        <f>ROUND(AVERAGE(J29:J$33)/100,4)</f>
        <v>1.3599999999999999E-2</v>
      </c>
      <c r="AF29" s="2411">
        <f t="shared" si="1"/>
        <v>1.3599999999999999E-2</v>
      </c>
      <c r="AG29" s="2411">
        <f>ROUND(AVERAGE(K29:K$33)/100,4)</f>
        <v>1.4200000000000001E-2</v>
      </c>
      <c r="AH29" s="2411">
        <f>ROUND(AVERAGE(L29:L$33)/100,4)</f>
        <v>1.0800000000000001E-2</v>
      </c>
    </row>
    <row r="30" spans="1:34" ht="13.5" thickBot="1">
      <c r="A30" s="2423" t="s">
        <v>147</v>
      </c>
      <c r="B30" s="2452">
        <v>318</v>
      </c>
      <c r="C30" s="2452">
        <v>268</v>
      </c>
      <c r="D30" s="2452">
        <f t="shared" si="166"/>
        <v>268</v>
      </c>
      <c r="E30" s="2452">
        <v>437</v>
      </c>
      <c r="F30" s="2453">
        <v>237</v>
      </c>
      <c r="G30" s="3389">
        <v>2014</v>
      </c>
      <c r="H30" s="2444">
        <v>4</v>
      </c>
      <c r="I30" s="2444">
        <v>0.21</v>
      </c>
      <c r="J30" s="2444">
        <v>0.41</v>
      </c>
      <c r="K30" s="2444">
        <v>0.12</v>
      </c>
      <c r="L30" s="2445">
        <v>0.89</v>
      </c>
      <c r="N30" s="2426">
        <f t="shared" si="168"/>
        <v>2.0999999999999999E-3</v>
      </c>
      <c r="O30" s="2411">
        <f t="shared" si="163"/>
        <v>4.0999999999999995E-3</v>
      </c>
      <c r="P30" s="2411">
        <f t="shared" si="163"/>
        <v>1.1999999999999999E-3</v>
      </c>
      <c r="Q30" s="2411">
        <f t="shared" si="163"/>
        <v>8.8999999999999999E-3</v>
      </c>
      <c r="R30" s="2427"/>
      <c r="S30" s="2440"/>
      <c r="T30" s="2441"/>
      <c r="U30" s="2441"/>
      <c r="V30" s="2441"/>
      <c r="X30" s="2410">
        <f>ROUND(SUMPRODUCT(PRODUCT(1+N30:N$32)),4)</f>
        <v>1.0347</v>
      </c>
      <c r="Y30" s="2410">
        <f>ROUND(SUMPRODUCT(PRODUCT(1+O30:O$32)),4)</f>
        <v>1.0395000000000001</v>
      </c>
      <c r="Z30" s="2410">
        <f t="shared" si="0"/>
        <v>1.0395000000000001</v>
      </c>
      <c r="AA30" s="2410">
        <f>ROUND(SUMPRODUCT(PRODUCT(1+P30:P$32)),4)</f>
        <v>1.0338000000000001</v>
      </c>
      <c r="AB30" s="2410">
        <f>ROUND(SUMPRODUCT(PRODUCT(1+Q30:Q$32)),4)</f>
        <v>1.0316000000000001</v>
      </c>
      <c r="AD30" s="2411">
        <f>ROUND(AVERAGE(I30:I$33)/100,4)</f>
        <v>1.6E-2</v>
      </c>
      <c r="AE30" s="2411">
        <f>ROUND(AVERAGE(J30:J$33)/100,4)</f>
        <v>1.5599999999999999E-2</v>
      </c>
      <c r="AF30" s="2411">
        <f t="shared" si="1"/>
        <v>1.5599999999999999E-2</v>
      </c>
      <c r="AG30" s="2411">
        <f>ROUND(AVERAGE(K30:K$33)/100,4)</f>
        <v>1.66E-2</v>
      </c>
      <c r="AH30" s="2411">
        <f>ROUND(AVERAGE(L30:L$33)/100,4)</f>
        <v>1.12E-2</v>
      </c>
    </row>
    <row r="31" spans="1:34">
      <c r="A31" s="2423" t="s">
        <v>146</v>
      </c>
      <c r="B31" s="2424">
        <f t="shared" ref="B31:C33" si="171">B30/(1+N30)</f>
        <v>317.33359944117353</v>
      </c>
      <c r="C31" s="2424">
        <f t="shared" si="171"/>
        <v>266.90568668459315</v>
      </c>
      <c r="D31" s="2424">
        <f t="shared" si="166"/>
        <v>266.90568668459315</v>
      </c>
      <c r="E31" s="2424">
        <f t="shared" ref="E31:F33" si="172">E30/(1+P30)</f>
        <v>436.47622852576905</v>
      </c>
      <c r="F31" s="2424">
        <f t="shared" si="172"/>
        <v>234.90930716622066</v>
      </c>
      <c r="G31" s="3390"/>
      <c r="H31" s="2454">
        <v>3</v>
      </c>
      <c r="I31" s="2454">
        <v>0.83</v>
      </c>
      <c r="J31" s="2454">
        <v>1.47</v>
      </c>
      <c r="K31" s="2454">
        <v>0.65</v>
      </c>
      <c r="L31" s="2455">
        <v>0.72</v>
      </c>
      <c r="N31" s="2426">
        <f t="shared" si="168"/>
        <v>8.3000000000000001E-3</v>
      </c>
      <c r="O31" s="2411">
        <f t="shared" si="163"/>
        <v>1.47E-2</v>
      </c>
      <c r="P31" s="2411">
        <f t="shared" si="163"/>
        <v>6.5000000000000006E-3</v>
      </c>
      <c r="Q31" s="2411">
        <f t="shared" si="163"/>
        <v>7.1999999999999998E-3</v>
      </c>
      <c r="R31" s="2427"/>
      <c r="S31" s="2426"/>
      <c r="T31" s="2411"/>
      <c r="U31" s="2411"/>
      <c r="V31" s="2411"/>
      <c r="X31" s="2410">
        <f>ROUND(SUMPRODUCT(PRODUCT(1+N31:N$32)),4)</f>
        <v>1.0325</v>
      </c>
      <c r="Y31" s="2410">
        <f>ROUND(SUMPRODUCT(PRODUCT(1+O31:O$32)),4)</f>
        <v>1.0353000000000001</v>
      </c>
      <c r="Z31" s="2410">
        <f t="shared" ref="Z31:Z32" si="173">Y31</f>
        <v>1.0353000000000001</v>
      </c>
      <c r="AA31" s="2410">
        <f>ROUND(SUMPRODUCT(PRODUCT(1+P31:P$32)),4)</f>
        <v>1.0326</v>
      </c>
      <c r="AB31" s="2410">
        <f>ROUND(SUMPRODUCT(PRODUCT(1+Q31:Q$32)),4)</f>
        <v>1.0225</v>
      </c>
      <c r="AD31" s="2411">
        <f>ROUND(AVERAGE(I31:I$33)/100,4)</f>
        <v>2.07E-2</v>
      </c>
      <c r="AE31" s="2411">
        <f>ROUND(AVERAGE(J31:J$33)/100,4)</f>
        <v>1.95E-2</v>
      </c>
      <c r="AF31" s="2411">
        <f t="shared" si="1"/>
        <v>1.95E-2</v>
      </c>
      <c r="AG31" s="2411">
        <f>ROUND(AVERAGE(K31:K$33)/100,4)</f>
        <v>2.1700000000000001E-2</v>
      </c>
      <c r="AH31" s="2411">
        <f>ROUND(AVERAGE(L31:L$33)/100,4)</f>
        <v>1.2E-2</v>
      </c>
    </row>
    <row r="32" spans="1:34" ht="13.5" thickBot="1">
      <c r="A32" s="2423" t="s">
        <v>145</v>
      </c>
      <c r="B32" s="2424">
        <f t="shared" si="171"/>
        <v>314.72141172386546</v>
      </c>
      <c r="C32" s="2424">
        <f t="shared" si="171"/>
        <v>263.03901319069001</v>
      </c>
      <c r="D32" s="2424">
        <f t="shared" si="166"/>
        <v>263.03901319069001</v>
      </c>
      <c r="E32" s="2424">
        <f t="shared" si="172"/>
        <v>433.65745506782821</v>
      </c>
      <c r="F32" s="2424">
        <f t="shared" si="172"/>
        <v>233.23005080045735</v>
      </c>
      <c r="G32" s="3390"/>
      <c r="H32" s="2444">
        <v>2</v>
      </c>
      <c r="I32" s="2444">
        <v>2.4</v>
      </c>
      <c r="J32" s="2444">
        <v>2.0299999999999998</v>
      </c>
      <c r="K32" s="2444">
        <v>2.59</v>
      </c>
      <c r="L32" s="2445">
        <v>1.52</v>
      </c>
      <c r="N32" s="2426">
        <f t="shared" si="168"/>
        <v>2.4E-2</v>
      </c>
      <c r="O32" s="2411">
        <f t="shared" si="163"/>
        <v>2.0299999999999999E-2</v>
      </c>
      <c r="P32" s="2411">
        <f t="shared" si="163"/>
        <v>2.5899999999999999E-2</v>
      </c>
      <c r="Q32" s="2411">
        <f t="shared" si="163"/>
        <v>1.52E-2</v>
      </c>
      <c r="R32" s="2427"/>
      <c r="S32" s="2426"/>
      <c r="T32" s="2411"/>
      <c r="U32" s="2411"/>
      <c r="V32" s="2411"/>
      <c r="X32" s="2410">
        <f>1+N32</f>
        <v>1.024</v>
      </c>
      <c r="Y32" s="2410">
        <f>1+O32</f>
        <v>1.0203</v>
      </c>
      <c r="Z32" s="2410">
        <f t="shared" si="173"/>
        <v>1.0203</v>
      </c>
      <c r="AA32" s="2410">
        <f>1+P32</f>
        <v>1.0259</v>
      </c>
      <c r="AB32" s="2410">
        <f>1+Q32</f>
        <v>1.0152000000000001</v>
      </c>
      <c r="AD32" s="2411">
        <f>ROUND(AVERAGE(I32:I$33)/100,4)</f>
        <v>2.69E-2</v>
      </c>
      <c r="AE32" s="2411">
        <f>ROUND(AVERAGE(J32:J$33)/100,4)</f>
        <v>2.1899999999999999E-2</v>
      </c>
      <c r="AF32" s="2411">
        <f t="shared" ref="AF32" si="174">AE32</f>
        <v>2.1899999999999999E-2</v>
      </c>
      <c r="AG32" s="2411">
        <f>ROUND(AVERAGE(K32:K$33)/100,4)</f>
        <v>2.9399999999999999E-2</v>
      </c>
      <c r="AH32" s="2411">
        <f>ROUND(AVERAGE(L32:L$33)/100,4)</f>
        <v>1.44E-2</v>
      </c>
    </row>
    <row r="33" spans="1:34" s="2460" customFormat="1" ht="13.5" thickBot="1">
      <c r="A33" s="2456" t="s">
        <v>144</v>
      </c>
      <c r="B33" s="2457">
        <f t="shared" si="171"/>
        <v>307.34512863658733</v>
      </c>
      <c r="C33" s="2457">
        <f t="shared" si="171"/>
        <v>257.80556031626975</v>
      </c>
      <c r="D33" s="2457">
        <f t="shared" si="166"/>
        <v>257.80556031626975</v>
      </c>
      <c r="E33" s="2457">
        <f t="shared" si="172"/>
        <v>422.70928459677179</v>
      </c>
      <c r="F33" s="2457">
        <f t="shared" si="172"/>
        <v>229.73803270336617</v>
      </c>
      <c r="G33" s="3391"/>
      <c r="H33" s="2458">
        <v>1</v>
      </c>
      <c r="I33" s="2458">
        <v>2.97</v>
      </c>
      <c r="J33" s="2458">
        <v>2.34</v>
      </c>
      <c r="K33" s="2458">
        <v>3.28</v>
      </c>
      <c r="L33" s="2459">
        <v>1.36</v>
      </c>
      <c r="N33" s="2461">
        <f t="shared" si="168"/>
        <v>2.9700000000000001E-2</v>
      </c>
      <c r="O33" s="2462">
        <f t="shared" si="163"/>
        <v>2.3399999999999997E-2</v>
      </c>
      <c r="P33" s="2462">
        <f t="shared" si="163"/>
        <v>3.2799999999999996E-2</v>
      </c>
      <c r="Q33" s="2462">
        <f t="shared" si="163"/>
        <v>1.3600000000000001E-2</v>
      </c>
      <c r="R33" s="2463"/>
      <c r="S33" s="2464">
        <f>B33/B34-1</f>
        <v>2.7910129219355539E-2</v>
      </c>
      <c r="T33" s="2465">
        <f>C33/C34-1</f>
        <v>2.3037937762975247E-2</v>
      </c>
      <c r="U33" s="2465">
        <f>E33/E34-1</f>
        <v>3.3519033243940788E-2</v>
      </c>
      <c r="V33" s="2465">
        <f>F33/F34-1</f>
        <v>1.2061818076502862E-2</v>
      </c>
      <c r="W33" s="2466" t="s">
        <v>1129</v>
      </c>
      <c r="X33" s="2467">
        <v>1</v>
      </c>
      <c r="Y33" s="2467">
        <v>1</v>
      </c>
      <c r="Z33" s="2467">
        <v>1</v>
      </c>
      <c r="AA33" s="2467">
        <v>1</v>
      </c>
      <c r="AB33" s="2467">
        <v>1</v>
      </c>
      <c r="AD33" s="2462">
        <f>I33/100</f>
        <v>2.9700000000000001E-2</v>
      </c>
      <c r="AE33" s="2462">
        <f>J33/100</f>
        <v>2.3399999999999997E-2</v>
      </c>
      <c r="AF33" s="2462">
        <f>AE33</f>
        <v>2.3399999999999997E-2</v>
      </c>
      <c r="AG33" s="2462">
        <f>K33/100</f>
        <v>3.2799999999999996E-2</v>
      </c>
      <c r="AH33" s="2462">
        <f>L33/100</f>
        <v>1.3600000000000001E-2</v>
      </c>
    </row>
    <row r="34" spans="1:34" ht="13.5" thickBot="1">
      <c r="A34" s="2423" t="s">
        <v>1130</v>
      </c>
      <c r="B34" s="2438">
        <v>299</v>
      </c>
      <c r="C34" s="2438">
        <v>252</v>
      </c>
      <c r="D34" s="2438">
        <f t="shared" si="166"/>
        <v>252</v>
      </c>
      <c r="E34" s="2438">
        <v>409</v>
      </c>
      <c r="F34" s="2439">
        <v>227</v>
      </c>
      <c r="G34" s="3394">
        <v>2013</v>
      </c>
      <c r="H34" s="2468">
        <v>4</v>
      </c>
      <c r="I34" s="2468">
        <v>1.83</v>
      </c>
      <c r="J34" s="2468">
        <v>1.68</v>
      </c>
      <c r="K34" s="2468">
        <v>1.97</v>
      </c>
      <c r="L34" s="2469">
        <v>0.87</v>
      </c>
      <c r="N34" s="2446">
        <f t="shared" si="168"/>
        <v>1.83E-2</v>
      </c>
      <c r="O34" s="2447">
        <f t="shared" si="163"/>
        <v>1.6799999999999999E-2</v>
      </c>
      <c r="P34" s="2447">
        <f t="shared" si="163"/>
        <v>1.9699999999999999E-2</v>
      </c>
      <c r="Q34" s="2447">
        <f t="shared" si="163"/>
        <v>8.6999999999999994E-3</v>
      </c>
      <c r="R34" s="2427"/>
      <c r="S34" s="2440"/>
      <c r="T34" s="2441"/>
      <c r="U34" s="2441"/>
      <c r="V34" s="2441"/>
      <c r="X34" s="2441"/>
      <c r="Y34" s="2441"/>
      <c r="Z34" s="2441"/>
    </row>
    <row r="35" spans="1:34">
      <c r="A35" s="2423" t="s">
        <v>1131</v>
      </c>
      <c r="B35" s="2424">
        <f t="shared" ref="B35:C37" si="175">B34/(1+N34)</f>
        <v>293.62663262299913</v>
      </c>
      <c r="C35" s="2424">
        <f t="shared" si="175"/>
        <v>247.83634933123525</v>
      </c>
      <c r="D35" s="2424">
        <f t="shared" si="166"/>
        <v>247.83634933123525</v>
      </c>
      <c r="E35" s="2424">
        <f t="shared" ref="E35:F37" si="176">E34/(1+P34)</f>
        <v>401.09836226341076</v>
      </c>
      <c r="F35" s="2424">
        <f t="shared" si="176"/>
        <v>225.04213343908003</v>
      </c>
      <c r="G35" s="3395"/>
      <c r="H35" s="2449">
        <v>3</v>
      </c>
      <c r="I35" s="2449">
        <v>1.86</v>
      </c>
      <c r="J35" s="2449">
        <v>1.72</v>
      </c>
      <c r="K35" s="2449">
        <v>1.98</v>
      </c>
      <c r="L35" s="2450">
        <v>0.88</v>
      </c>
      <c r="N35" s="2426">
        <f t="shared" si="168"/>
        <v>1.8600000000000002E-2</v>
      </c>
      <c r="O35" s="2451">
        <f t="shared" si="163"/>
        <v>1.72E-2</v>
      </c>
      <c r="P35" s="2451">
        <f t="shared" si="163"/>
        <v>1.9799999999999998E-2</v>
      </c>
      <c r="Q35" s="2451">
        <f t="shared" si="163"/>
        <v>8.8000000000000005E-3</v>
      </c>
      <c r="R35" s="2427"/>
      <c r="S35" s="2426"/>
      <c r="T35" s="2411"/>
      <c r="U35" s="2411"/>
      <c r="V35" s="2411"/>
    </row>
    <row r="36" spans="1:34">
      <c r="A36" s="2423" t="s">
        <v>1132</v>
      </c>
      <c r="B36" s="2424">
        <f t="shared" si="175"/>
        <v>288.2649053828776</v>
      </c>
      <c r="C36" s="2424">
        <f t="shared" si="175"/>
        <v>243.64564425013293</v>
      </c>
      <c r="D36" s="2424">
        <f t="shared" si="166"/>
        <v>243.64564425013293</v>
      </c>
      <c r="E36" s="2424">
        <f t="shared" si="176"/>
        <v>393.31080825986544</v>
      </c>
      <c r="F36" s="2424">
        <f t="shared" si="176"/>
        <v>223.07903790551154</v>
      </c>
      <c r="G36" s="3395"/>
      <c r="H36" s="2436">
        <v>2</v>
      </c>
      <c r="I36" s="2436">
        <v>2.04</v>
      </c>
      <c r="J36" s="2436">
        <v>2.33</v>
      </c>
      <c r="K36" s="2436">
        <v>2.0699999999999998</v>
      </c>
      <c r="L36" s="2437">
        <v>0.69</v>
      </c>
      <c r="N36" s="2426">
        <f t="shared" si="168"/>
        <v>2.0400000000000001E-2</v>
      </c>
      <c r="O36" s="2451">
        <f t="shared" si="163"/>
        <v>2.3300000000000001E-2</v>
      </c>
      <c r="P36" s="2451">
        <f t="shared" si="163"/>
        <v>2.07E-2</v>
      </c>
      <c r="Q36" s="2451">
        <f t="shared" si="163"/>
        <v>6.8999999999999999E-3</v>
      </c>
      <c r="R36" s="2427"/>
      <c r="S36" s="2426"/>
      <c r="T36" s="2411"/>
      <c r="U36" s="2411"/>
      <c r="V36" s="2411"/>
      <c r="X36" s="2470"/>
      <c r="Y36" s="2471"/>
    </row>
    <row r="37" spans="1:34">
      <c r="A37" s="2423" t="s">
        <v>1133</v>
      </c>
      <c r="B37" s="2424">
        <f t="shared" si="175"/>
        <v>282.50186729015837</v>
      </c>
      <c r="C37" s="2424">
        <f t="shared" si="175"/>
        <v>238.09796174155468</v>
      </c>
      <c r="D37" s="2424">
        <f t="shared" si="166"/>
        <v>238.09796174155468</v>
      </c>
      <c r="E37" s="2424">
        <f t="shared" si="176"/>
        <v>385.33438646014054</v>
      </c>
      <c r="F37" s="2424">
        <f t="shared" si="176"/>
        <v>221.55034055567739</v>
      </c>
      <c r="G37" s="3396"/>
      <c r="H37" s="2425">
        <v>1</v>
      </c>
      <c r="I37" s="2425">
        <v>1.67</v>
      </c>
      <c r="J37" s="2425">
        <v>1.31</v>
      </c>
      <c r="K37" s="2425">
        <v>1.85</v>
      </c>
      <c r="L37" s="2431">
        <v>0.96</v>
      </c>
      <c r="N37" s="2442">
        <f t="shared" si="168"/>
        <v>1.67E-2</v>
      </c>
      <c r="O37" s="2443">
        <f t="shared" si="168"/>
        <v>1.3100000000000001E-2</v>
      </c>
      <c r="P37" s="2443">
        <f t="shared" si="168"/>
        <v>1.8500000000000003E-2</v>
      </c>
      <c r="Q37" s="2443">
        <f t="shared" si="168"/>
        <v>9.5999999999999992E-3</v>
      </c>
      <c r="R37" s="2427"/>
      <c r="S37" s="2442">
        <f>B37/B38-1</f>
        <v>1.6193767230785472E-2</v>
      </c>
      <c r="T37" s="2443">
        <f>C37/C38-1</f>
        <v>1.7512657015190891E-2</v>
      </c>
      <c r="U37" s="2443">
        <f>E37/E38-1</f>
        <v>1.6713420739157048E-2</v>
      </c>
      <c r="V37" s="2443">
        <f>F37/F38-1</f>
        <v>7.0470025258062563E-3</v>
      </c>
      <c r="X37" s="2472"/>
      <c r="Y37" s="2411"/>
      <c r="Z37" s="2411"/>
    </row>
    <row r="38" spans="1:34" ht="13.5" thickBot="1">
      <c r="A38" s="2423" t="s">
        <v>1134</v>
      </c>
      <c r="B38" s="2473">
        <v>278</v>
      </c>
      <c r="C38" s="2473">
        <v>234</v>
      </c>
      <c r="D38" s="2473">
        <f t="shared" si="166"/>
        <v>234</v>
      </c>
      <c r="E38" s="2473">
        <v>379</v>
      </c>
      <c r="F38" s="2474">
        <v>220</v>
      </c>
      <c r="G38" s="3389">
        <v>2012</v>
      </c>
      <c r="H38" s="2444">
        <v>4</v>
      </c>
      <c r="I38" s="2444">
        <v>0.91</v>
      </c>
      <c r="J38" s="2444">
        <v>0.68</v>
      </c>
      <c r="K38" s="2444">
        <v>0.98</v>
      </c>
      <c r="L38" s="2445">
        <v>0.9</v>
      </c>
      <c r="N38" s="2426">
        <f t="shared" si="168"/>
        <v>9.1000000000000004E-3</v>
      </c>
      <c r="O38" s="2411">
        <f t="shared" si="168"/>
        <v>6.8000000000000005E-3</v>
      </c>
      <c r="P38" s="2411">
        <f t="shared" si="168"/>
        <v>9.7999999999999997E-3</v>
      </c>
      <c r="Q38" s="2411">
        <f t="shared" si="168"/>
        <v>9.0000000000000011E-3</v>
      </c>
      <c r="R38" s="2427"/>
      <c r="S38" s="2440"/>
      <c r="T38" s="2441"/>
      <c r="U38" s="2441"/>
      <c r="V38" s="2441"/>
      <c r="X38" s="2441"/>
      <c r="Y38" s="2441"/>
      <c r="Z38" s="2441"/>
    </row>
    <row r="39" spans="1:34">
      <c r="A39" s="2423" t="s">
        <v>1135</v>
      </c>
      <c r="B39" s="2424">
        <f>B38/(1+N38)</f>
        <v>275.49301357645425</v>
      </c>
      <c r="C39" s="2424">
        <f>C38/(1+O38)</f>
        <v>232.41954707985698</v>
      </c>
      <c r="D39" s="2424">
        <f t="shared" si="166"/>
        <v>232.41954707985698</v>
      </c>
      <c r="E39" s="2424">
        <f t="shared" ref="E39:F41" si="177">E38/(1+P38)</f>
        <v>375.32184591008121</v>
      </c>
      <c r="F39" s="2424">
        <f t="shared" si="177"/>
        <v>218.03766105054513</v>
      </c>
      <c r="G39" s="3390"/>
      <c r="H39" s="2449">
        <v>3</v>
      </c>
      <c r="I39" s="2449">
        <v>0.09</v>
      </c>
      <c r="J39" s="2449">
        <v>0.28999999999999998</v>
      </c>
      <c r="K39" s="2449">
        <v>-0.01</v>
      </c>
      <c r="L39" s="2450">
        <v>0.57999999999999996</v>
      </c>
      <c r="N39" s="2426">
        <f t="shared" si="168"/>
        <v>8.9999999999999998E-4</v>
      </c>
      <c r="O39" s="2411">
        <f t="shared" si="168"/>
        <v>2.8999999999999998E-3</v>
      </c>
      <c r="P39" s="2411">
        <f t="shared" si="168"/>
        <v>-1E-4</v>
      </c>
      <c r="Q39" s="2411">
        <f t="shared" si="168"/>
        <v>5.7999999999999996E-3</v>
      </c>
      <c r="R39" s="2427"/>
      <c r="S39" s="2426"/>
      <c r="T39" s="2411"/>
      <c r="U39" s="2411"/>
      <c r="V39" s="2411"/>
    </row>
    <row r="40" spans="1:34">
      <c r="A40" s="2423" t="s">
        <v>1136</v>
      </c>
      <c r="B40" s="2424">
        <f>B39/(1+N39)</f>
        <v>275.24529281292263</v>
      </c>
      <c r="C40" s="2424">
        <f>C39/(1+O39)</f>
        <v>231.74747938962707</v>
      </c>
      <c r="D40" s="2424">
        <f t="shared" si="166"/>
        <v>231.74747938962707</v>
      </c>
      <c r="E40" s="2424">
        <f t="shared" si="177"/>
        <v>375.35938184826603</v>
      </c>
      <c r="F40" s="2424">
        <f t="shared" si="177"/>
        <v>216.78033510692495</v>
      </c>
      <c r="G40" s="3390"/>
      <c r="H40" s="2436">
        <v>2</v>
      </c>
      <c r="I40" s="2436">
        <v>0.02</v>
      </c>
      <c r="J40" s="2436">
        <v>0.12</v>
      </c>
      <c r="K40" s="2436">
        <v>-0.08</v>
      </c>
      <c r="L40" s="2437">
        <v>1.24</v>
      </c>
      <c r="N40" s="2426">
        <f t="shared" si="168"/>
        <v>2.0000000000000001E-4</v>
      </c>
      <c r="O40" s="2411">
        <f t="shared" si="168"/>
        <v>1.1999999999999999E-3</v>
      </c>
      <c r="P40" s="2411">
        <f t="shared" si="168"/>
        <v>-8.0000000000000004E-4</v>
      </c>
      <c r="Q40" s="2411">
        <f t="shared" si="168"/>
        <v>1.24E-2</v>
      </c>
      <c r="R40" s="2427"/>
      <c r="S40" s="2426"/>
      <c r="T40" s="2411"/>
      <c r="U40" s="2411"/>
      <c r="V40" s="2411"/>
    </row>
    <row r="41" spans="1:34" ht="13.5" thickBot="1">
      <c r="A41" s="2423" t="s">
        <v>1137</v>
      </c>
      <c r="B41" s="2424">
        <f>B40/(1+N40)</f>
        <v>275.19025476197027</v>
      </c>
      <c r="C41" s="2475">
        <v>232</v>
      </c>
      <c r="D41" s="2475">
        <f t="shared" si="166"/>
        <v>232</v>
      </c>
      <c r="E41" s="2424">
        <f t="shared" si="177"/>
        <v>375.65990977608692</v>
      </c>
      <c r="F41" s="2424">
        <f t="shared" si="177"/>
        <v>214.12518283971252</v>
      </c>
      <c r="G41" s="3391"/>
      <c r="H41" s="2425">
        <v>1</v>
      </c>
      <c r="I41" s="2425">
        <v>0.02</v>
      </c>
      <c r="J41" s="2425">
        <v>0.13</v>
      </c>
      <c r="K41" s="2425">
        <v>-0.04</v>
      </c>
      <c r="L41" s="2431">
        <v>0.46</v>
      </c>
      <c r="N41" s="2426">
        <f t="shared" si="168"/>
        <v>2.0000000000000001E-4</v>
      </c>
      <c r="O41" s="2411">
        <f t="shared" si="168"/>
        <v>1.2999999999999999E-3</v>
      </c>
      <c r="P41" s="2411">
        <f t="shared" si="168"/>
        <v>-4.0000000000000002E-4</v>
      </c>
      <c r="Q41" s="2411">
        <f t="shared" si="168"/>
        <v>4.5999999999999999E-3</v>
      </c>
      <c r="R41" s="2427"/>
      <c r="S41" s="2442">
        <f>B41/B42-1</f>
        <v>6.9183549807361189E-4</v>
      </c>
      <c r="T41" s="2443">
        <f>C41/C42-1</f>
        <v>0</v>
      </c>
      <c r="U41" s="2443">
        <f>E41/E42-1</f>
        <v>-9.0449527636460303E-4</v>
      </c>
      <c r="V41" s="2443">
        <f>F41/F42-1</f>
        <v>5.2825485432512753E-3</v>
      </c>
      <c r="X41" s="2411"/>
      <c r="Y41" s="2411"/>
      <c r="Z41" s="2411"/>
    </row>
    <row r="42" spans="1:34" ht="13.5" thickBot="1">
      <c r="A42" s="2423" t="s">
        <v>1138</v>
      </c>
      <c r="B42" s="2438">
        <v>275</v>
      </c>
      <c r="C42" s="2438">
        <v>232</v>
      </c>
      <c r="D42" s="2438">
        <f t="shared" si="166"/>
        <v>232</v>
      </c>
      <c r="E42" s="2438">
        <v>376</v>
      </c>
      <c r="F42" s="2439">
        <v>213</v>
      </c>
      <c r="G42" s="3389">
        <v>2011</v>
      </c>
      <c r="H42" s="2444">
        <v>4</v>
      </c>
      <c r="I42" s="2444">
        <v>-0.2</v>
      </c>
      <c r="J42" s="2444">
        <v>0.04</v>
      </c>
      <c r="K42" s="2444">
        <v>-0.34</v>
      </c>
      <c r="L42" s="2445">
        <v>0.46</v>
      </c>
      <c r="N42" s="2446">
        <f t="shared" si="168"/>
        <v>-2E-3</v>
      </c>
      <c r="O42" s="2447">
        <f t="shared" si="168"/>
        <v>4.0000000000000002E-4</v>
      </c>
      <c r="P42" s="2447">
        <f t="shared" si="168"/>
        <v>-3.4000000000000002E-3</v>
      </c>
      <c r="Q42" s="2447">
        <f t="shared" si="168"/>
        <v>4.5999999999999999E-3</v>
      </c>
      <c r="R42" s="2427"/>
      <c r="S42" s="2440"/>
      <c r="T42" s="2441"/>
      <c r="U42" s="2441"/>
      <c r="V42" s="2441"/>
      <c r="X42" s="2441"/>
      <c r="Y42" s="2441"/>
      <c r="Z42" s="2441"/>
    </row>
    <row r="43" spans="1:34">
      <c r="A43" s="2423" t="s">
        <v>1139</v>
      </c>
      <c r="B43" s="2424">
        <f t="shared" ref="B43:C45" si="178">B42/(1+N42)</f>
        <v>275.55110220440883</v>
      </c>
      <c r="C43" s="2424">
        <f t="shared" si="178"/>
        <v>231.90723710515795</v>
      </c>
      <c r="D43" s="2424">
        <f t="shared" si="166"/>
        <v>231.90723710515795</v>
      </c>
      <c r="E43" s="2424">
        <f t="shared" ref="E43:F45" si="179">E42/(1+P42)</f>
        <v>377.28276138872161</v>
      </c>
      <c r="F43" s="2424">
        <f t="shared" si="179"/>
        <v>212.02468644236512</v>
      </c>
      <c r="G43" s="3390">
        <v>2011</v>
      </c>
      <c r="H43" s="2449">
        <v>3</v>
      </c>
      <c r="I43" s="2449">
        <v>0.13</v>
      </c>
      <c r="J43" s="2449">
        <v>0.75</v>
      </c>
      <c r="K43" s="2449">
        <v>-0.08</v>
      </c>
      <c r="L43" s="2450">
        <v>0.53</v>
      </c>
      <c r="N43" s="2426">
        <f t="shared" si="168"/>
        <v>1.2999999999999999E-3</v>
      </c>
      <c r="O43" s="2451">
        <f t="shared" si="168"/>
        <v>7.4999999999999997E-3</v>
      </c>
      <c r="P43" s="2451">
        <f t="shared" si="168"/>
        <v>-8.0000000000000004E-4</v>
      </c>
      <c r="Q43" s="2451">
        <f t="shared" si="168"/>
        <v>5.3E-3</v>
      </c>
      <c r="R43" s="2427"/>
      <c r="S43" s="2426"/>
      <c r="T43" s="2411"/>
      <c r="U43" s="2411"/>
      <c r="V43" s="2411"/>
    </row>
    <row r="44" spans="1:34">
      <c r="A44" s="2423" t="s">
        <v>1140</v>
      </c>
      <c r="B44" s="2424">
        <f t="shared" si="178"/>
        <v>275.19335084830601</v>
      </c>
      <c r="C44" s="2424">
        <f t="shared" si="178"/>
        <v>230.18088050139744</v>
      </c>
      <c r="D44" s="2424">
        <f t="shared" si="166"/>
        <v>230.18088050139744</v>
      </c>
      <c r="E44" s="2424">
        <f t="shared" si="179"/>
        <v>377.58482925212331</v>
      </c>
      <c r="F44" s="2424">
        <f t="shared" si="179"/>
        <v>210.90687997847917</v>
      </c>
      <c r="G44" s="3390">
        <v>2011</v>
      </c>
      <c r="H44" s="2436">
        <v>2</v>
      </c>
      <c r="I44" s="2436">
        <v>-0.4</v>
      </c>
      <c r="J44" s="2436">
        <v>0.17</v>
      </c>
      <c r="K44" s="2436">
        <v>-0.57999999999999996</v>
      </c>
      <c r="L44" s="2437">
        <v>-0.2</v>
      </c>
      <c r="N44" s="2426">
        <f t="shared" si="168"/>
        <v>-4.0000000000000001E-3</v>
      </c>
      <c r="O44" s="2451">
        <f t="shared" si="168"/>
        <v>1.7000000000000001E-3</v>
      </c>
      <c r="P44" s="2451">
        <f t="shared" si="168"/>
        <v>-5.7999999999999996E-3</v>
      </c>
      <c r="Q44" s="2451">
        <f t="shared" si="168"/>
        <v>-2E-3</v>
      </c>
      <c r="R44" s="2427"/>
      <c r="S44" s="2426"/>
      <c r="T44" s="2411"/>
      <c r="U44" s="2411"/>
      <c r="V44" s="2411"/>
    </row>
    <row r="45" spans="1:34" ht="13.5" thickBot="1">
      <c r="A45" s="2423" t="s">
        <v>1141</v>
      </c>
      <c r="B45" s="2424">
        <f t="shared" si="178"/>
        <v>276.29854502841971</v>
      </c>
      <c r="C45" s="2424">
        <f t="shared" si="178"/>
        <v>229.79023709833027</v>
      </c>
      <c r="D45" s="2424">
        <f t="shared" si="166"/>
        <v>229.79023709833027</v>
      </c>
      <c r="E45" s="2424">
        <f t="shared" si="179"/>
        <v>379.78759731655936</v>
      </c>
      <c r="F45" s="2424">
        <f t="shared" si="179"/>
        <v>211.32953905659235</v>
      </c>
      <c r="G45" s="3391">
        <v>2011</v>
      </c>
      <c r="H45" s="2425">
        <v>1</v>
      </c>
      <c r="I45" s="2425">
        <v>2.65</v>
      </c>
      <c r="J45" s="2425">
        <v>3.76</v>
      </c>
      <c r="K45" s="2425">
        <v>1.89</v>
      </c>
      <c r="L45" s="2431">
        <v>7.95</v>
      </c>
      <c r="N45" s="2442">
        <f t="shared" si="168"/>
        <v>2.6499999999999999E-2</v>
      </c>
      <c r="O45" s="2443">
        <f t="shared" si="168"/>
        <v>3.7599999999999995E-2</v>
      </c>
      <c r="P45" s="2443">
        <f t="shared" si="168"/>
        <v>1.89E-2</v>
      </c>
      <c r="Q45" s="2443">
        <f t="shared" si="168"/>
        <v>7.9500000000000001E-2</v>
      </c>
      <c r="R45" s="2427"/>
      <c r="S45" s="2442">
        <f>B45/B46-1</f>
        <v>2.713213765211786E-2</v>
      </c>
      <c r="T45" s="2443">
        <f>C45/C46-1</f>
        <v>3.9774828499231862E-2</v>
      </c>
      <c r="U45" s="2443">
        <f>E45/E46-1</f>
        <v>1.8197311840641772E-2</v>
      </c>
      <c r="V45" s="2443">
        <f>F45/F46-1</f>
        <v>7.8211933962205826E-2</v>
      </c>
      <c r="X45" s="2411"/>
      <c r="Y45" s="2411"/>
      <c r="Z45" s="2411"/>
    </row>
    <row r="46" spans="1:34" ht="13.5" thickBot="1">
      <c r="A46" s="2423" t="s">
        <v>1142</v>
      </c>
      <c r="B46" s="2438">
        <v>269</v>
      </c>
      <c r="C46" s="2438">
        <v>221</v>
      </c>
      <c r="D46" s="2438">
        <f t="shared" si="166"/>
        <v>221</v>
      </c>
      <c r="E46" s="2438">
        <v>373</v>
      </c>
      <c r="F46" s="2439">
        <v>196</v>
      </c>
      <c r="G46" s="3389">
        <v>2010</v>
      </c>
      <c r="H46" s="2444">
        <v>4</v>
      </c>
      <c r="I46" s="2444">
        <v>5.72</v>
      </c>
      <c r="J46" s="2444">
        <v>6.57</v>
      </c>
      <c r="K46" s="2444">
        <v>5.72</v>
      </c>
      <c r="L46" s="2445">
        <v>2.72</v>
      </c>
      <c r="N46" s="2426">
        <f t="shared" si="168"/>
        <v>5.7200000000000001E-2</v>
      </c>
      <c r="O46" s="2411">
        <f t="shared" si="168"/>
        <v>6.5700000000000008E-2</v>
      </c>
      <c r="P46" s="2411">
        <f t="shared" si="168"/>
        <v>5.7200000000000001E-2</v>
      </c>
      <c r="Q46" s="2411">
        <f t="shared" si="168"/>
        <v>2.7200000000000002E-2</v>
      </c>
      <c r="R46" s="2427"/>
      <c r="S46" s="2440"/>
      <c r="T46" s="2441"/>
      <c r="U46" s="2441"/>
      <c r="V46" s="2441"/>
      <c r="X46" s="2441"/>
      <c r="Y46" s="2441"/>
      <c r="Z46" s="2441"/>
    </row>
    <row r="47" spans="1:34">
      <c r="A47" s="2423" t="s">
        <v>1143</v>
      </c>
      <c r="B47" s="2424">
        <f t="shared" ref="B47:C49" si="180">B46/(1+N46)</f>
        <v>254.44570563753314</v>
      </c>
      <c r="C47" s="2424">
        <f t="shared" si="180"/>
        <v>207.37543398705074</v>
      </c>
      <c r="D47" s="2424">
        <f t="shared" si="166"/>
        <v>207.37543398705074</v>
      </c>
      <c r="E47" s="2424">
        <f t="shared" ref="E47:F49" si="181">E46/(1+P46)</f>
        <v>352.81876655315932</v>
      </c>
      <c r="F47" s="2424">
        <f t="shared" si="181"/>
        <v>190.809968847352</v>
      </c>
      <c r="G47" s="3390">
        <v>2010</v>
      </c>
      <c r="H47" s="2449">
        <v>3</v>
      </c>
      <c r="I47" s="2449">
        <v>4.7300000000000004</v>
      </c>
      <c r="J47" s="2449">
        <v>3.9</v>
      </c>
      <c r="K47" s="2449">
        <v>5.03</v>
      </c>
      <c r="L47" s="2450">
        <v>4.21</v>
      </c>
      <c r="N47" s="2426">
        <f t="shared" si="168"/>
        <v>4.7300000000000002E-2</v>
      </c>
      <c r="O47" s="2411">
        <f t="shared" si="168"/>
        <v>3.9E-2</v>
      </c>
      <c r="P47" s="2411">
        <f t="shared" si="168"/>
        <v>5.0300000000000004E-2</v>
      </c>
      <c r="Q47" s="2411">
        <f t="shared" si="168"/>
        <v>4.2099999999999999E-2</v>
      </c>
      <c r="R47" s="2427"/>
      <c r="S47" s="2426"/>
      <c r="T47" s="2411"/>
      <c r="U47" s="2411"/>
      <c r="V47" s="2411"/>
    </row>
    <row r="48" spans="1:34">
      <c r="A48" s="2423" t="s">
        <v>1144</v>
      </c>
      <c r="B48" s="2424">
        <f t="shared" si="180"/>
        <v>242.95398227588385</v>
      </c>
      <c r="C48" s="2424">
        <f t="shared" si="180"/>
        <v>199.59137053614126</v>
      </c>
      <c r="D48" s="2424">
        <f t="shared" si="166"/>
        <v>199.59137053614126</v>
      </c>
      <c r="E48" s="2424">
        <f t="shared" si="181"/>
        <v>335.92189522342125</v>
      </c>
      <c r="F48" s="2424">
        <f t="shared" si="181"/>
        <v>183.10139991109489</v>
      </c>
      <c r="G48" s="3390">
        <v>2010</v>
      </c>
      <c r="H48" s="2436">
        <v>2</v>
      </c>
      <c r="I48" s="2436">
        <v>4.6900000000000004</v>
      </c>
      <c r="J48" s="2436">
        <v>3.55</v>
      </c>
      <c r="K48" s="2436">
        <v>5.07</v>
      </c>
      <c r="L48" s="2437">
        <v>4.2300000000000004</v>
      </c>
      <c r="N48" s="2426">
        <f t="shared" si="168"/>
        <v>4.6900000000000004E-2</v>
      </c>
      <c r="O48" s="2411">
        <f t="shared" si="168"/>
        <v>3.5499999999999997E-2</v>
      </c>
      <c r="P48" s="2411">
        <f t="shared" si="168"/>
        <v>5.0700000000000002E-2</v>
      </c>
      <c r="Q48" s="2411">
        <f t="shared" si="168"/>
        <v>4.2300000000000004E-2</v>
      </c>
      <c r="R48" s="2427"/>
      <c r="S48" s="2426"/>
      <c r="T48" s="2411"/>
      <c r="U48" s="2411"/>
      <c r="V48" s="2411"/>
    </row>
    <row r="49" spans="1:26" ht="13.5" thickBot="1">
      <c r="A49" s="2423" t="s">
        <v>1145</v>
      </c>
      <c r="B49" s="2424">
        <f t="shared" si="180"/>
        <v>232.06990378821649</v>
      </c>
      <c r="C49" s="2424">
        <f t="shared" si="180"/>
        <v>192.74878854286936</v>
      </c>
      <c r="D49" s="2424">
        <f t="shared" si="166"/>
        <v>192.74878854286936</v>
      </c>
      <c r="E49" s="2424">
        <f t="shared" si="181"/>
        <v>319.71247284992984</v>
      </c>
      <c r="F49" s="2424">
        <f t="shared" si="181"/>
        <v>175.67053622862409</v>
      </c>
      <c r="G49" s="3391">
        <v>2010</v>
      </c>
      <c r="H49" s="2425">
        <v>1</v>
      </c>
      <c r="I49" s="2425">
        <v>5.4</v>
      </c>
      <c r="J49" s="2425">
        <v>3.2</v>
      </c>
      <c r="K49" s="2425">
        <v>6.16</v>
      </c>
      <c r="L49" s="2431">
        <v>4.51</v>
      </c>
      <c r="N49" s="2426">
        <f t="shared" si="168"/>
        <v>5.4000000000000006E-2</v>
      </c>
      <c r="O49" s="2411">
        <f t="shared" si="168"/>
        <v>3.2000000000000001E-2</v>
      </c>
      <c r="P49" s="2411">
        <f t="shared" si="168"/>
        <v>6.1600000000000002E-2</v>
      </c>
      <c r="Q49" s="2411">
        <f t="shared" si="168"/>
        <v>4.5100000000000001E-2</v>
      </c>
      <c r="R49" s="2427"/>
      <c r="S49" s="2442">
        <f>B49/B50-1</f>
        <v>5.4863199037347599E-2</v>
      </c>
      <c r="T49" s="2443">
        <f>C49/C50-1</f>
        <v>3.0742184721226584E-2</v>
      </c>
      <c r="U49" s="2443">
        <f>E49/E50-1</f>
        <v>6.2167683886810154E-2</v>
      </c>
      <c r="V49" s="2443">
        <f>F49/F50-1</f>
        <v>4.5657953741810031E-2</v>
      </c>
      <c r="X49" s="2411"/>
      <c r="Y49" s="2411"/>
      <c r="Z49" s="2411"/>
    </row>
    <row r="50" spans="1:26" ht="13.5" thickBot="1">
      <c r="A50" s="2423" t="s">
        <v>1146</v>
      </c>
      <c r="B50" s="2438">
        <v>220</v>
      </c>
      <c r="C50" s="2438">
        <v>187</v>
      </c>
      <c r="D50" s="2438">
        <f t="shared" si="166"/>
        <v>187</v>
      </c>
      <c r="E50" s="2438">
        <v>301</v>
      </c>
      <c r="F50" s="2439">
        <v>168</v>
      </c>
      <c r="G50" s="3389">
        <v>2009</v>
      </c>
      <c r="H50" s="2444">
        <v>4</v>
      </c>
      <c r="I50" s="2444">
        <v>2.2999999999999998</v>
      </c>
      <c r="J50" s="2444">
        <v>1.04</v>
      </c>
      <c r="K50" s="2444">
        <v>2.84</v>
      </c>
      <c r="L50" s="2445">
        <v>0.67</v>
      </c>
      <c r="N50" s="2446">
        <f t="shared" si="168"/>
        <v>2.3E-2</v>
      </c>
      <c r="O50" s="2447">
        <f t="shared" si="168"/>
        <v>1.04E-2</v>
      </c>
      <c r="P50" s="2447">
        <f t="shared" si="168"/>
        <v>2.8399999999999998E-2</v>
      </c>
      <c r="Q50" s="2447">
        <f t="shared" si="168"/>
        <v>6.7000000000000002E-3</v>
      </c>
      <c r="R50" s="2427"/>
      <c r="S50" s="2440"/>
      <c r="T50" s="2441"/>
      <c r="U50" s="2441"/>
      <c r="V50" s="2441"/>
      <c r="X50" s="2441"/>
      <c r="Y50" s="2441"/>
      <c r="Z50" s="2441"/>
    </row>
    <row r="51" spans="1:26">
      <c r="A51" s="2423" t="s">
        <v>1147</v>
      </c>
      <c r="B51" s="2424">
        <f t="shared" ref="B51:C53" si="182">B50/(1+N50)</f>
        <v>215.05376344086022</v>
      </c>
      <c r="C51" s="2424">
        <f t="shared" si="182"/>
        <v>185.0752177355503</v>
      </c>
      <c r="D51" s="2424">
        <f t="shared" si="166"/>
        <v>185.0752177355503</v>
      </c>
      <c r="E51" s="2424">
        <f t="shared" ref="E51:F53" si="183">E50/(1+P50)</f>
        <v>292.68767016725008</v>
      </c>
      <c r="F51" s="2424">
        <f t="shared" si="183"/>
        <v>166.88189132810174</v>
      </c>
      <c r="G51" s="3390">
        <v>2009</v>
      </c>
      <c r="H51" s="2449">
        <v>3</v>
      </c>
      <c r="I51" s="2449">
        <v>2.1</v>
      </c>
      <c r="J51" s="2449">
        <v>1.86</v>
      </c>
      <c r="K51" s="2449">
        <v>2.29</v>
      </c>
      <c r="L51" s="2450">
        <v>0.85</v>
      </c>
      <c r="N51" s="2426">
        <f t="shared" si="168"/>
        <v>2.1000000000000001E-2</v>
      </c>
      <c r="O51" s="2451">
        <f t="shared" si="168"/>
        <v>1.8600000000000002E-2</v>
      </c>
      <c r="P51" s="2451">
        <f t="shared" si="168"/>
        <v>2.29E-2</v>
      </c>
      <c r="Q51" s="2451">
        <f t="shared" si="168"/>
        <v>8.5000000000000006E-3</v>
      </c>
      <c r="R51" s="2427"/>
      <c r="S51" s="2426"/>
      <c r="T51" s="2411"/>
      <c r="U51" s="2411"/>
      <c r="V51" s="2411"/>
    </row>
    <row r="52" spans="1:26">
      <c r="A52" s="2423" t="s">
        <v>1148</v>
      </c>
      <c r="B52" s="2424">
        <f t="shared" si="182"/>
        <v>210.630522469011</v>
      </c>
      <c r="C52" s="2424">
        <f t="shared" si="182"/>
        <v>181.69567812247232</v>
      </c>
      <c r="D52" s="2424">
        <f t="shared" si="166"/>
        <v>181.69567812247232</v>
      </c>
      <c r="E52" s="2424">
        <f t="shared" si="183"/>
        <v>286.13517466736738</v>
      </c>
      <c r="F52" s="2424">
        <f t="shared" si="183"/>
        <v>165.47535084591149</v>
      </c>
      <c r="G52" s="3390">
        <v>2009</v>
      </c>
      <c r="H52" s="2436">
        <v>2</v>
      </c>
      <c r="I52" s="2436">
        <v>0.86</v>
      </c>
      <c r="J52" s="2436">
        <v>-1.1299999999999999</v>
      </c>
      <c r="K52" s="2436">
        <v>1.79</v>
      </c>
      <c r="L52" s="2437">
        <v>-2.0699999999999998</v>
      </c>
      <c r="N52" s="2426">
        <f t="shared" si="168"/>
        <v>8.6E-3</v>
      </c>
      <c r="O52" s="2451">
        <f t="shared" si="168"/>
        <v>-1.1299999999999999E-2</v>
      </c>
      <c r="P52" s="2451">
        <f t="shared" si="168"/>
        <v>1.7899999999999999E-2</v>
      </c>
      <c r="Q52" s="2451">
        <f t="shared" si="168"/>
        <v>-2.07E-2</v>
      </c>
      <c r="R52" s="2427"/>
      <c r="S52" s="2426"/>
      <c r="T52" s="2411"/>
      <c r="U52" s="2411"/>
      <c r="V52" s="2411"/>
    </row>
    <row r="53" spans="1:26">
      <c r="A53" s="2423" t="s">
        <v>1149</v>
      </c>
      <c r="B53" s="2424">
        <f t="shared" si="182"/>
        <v>208.83454537875372</v>
      </c>
      <c r="C53" s="2424">
        <f t="shared" si="182"/>
        <v>183.77230517090351</v>
      </c>
      <c r="D53" s="2424">
        <f t="shared" si="166"/>
        <v>183.77230517090351</v>
      </c>
      <c r="E53" s="2424">
        <f t="shared" si="183"/>
        <v>281.10342338870947</v>
      </c>
      <c r="F53" s="2424">
        <f t="shared" si="183"/>
        <v>168.97309388942256</v>
      </c>
      <c r="G53" s="3391">
        <v>2009</v>
      </c>
      <c r="H53" s="2425">
        <v>1</v>
      </c>
      <c r="I53" s="2425">
        <v>-2.64</v>
      </c>
      <c r="J53" s="2425">
        <v>-2.5299999999999998</v>
      </c>
      <c r="K53" s="2425">
        <v>-3.02</v>
      </c>
      <c r="L53" s="2431">
        <v>1.52</v>
      </c>
      <c r="N53" s="2442">
        <f t="shared" si="168"/>
        <v>-2.64E-2</v>
      </c>
      <c r="O53" s="2443">
        <f t="shared" si="168"/>
        <v>-2.53E-2</v>
      </c>
      <c r="P53" s="2443">
        <f t="shared" si="168"/>
        <v>-3.0200000000000001E-2</v>
      </c>
      <c r="Q53" s="2443">
        <f t="shared" si="168"/>
        <v>1.52E-2</v>
      </c>
      <c r="R53" s="2427"/>
      <c r="S53" s="2442">
        <f>B53/B54-1</f>
        <v>-2.4137638417038754E-2</v>
      </c>
      <c r="T53" s="2443">
        <f>C53/C54-1</f>
        <v>-2.248773845264096E-2</v>
      </c>
      <c r="U53" s="2443">
        <f>E53/E54-1</f>
        <v>-2.7323794502735366E-2</v>
      </c>
      <c r="V53" s="2443">
        <f>F53/F54-1</f>
        <v>1.7910204153148035E-2</v>
      </c>
      <c r="X53" s="2411"/>
      <c r="Y53" s="2411"/>
      <c r="Z53" s="2411"/>
    </row>
    <row r="54" spans="1:26" ht="13.5" thickBot="1">
      <c r="A54" s="2423" t="s">
        <v>1150</v>
      </c>
      <c r="B54" s="2473">
        <v>214</v>
      </c>
      <c r="C54" s="2473">
        <v>188</v>
      </c>
      <c r="D54" s="2473">
        <f t="shared" si="166"/>
        <v>188</v>
      </c>
      <c r="E54" s="2473">
        <v>289</v>
      </c>
      <c r="F54" s="2474">
        <v>166</v>
      </c>
      <c r="G54" s="3389">
        <v>2008</v>
      </c>
      <c r="H54" s="2444">
        <v>4</v>
      </c>
      <c r="I54" s="2444">
        <v>1.73</v>
      </c>
      <c r="J54" s="2444">
        <v>0.03</v>
      </c>
      <c r="K54" s="2444">
        <v>2.59</v>
      </c>
      <c r="L54" s="2445">
        <v>-1.66</v>
      </c>
      <c r="N54" s="2426">
        <f t="shared" si="168"/>
        <v>1.7299999999999999E-2</v>
      </c>
      <c r="O54" s="2411">
        <f t="shared" si="168"/>
        <v>2.9999999999999997E-4</v>
      </c>
      <c r="P54" s="2411">
        <f t="shared" si="168"/>
        <v>2.5899999999999999E-2</v>
      </c>
      <c r="Q54" s="2411">
        <f t="shared" si="168"/>
        <v>-1.66E-2</v>
      </c>
      <c r="R54" s="2427"/>
      <c r="S54" s="2440"/>
      <c r="T54" s="2441"/>
      <c r="U54" s="2441"/>
      <c r="V54" s="2441"/>
      <c r="X54" s="2441"/>
      <c r="Y54" s="2441"/>
      <c r="Z54" s="2441"/>
    </row>
    <row r="55" spans="1:26">
      <c r="A55" s="2423" t="s">
        <v>1151</v>
      </c>
      <c r="B55" s="2424">
        <f t="shared" ref="B55:C57" si="184">B54/(1+N54)</f>
        <v>210.36075887152265</v>
      </c>
      <c r="C55" s="2424">
        <f t="shared" si="184"/>
        <v>187.94361691492554</v>
      </c>
      <c r="D55" s="2424">
        <f t="shared" si="166"/>
        <v>187.94361691492554</v>
      </c>
      <c r="E55" s="2424">
        <f t="shared" ref="E55:F57" si="185">E54/(1+P54)</f>
        <v>281.70386977288234</v>
      </c>
      <c r="F55" s="2424">
        <f t="shared" si="185"/>
        <v>168.80211511083994</v>
      </c>
      <c r="G55" s="3390">
        <v>2008</v>
      </c>
      <c r="H55" s="2449">
        <v>3</v>
      </c>
      <c r="I55" s="2449">
        <v>1.96</v>
      </c>
      <c r="J55" s="2449">
        <v>2.36</v>
      </c>
      <c r="K55" s="2449">
        <v>1.82</v>
      </c>
      <c r="L55" s="2450">
        <v>2.2200000000000002</v>
      </c>
      <c r="N55" s="2426">
        <f t="shared" si="168"/>
        <v>1.9599999999999999E-2</v>
      </c>
      <c r="O55" s="2411">
        <f t="shared" si="168"/>
        <v>2.3599999999999999E-2</v>
      </c>
      <c r="P55" s="2411">
        <f t="shared" si="168"/>
        <v>1.8200000000000001E-2</v>
      </c>
      <c r="Q55" s="2411">
        <f t="shared" si="168"/>
        <v>2.2200000000000001E-2</v>
      </c>
      <c r="R55" s="2427"/>
      <c r="S55" s="2426"/>
      <c r="T55" s="2411"/>
      <c r="U55" s="2411"/>
      <c r="V55" s="2411"/>
    </row>
    <row r="56" spans="1:26">
      <c r="A56" s="2423" t="s">
        <v>1152</v>
      </c>
      <c r="B56" s="2424">
        <f t="shared" si="184"/>
        <v>206.31694671589116</v>
      </c>
      <c r="C56" s="2424">
        <f t="shared" si="184"/>
        <v>183.61041121036101</v>
      </c>
      <c r="D56" s="2424">
        <f t="shared" si="166"/>
        <v>183.61041121036101</v>
      </c>
      <c r="E56" s="2424">
        <f t="shared" si="185"/>
        <v>276.66850301795557</v>
      </c>
      <c r="F56" s="2424">
        <f t="shared" si="185"/>
        <v>165.1360938278614</v>
      </c>
      <c r="G56" s="3390">
        <v>2008</v>
      </c>
      <c r="H56" s="2436">
        <v>2</v>
      </c>
      <c r="I56" s="2436">
        <v>4.93</v>
      </c>
      <c r="J56" s="2436">
        <v>7.38</v>
      </c>
      <c r="K56" s="2436">
        <v>3.98</v>
      </c>
      <c r="L56" s="2437">
        <v>6.86</v>
      </c>
      <c r="N56" s="2426">
        <f t="shared" si="168"/>
        <v>4.9299999999999997E-2</v>
      </c>
      <c r="O56" s="2411">
        <f t="shared" si="168"/>
        <v>7.3800000000000004E-2</v>
      </c>
      <c r="P56" s="2411">
        <f t="shared" si="168"/>
        <v>3.9800000000000002E-2</v>
      </c>
      <c r="Q56" s="2411">
        <f t="shared" si="168"/>
        <v>6.8600000000000008E-2</v>
      </c>
      <c r="R56" s="2427"/>
      <c r="S56" s="2426"/>
      <c r="T56" s="2411"/>
      <c r="U56" s="2411"/>
      <c r="V56" s="2411"/>
    </row>
    <row r="57" spans="1:26" s="2479" customFormat="1" ht="13.5" thickBot="1">
      <c r="A57" s="2423" t="s">
        <v>1153</v>
      </c>
      <c r="B57" s="2476">
        <f t="shared" si="184"/>
        <v>196.62341248059772</v>
      </c>
      <c r="C57" s="2476">
        <f t="shared" si="184"/>
        <v>170.99125648199012</v>
      </c>
      <c r="D57" s="2476">
        <f t="shared" si="166"/>
        <v>170.99125648199012</v>
      </c>
      <c r="E57" s="2476">
        <f t="shared" si="185"/>
        <v>266.07857570490052</v>
      </c>
      <c r="F57" s="2476">
        <f t="shared" si="185"/>
        <v>154.53499328828505</v>
      </c>
      <c r="G57" s="3391">
        <v>2008</v>
      </c>
      <c r="H57" s="2477">
        <v>1</v>
      </c>
      <c r="I57" s="2477">
        <v>4.1399999999999997</v>
      </c>
      <c r="J57" s="2477">
        <v>3.45</v>
      </c>
      <c r="K57" s="2477">
        <v>4.95</v>
      </c>
      <c r="L57" s="2478">
        <v>4.82</v>
      </c>
      <c r="N57" s="2480">
        <f t="shared" si="168"/>
        <v>4.1399999999999999E-2</v>
      </c>
      <c r="O57" s="2481">
        <f t="shared" si="168"/>
        <v>3.4500000000000003E-2</v>
      </c>
      <c r="P57" s="2481">
        <f t="shared" si="168"/>
        <v>4.9500000000000002E-2</v>
      </c>
      <c r="Q57" s="2481">
        <f t="shared" si="168"/>
        <v>4.82E-2</v>
      </c>
      <c r="R57" s="2482"/>
      <c r="S57" s="2480">
        <f>B57/B58-1</f>
        <v>4.5869215322328349E-2</v>
      </c>
      <c r="T57" s="2481">
        <f>C57/C58-1</f>
        <v>3.6310645345394743E-2</v>
      </c>
      <c r="U57" s="2481">
        <f>E57/E58-1</f>
        <v>4.7553447657088688E-2</v>
      </c>
      <c r="V57" s="2481">
        <f>F57/F58-1</f>
        <v>4.4155360055980086E-2</v>
      </c>
      <c r="X57" s="2481"/>
      <c r="Y57" s="2481"/>
      <c r="Z57" s="2481"/>
    </row>
    <row r="58" spans="1:26" ht="13.5" thickBot="1">
      <c r="A58" s="2423" t="s">
        <v>1154</v>
      </c>
      <c r="B58" s="2438">
        <v>188</v>
      </c>
      <c r="C58" s="2438">
        <v>165</v>
      </c>
      <c r="D58" s="2438">
        <f t="shared" si="166"/>
        <v>165</v>
      </c>
      <c r="E58" s="2438">
        <v>254</v>
      </c>
      <c r="F58" s="2439">
        <v>148</v>
      </c>
      <c r="G58" s="3389">
        <v>2007</v>
      </c>
      <c r="H58" s="2483">
        <v>4</v>
      </c>
      <c r="I58" s="2483">
        <v>5.51</v>
      </c>
      <c r="J58" s="2483">
        <v>4.8899999999999997</v>
      </c>
      <c r="K58" s="2483">
        <v>6.43</v>
      </c>
      <c r="L58" s="2484">
        <v>5.36</v>
      </c>
      <c r="N58" s="2485">
        <f t="shared" ref="N58:O61" si="186">B58/B59-1</f>
        <v>4.1339718365245526E-2</v>
      </c>
      <c r="O58" s="2486">
        <f t="shared" si="186"/>
        <v>4.0324492593776018E-2</v>
      </c>
      <c r="P58" s="2486">
        <f t="shared" ref="P58:Q61" si="187">E58/E59-1</f>
        <v>6.1625555347990968E-2</v>
      </c>
      <c r="Q58" s="2486">
        <f t="shared" si="187"/>
        <v>4.6757569250590603E-2</v>
      </c>
      <c r="R58" s="2427"/>
      <c r="S58" s="2440"/>
      <c r="T58" s="2441"/>
      <c r="U58" s="2441"/>
      <c r="V58" s="2441"/>
      <c r="X58" s="2441"/>
      <c r="Y58" s="2441"/>
      <c r="Z58" s="2441"/>
    </row>
    <row r="59" spans="1:26">
      <c r="A59" s="2423" t="s">
        <v>1155</v>
      </c>
      <c r="B59" s="2424">
        <f t="shared" ref="B59:C61" si="188">B60+(B$58-B$62)*I59/SUM(I$58:I$61)</f>
        <v>180.5366651097618</v>
      </c>
      <c r="C59" s="2424">
        <f t="shared" si="188"/>
        <v>158.60435967302453</v>
      </c>
      <c r="D59" s="2424">
        <f t="shared" si="166"/>
        <v>158.60435967302453</v>
      </c>
      <c r="E59" s="2424">
        <f t="shared" ref="E59:F61" si="189">E60+(E$58-E$62)*K59/SUM(K$58:K$61)</f>
        <v>239.25573260785075</v>
      </c>
      <c r="F59" s="2424">
        <f t="shared" si="189"/>
        <v>141.38899430740037</v>
      </c>
      <c r="G59" s="3390">
        <v>2007</v>
      </c>
      <c r="H59" s="2449">
        <v>3</v>
      </c>
      <c r="I59" s="2449">
        <v>8.65</v>
      </c>
      <c r="J59" s="2449">
        <v>8.06</v>
      </c>
      <c r="K59" s="2449">
        <v>9.94</v>
      </c>
      <c r="L59" s="2450">
        <v>5.8</v>
      </c>
      <c r="N59" s="2485">
        <f t="shared" si="186"/>
        <v>6.940217571740015E-2</v>
      </c>
      <c r="O59" s="2486">
        <f t="shared" si="186"/>
        <v>7.1197482471153428E-2</v>
      </c>
      <c r="P59" s="2486">
        <f t="shared" si="187"/>
        <v>0.10529679922579582</v>
      </c>
      <c r="Q59" s="2486">
        <f t="shared" si="187"/>
        <v>5.3292245059512133E-2</v>
      </c>
      <c r="R59" s="2427"/>
      <c r="S59" s="2426"/>
      <c r="T59" s="2411"/>
      <c r="U59" s="2411"/>
      <c r="V59" s="2411"/>
      <c r="X59" s="2487"/>
      <c r="Y59" s="2487"/>
      <c r="Z59" s="2487"/>
    </row>
    <row r="60" spans="1:26">
      <c r="A60" s="2423" t="s">
        <v>1156</v>
      </c>
      <c r="B60" s="2424">
        <f t="shared" si="188"/>
        <v>168.82017748715555</v>
      </c>
      <c r="C60" s="2424">
        <f t="shared" si="188"/>
        <v>148.06267029972753</v>
      </c>
      <c r="D60" s="2424">
        <f t="shared" si="166"/>
        <v>148.06267029972753</v>
      </c>
      <c r="E60" s="2424">
        <f t="shared" si="189"/>
        <v>216.46288379323747</v>
      </c>
      <c r="F60" s="2424">
        <f t="shared" si="189"/>
        <v>134.23529411764704</v>
      </c>
      <c r="G60" s="3390">
        <v>2007</v>
      </c>
      <c r="H60" s="2436">
        <v>2</v>
      </c>
      <c r="I60" s="2436">
        <v>3.67</v>
      </c>
      <c r="J60" s="2436">
        <v>2.3199999999999998</v>
      </c>
      <c r="K60" s="2436">
        <v>5.0199999999999996</v>
      </c>
      <c r="L60" s="2437">
        <v>6.71</v>
      </c>
      <c r="N60" s="2485">
        <f t="shared" si="186"/>
        <v>3.0339138143848032E-2</v>
      </c>
      <c r="O60" s="2486">
        <f t="shared" si="186"/>
        <v>2.0922341588790472E-2</v>
      </c>
      <c r="P60" s="2486">
        <f t="shared" si="187"/>
        <v>5.6164796592717003E-2</v>
      </c>
      <c r="Q60" s="2486">
        <f t="shared" si="187"/>
        <v>6.5704536723887319E-2</v>
      </c>
      <c r="R60" s="2427"/>
      <c r="S60" s="2426"/>
      <c r="T60" s="2411"/>
      <c r="U60" s="2411"/>
      <c r="V60" s="2411"/>
      <c r="X60" s="2487"/>
      <c r="Y60" s="2487"/>
      <c r="Z60" s="2487"/>
    </row>
    <row r="61" spans="1:26">
      <c r="A61" s="2423" t="s">
        <v>1157</v>
      </c>
      <c r="B61" s="2424">
        <f t="shared" si="188"/>
        <v>163.84913591779542</v>
      </c>
      <c r="C61" s="2424">
        <f t="shared" si="188"/>
        <v>145.0283378746594</v>
      </c>
      <c r="D61" s="2424">
        <f t="shared" si="166"/>
        <v>145.0283378746594</v>
      </c>
      <c r="E61" s="2424">
        <f t="shared" si="189"/>
        <v>204.95180722891567</v>
      </c>
      <c r="F61" s="2424">
        <f t="shared" si="189"/>
        <v>125.95920303605313</v>
      </c>
      <c r="G61" s="3391">
        <v>2007</v>
      </c>
      <c r="H61" s="2425">
        <v>1</v>
      </c>
      <c r="I61" s="2425">
        <v>3.58</v>
      </c>
      <c r="J61" s="2425">
        <v>3.08</v>
      </c>
      <c r="K61" s="2425">
        <v>4.34</v>
      </c>
      <c r="L61" s="2431">
        <v>3.21</v>
      </c>
      <c r="N61" s="2488">
        <f t="shared" si="186"/>
        <v>3.0497710174814063E-2</v>
      </c>
      <c r="O61" s="2489">
        <f t="shared" si="186"/>
        <v>2.8569772160704998E-2</v>
      </c>
      <c r="P61" s="2489">
        <f t="shared" si="187"/>
        <v>5.1034908866234296E-2</v>
      </c>
      <c r="Q61" s="2489">
        <f t="shared" si="187"/>
        <v>3.245248390207478E-2</v>
      </c>
      <c r="R61" s="2427"/>
      <c r="S61" s="2442">
        <f>B61/B62-1</f>
        <v>3.0497710174814063E-2</v>
      </c>
      <c r="T61" s="2443">
        <f>C61/C62-1</f>
        <v>2.8569772160704998E-2</v>
      </c>
      <c r="U61" s="2443">
        <f>E61/E62-1</f>
        <v>5.1034908866234296E-2</v>
      </c>
      <c r="V61" s="2443">
        <f>F61/F62-1</f>
        <v>3.245248390207478E-2</v>
      </c>
      <c r="X61" s="2487"/>
      <c r="Y61" s="2487"/>
      <c r="Z61" s="2487"/>
    </row>
    <row r="62" spans="1:26" ht="13.5" thickBot="1">
      <c r="A62" s="2423" t="s">
        <v>1158</v>
      </c>
      <c r="B62" s="2452">
        <v>159</v>
      </c>
      <c r="C62" s="2452">
        <v>141</v>
      </c>
      <c r="D62" s="2452">
        <f t="shared" si="166"/>
        <v>141</v>
      </c>
      <c r="E62" s="2452">
        <v>195</v>
      </c>
      <c r="F62" s="2453">
        <v>122</v>
      </c>
      <c r="G62" s="3389">
        <v>2006</v>
      </c>
      <c r="H62" s="2444">
        <v>4</v>
      </c>
      <c r="I62" s="2444">
        <v>3.79</v>
      </c>
      <c r="J62" s="2444">
        <v>2.21</v>
      </c>
      <c r="K62" s="2444">
        <v>5.65</v>
      </c>
      <c r="L62" s="2445">
        <v>5.41</v>
      </c>
      <c r="N62" s="2485">
        <f t="shared" ref="N62:O65" si="190">I62/SUM(I$62:I$65)*(B$62/B$66-1)</f>
        <v>7.245466462748526E-2</v>
      </c>
      <c r="O62" s="2486">
        <f t="shared" si="190"/>
        <v>2.3237230038062766E-2</v>
      </c>
      <c r="P62" s="2486">
        <f t="shared" ref="P62:Q65" si="191">K62/SUM(K$62:K$65)*(E$62/E$66-1)</f>
        <v>0.16146893866323722</v>
      </c>
      <c r="Q62" s="2486">
        <f t="shared" si="191"/>
        <v>5.0755230321793784E-2</v>
      </c>
      <c r="R62" s="2427"/>
      <c r="S62" s="2440"/>
      <c r="T62" s="2441"/>
      <c r="U62" s="2441"/>
      <c r="V62" s="2441"/>
      <c r="X62" s="2487"/>
      <c r="Y62" s="2487"/>
      <c r="Z62" s="2487"/>
    </row>
    <row r="63" spans="1:26">
      <c r="A63" s="2423" t="s">
        <v>1159</v>
      </c>
      <c r="B63" s="2424">
        <f t="shared" ref="B63:C65" si="192">B64+(B$62-B$66)*I63/SUM(I$62:I$65)</f>
        <v>149.00125628140702</v>
      </c>
      <c r="C63" s="2424">
        <f t="shared" si="192"/>
        <v>137.95592286501378</v>
      </c>
      <c r="D63" s="2424">
        <f t="shared" si="166"/>
        <v>137.95592286501378</v>
      </c>
      <c r="E63" s="2424">
        <f t="shared" ref="E63:F65" si="193">E64+(E$62-E$66)*K63/SUM(K$62:K$65)</f>
        <v>169.97231450719823</v>
      </c>
      <c r="F63" s="2424">
        <f t="shared" si="193"/>
        <v>116.21390374331551</v>
      </c>
      <c r="G63" s="3390">
        <v>2006</v>
      </c>
      <c r="H63" s="2449">
        <v>3</v>
      </c>
      <c r="I63" s="2449">
        <v>0.92</v>
      </c>
      <c r="J63" s="2449">
        <v>1.08</v>
      </c>
      <c r="K63" s="2449">
        <v>0.73</v>
      </c>
      <c r="L63" s="2450">
        <v>1.08</v>
      </c>
      <c r="N63" s="2485">
        <f t="shared" si="190"/>
        <v>1.7587939698492462E-2</v>
      </c>
      <c r="O63" s="2486">
        <f t="shared" si="190"/>
        <v>1.1355750425840628E-2</v>
      </c>
      <c r="P63" s="2486">
        <f t="shared" si="191"/>
        <v>2.0862358446754544E-2</v>
      </c>
      <c r="Q63" s="2486">
        <f t="shared" si="191"/>
        <v>1.0132282578103011E-2</v>
      </c>
      <c r="R63" s="2427"/>
      <c r="S63" s="2426"/>
      <c r="T63" s="2411"/>
      <c r="U63" s="2411"/>
      <c r="V63" s="2411"/>
      <c r="X63" s="2487"/>
      <c r="Y63" s="2487"/>
      <c r="Z63" s="2487"/>
    </row>
    <row r="64" spans="1:26">
      <c r="A64" s="2423" t="s">
        <v>1160</v>
      </c>
      <c r="B64" s="2424">
        <f t="shared" si="192"/>
        <v>146.57412060301507</v>
      </c>
      <c r="C64" s="2424">
        <f t="shared" si="192"/>
        <v>136.46831955922866</v>
      </c>
      <c r="D64" s="2424">
        <f t="shared" si="166"/>
        <v>136.46831955922866</v>
      </c>
      <c r="E64" s="2424">
        <f t="shared" si="193"/>
        <v>166.73864894795128</v>
      </c>
      <c r="F64" s="2424">
        <f t="shared" si="193"/>
        <v>115.05882352941177</v>
      </c>
      <c r="G64" s="3390">
        <v>2006</v>
      </c>
      <c r="H64" s="2436">
        <v>2</v>
      </c>
      <c r="I64" s="2436">
        <v>0.96</v>
      </c>
      <c r="J64" s="2436">
        <v>0.25</v>
      </c>
      <c r="K64" s="2436">
        <v>1.9</v>
      </c>
      <c r="L64" s="2437">
        <v>0.95</v>
      </c>
      <c r="N64" s="2485">
        <f t="shared" si="190"/>
        <v>1.8352632728861701E-2</v>
      </c>
      <c r="O64" s="2486">
        <f t="shared" si="190"/>
        <v>2.6286459319075526E-3</v>
      </c>
      <c r="P64" s="2486">
        <f t="shared" si="191"/>
        <v>5.4299289107991269E-2</v>
      </c>
      <c r="Q64" s="2486">
        <f t="shared" si="191"/>
        <v>8.9126559714794995E-3</v>
      </c>
      <c r="R64" s="2427"/>
      <c r="S64" s="2426"/>
      <c r="T64" s="2411"/>
      <c r="U64" s="2411"/>
      <c r="V64" s="2411"/>
      <c r="X64" s="2487"/>
      <c r="Y64" s="2487"/>
      <c r="Z64" s="2487"/>
    </row>
    <row r="65" spans="1:26">
      <c r="A65" s="2423" t="s">
        <v>1161</v>
      </c>
      <c r="B65" s="2424">
        <f t="shared" si="192"/>
        <v>144.04145728643215</v>
      </c>
      <c r="C65" s="2424">
        <f t="shared" si="192"/>
        <v>136.12396694214877</v>
      </c>
      <c r="D65" s="2424">
        <f t="shared" si="166"/>
        <v>136.12396694214877</v>
      </c>
      <c r="E65" s="2424">
        <f t="shared" si="193"/>
        <v>158.32225913621264</v>
      </c>
      <c r="F65" s="2424">
        <f t="shared" si="193"/>
        <v>114.04278074866311</v>
      </c>
      <c r="G65" s="3391">
        <v>2006</v>
      </c>
      <c r="H65" s="2425">
        <v>1</v>
      </c>
      <c r="I65" s="2425">
        <v>2.29</v>
      </c>
      <c r="J65" s="2425">
        <v>3.72</v>
      </c>
      <c r="K65" s="2425">
        <v>0.75</v>
      </c>
      <c r="L65" s="2431">
        <v>0.04</v>
      </c>
      <c r="N65" s="2488">
        <f t="shared" si="190"/>
        <v>4.3778675988638847E-2</v>
      </c>
      <c r="O65" s="2489">
        <f t="shared" si="190"/>
        <v>3.9114251466784385E-2</v>
      </c>
      <c r="P65" s="2489">
        <f t="shared" si="191"/>
        <v>2.1433929911049188E-2</v>
      </c>
      <c r="Q65" s="2489">
        <f t="shared" si="191"/>
        <v>3.7526972511492629E-4</v>
      </c>
      <c r="R65" s="2427"/>
      <c r="S65" s="2442">
        <f>B65/B66-1</f>
        <v>4.3778675988638716E-2</v>
      </c>
      <c r="T65" s="2443">
        <f>C65/C66-1</f>
        <v>3.91142514667846E-2</v>
      </c>
      <c r="U65" s="2443">
        <f>E65/E66-1</f>
        <v>2.143392991104931E-2</v>
      </c>
      <c r="V65" s="2443">
        <f>F65/F66-1</f>
        <v>3.7526972511492396E-4</v>
      </c>
      <c r="X65" s="2487"/>
      <c r="Y65" s="2487"/>
      <c r="Z65" s="2487"/>
    </row>
    <row r="66" spans="1:26" ht="13.5" thickBot="1">
      <c r="A66" s="2423" t="s">
        <v>1162</v>
      </c>
      <c r="B66" s="2452">
        <v>138</v>
      </c>
      <c r="C66" s="2452">
        <v>131</v>
      </c>
      <c r="D66" s="2452">
        <f t="shared" si="166"/>
        <v>131</v>
      </c>
      <c r="E66" s="2452">
        <v>155</v>
      </c>
      <c r="F66" s="2453">
        <v>114</v>
      </c>
      <c r="G66" s="3389">
        <v>2005</v>
      </c>
      <c r="H66" s="2444">
        <v>4</v>
      </c>
      <c r="I66" s="2444">
        <v>3.29</v>
      </c>
      <c r="J66" s="2444">
        <v>1.44</v>
      </c>
      <c r="K66" s="2444">
        <v>0.66</v>
      </c>
      <c r="L66" s="2445">
        <v>7.78</v>
      </c>
      <c r="N66" s="2485">
        <f t="shared" ref="N66:O69" si="194">I66/SUM(I$66:I$69)*(B$66/B$70-1)</f>
        <v>9.9404603216919935E-2</v>
      </c>
      <c r="O66" s="2486">
        <f t="shared" si="194"/>
        <v>4.7636550760861554E-2</v>
      </c>
      <c r="P66" s="2486">
        <f t="shared" ref="P66:Q69" si="195">K66/SUM(K$66:K$69)*(E$66/E$70-1)</f>
        <v>8.3756345177664976E-2</v>
      </c>
      <c r="Q66" s="2486">
        <f t="shared" si="195"/>
        <v>5.2148766661559584E-2</v>
      </c>
      <c r="R66" s="2427"/>
      <c r="S66" s="2440"/>
      <c r="T66" s="2441"/>
      <c r="U66" s="2441"/>
      <c r="V66" s="2441"/>
      <c r="X66" s="2487"/>
      <c r="Y66" s="2487"/>
      <c r="Z66" s="2487"/>
    </row>
    <row r="67" spans="1:26">
      <c r="A67" s="2423" t="s">
        <v>1163</v>
      </c>
      <c r="B67" s="2424">
        <f t="shared" ref="B67:C69" si="196">B68+(B$66-B$70)*I67/SUM(I$66:I$69)</f>
        <v>125.9720430107527</v>
      </c>
      <c r="C67" s="2424">
        <f t="shared" si="196"/>
        <v>125.1883408071749</v>
      </c>
      <c r="D67" s="2424">
        <f t="shared" si="166"/>
        <v>125.1883408071749</v>
      </c>
      <c r="E67" s="2424">
        <f t="shared" ref="E67:F69" si="197">E68+(E$66-E$70)*K67/SUM(K$66:K$69)</f>
        <v>144.61421319796952</v>
      </c>
      <c r="F67" s="2424">
        <f t="shared" si="197"/>
        <v>108.42008196721311</v>
      </c>
      <c r="G67" s="3390">
        <v>2005</v>
      </c>
      <c r="H67" s="2449">
        <v>3</v>
      </c>
      <c r="I67" s="2449">
        <v>0.46</v>
      </c>
      <c r="J67" s="2449">
        <v>0.32</v>
      </c>
      <c r="K67" s="2449">
        <v>0.42</v>
      </c>
      <c r="L67" s="2450">
        <v>0.64</v>
      </c>
      <c r="N67" s="2485">
        <f t="shared" si="194"/>
        <v>1.3898515951301874E-2</v>
      </c>
      <c r="O67" s="2486">
        <f t="shared" si="194"/>
        <v>1.0585900169080346E-2</v>
      </c>
      <c r="P67" s="2486">
        <f t="shared" si="195"/>
        <v>5.3299492385786795E-2</v>
      </c>
      <c r="Q67" s="2486">
        <f t="shared" si="195"/>
        <v>4.2898728359123568E-3</v>
      </c>
      <c r="R67" s="2427"/>
      <c r="S67" s="2426"/>
      <c r="T67" s="2411"/>
      <c r="U67" s="2411"/>
      <c r="V67" s="2411"/>
      <c r="X67" s="2487"/>
      <c r="Y67" s="2487"/>
      <c r="Z67" s="2487"/>
    </row>
    <row r="68" spans="1:26">
      <c r="A68" s="2423" t="s">
        <v>1164</v>
      </c>
      <c r="B68" s="2424">
        <f t="shared" si="196"/>
        <v>124.29032258064517</v>
      </c>
      <c r="C68" s="2424">
        <f t="shared" si="196"/>
        <v>123.8968609865471</v>
      </c>
      <c r="D68" s="2424">
        <f t="shared" si="166"/>
        <v>123.8968609865471</v>
      </c>
      <c r="E68" s="2424">
        <f t="shared" si="197"/>
        <v>138.00507614213197</v>
      </c>
      <c r="F68" s="2424">
        <f t="shared" si="197"/>
        <v>107.96106557377048</v>
      </c>
      <c r="G68" s="3390">
        <v>2005</v>
      </c>
      <c r="H68" s="2436">
        <v>2</v>
      </c>
      <c r="I68" s="2436">
        <v>0.47</v>
      </c>
      <c r="J68" s="2436">
        <v>0.1</v>
      </c>
      <c r="K68" s="2436">
        <v>0.52</v>
      </c>
      <c r="L68" s="2437">
        <v>0.79</v>
      </c>
      <c r="N68" s="2485">
        <f t="shared" si="194"/>
        <v>1.420065760241713E-2</v>
      </c>
      <c r="O68" s="2486">
        <f t="shared" si="194"/>
        <v>3.3080938028376083E-3</v>
      </c>
      <c r="P68" s="2486">
        <f t="shared" si="195"/>
        <v>6.598984771573603E-2</v>
      </c>
      <c r="Q68" s="2486">
        <f t="shared" si="195"/>
        <v>5.2953117818293153E-3</v>
      </c>
      <c r="R68" s="2427"/>
      <c r="S68" s="2426"/>
      <c r="T68" s="2411"/>
      <c r="U68" s="2411"/>
      <c r="V68" s="2411"/>
      <c r="X68" s="2487"/>
      <c r="Y68" s="2487"/>
      <c r="Z68" s="2487"/>
    </row>
    <row r="69" spans="1:26">
      <c r="A69" s="2423" t="s">
        <v>1165</v>
      </c>
      <c r="B69" s="2424">
        <f t="shared" si="196"/>
        <v>122.57204301075269</v>
      </c>
      <c r="C69" s="2424">
        <f t="shared" si="196"/>
        <v>123.4932735426009</v>
      </c>
      <c r="D69" s="2424">
        <f t="shared" si="166"/>
        <v>123.4932735426009</v>
      </c>
      <c r="E69" s="2424">
        <f t="shared" si="197"/>
        <v>129.82233502538071</v>
      </c>
      <c r="F69" s="2424">
        <f t="shared" si="197"/>
        <v>107.39446721311475</v>
      </c>
      <c r="G69" s="3391">
        <v>2005</v>
      </c>
      <c r="H69" s="2425">
        <v>1</v>
      </c>
      <c r="I69" s="2425">
        <v>0.43</v>
      </c>
      <c r="J69" s="2425">
        <v>0.37</v>
      </c>
      <c r="K69" s="2425">
        <v>0.37</v>
      </c>
      <c r="L69" s="2431">
        <v>0.55000000000000004</v>
      </c>
      <c r="N69" s="2488">
        <f t="shared" si="194"/>
        <v>1.2992090997956099E-2</v>
      </c>
      <c r="O69" s="2489">
        <f t="shared" si="194"/>
        <v>1.2239947070499151E-2</v>
      </c>
      <c r="P69" s="2489">
        <f t="shared" si="195"/>
        <v>4.6954314720812178E-2</v>
      </c>
      <c r="Q69" s="2489">
        <f t="shared" si="195"/>
        <v>3.6866094683621815E-3</v>
      </c>
      <c r="R69" s="2427"/>
      <c r="S69" s="2442">
        <f>B69/B70-1</f>
        <v>1.2992090997956174E-2</v>
      </c>
      <c r="T69" s="2443">
        <f>C69/C70-1</f>
        <v>1.2239947070499246E-2</v>
      </c>
      <c r="U69" s="2443">
        <f>E69/E70-1</f>
        <v>4.695431472081224E-2</v>
      </c>
      <c r="V69" s="2443">
        <f>F69/F70-1</f>
        <v>3.6866094683620787E-3</v>
      </c>
      <c r="X69" s="2487"/>
      <c r="Y69" s="2487"/>
      <c r="Z69" s="2487"/>
    </row>
    <row r="70" spans="1:26" ht="13.5" thickBot="1">
      <c r="A70" s="2423" t="s">
        <v>1166</v>
      </c>
      <c r="B70" s="2473">
        <v>121</v>
      </c>
      <c r="C70" s="2473">
        <v>122</v>
      </c>
      <c r="D70" s="2473">
        <f t="shared" si="166"/>
        <v>122</v>
      </c>
      <c r="E70" s="2473">
        <v>124</v>
      </c>
      <c r="F70" s="2474">
        <v>107</v>
      </c>
      <c r="G70" s="3389">
        <v>2004</v>
      </c>
      <c r="H70" s="2444">
        <v>4</v>
      </c>
      <c r="I70" s="2444">
        <v>0.33</v>
      </c>
      <c r="J70" s="2444">
        <v>0.5</v>
      </c>
      <c r="K70" s="2444">
        <v>0.5</v>
      </c>
      <c r="L70" s="2445">
        <v>0</v>
      </c>
      <c r="N70" s="2485">
        <f t="shared" ref="N70:O73" si="198">I70/SUM(I$70:I$73)*(B$70/B$74-1)</f>
        <v>1.3391770148526898E-2</v>
      </c>
      <c r="O70" s="2486">
        <f t="shared" si="198"/>
        <v>1.063264221158958E-2</v>
      </c>
      <c r="P70" s="2486">
        <f t="shared" ref="P70:Q73" si="199">K70/SUM(K$70:K$73)*(E$70/E$74-1)</f>
        <v>2.2244466688911134E-2</v>
      </c>
      <c r="Q70" s="2486">
        <f t="shared" si="199"/>
        <v>0</v>
      </c>
      <c r="R70" s="2427"/>
      <c r="S70" s="2440"/>
      <c r="T70" s="2441"/>
      <c r="U70" s="2441"/>
      <c r="V70" s="2441"/>
      <c r="X70" s="2487"/>
      <c r="Y70" s="2487"/>
      <c r="Z70" s="2487"/>
    </row>
    <row r="71" spans="1:26">
      <c r="A71" s="2423" t="s">
        <v>1167</v>
      </c>
      <c r="B71" s="2424">
        <f t="shared" ref="B71:C73" si="200">B72+(B$70-B$74)*I71/SUM(I$70:I$73)</f>
        <v>119.51351351351352</v>
      </c>
      <c r="C71" s="2424">
        <f t="shared" si="200"/>
        <v>120.7878787878788</v>
      </c>
      <c r="D71" s="2424">
        <f t="shared" si="166"/>
        <v>120.7878787878788</v>
      </c>
      <c r="E71" s="2424">
        <f t="shared" ref="E71:F73" si="201">E72+(E$70-E$74)*K71/SUM(K$70:K$73)</f>
        <v>121.5975975975976</v>
      </c>
      <c r="F71" s="2424">
        <f t="shared" si="201"/>
        <v>107</v>
      </c>
      <c r="G71" s="3390">
        <v>2004</v>
      </c>
      <c r="H71" s="2449">
        <v>3</v>
      </c>
      <c r="I71" s="2449">
        <v>0.56000000000000005</v>
      </c>
      <c r="J71" s="2449">
        <v>0.8</v>
      </c>
      <c r="K71" s="2449">
        <v>0.83</v>
      </c>
      <c r="L71" s="2450">
        <v>0.06</v>
      </c>
      <c r="N71" s="2485">
        <f t="shared" si="198"/>
        <v>2.2725428130833527E-2</v>
      </c>
      <c r="O71" s="2486">
        <f t="shared" si="198"/>
        <v>1.7012227538543329E-2</v>
      </c>
      <c r="P71" s="2486">
        <f t="shared" si="199"/>
        <v>3.6925814703592477E-2</v>
      </c>
      <c r="Q71" s="2486">
        <f t="shared" si="199"/>
        <v>2.8846153846153744E-2</v>
      </c>
      <c r="R71" s="2427"/>
      <c r="S71" s="2426"/>
      <c r="T71" s="2411"/>
      <c r="U71" s="2411"/>
      <c r="V71" s="2411"/>
      <c r="X71" s="2487"/>
      <c r="Y71" s="2487"/>
      <c r="Z71" s="2487"/>
    </row>
    <row r="72" spans="1:26">
      <c r="A72" s="2423" t="s">
        <v>1168</v>
      </c>
      <c r="B72" s="2424">
        <f t="shared" si="200"/>
        <v>116.99099099099099</v>
      </c>
      <c r="C72" s="2424">
        <f t="shared" si="200"/>
        <v>118.84848484848486</v>
      </c>
      <c r="D72" s="2424">
        <f t="shared" si="166"/>
        <v>118.84848484848486</v>
      </c>
      <c r="E72" s="2424">
        <f t="shared" si="201"/>
        <v>117.60960960960961</v>
      </c>
      <c r="F72" s="2424">
        <f t="shared" si="201"/>
        <v>104</v>
      </c>
      <c r="G72" s="3390">
        <v>2004</v>
      </c>
      <c r="H72" s="2436">
        <v>2</v>
      </c>
      <c r="I72" s="2436">
        <v>1</v>
      </c>
      <c r="J72" s="2436">
        <v>1.5</v>
      </c>
      <c r="K72" s="2436">
        <v>1.5</v>
      </c>
      <c r="L72" s="2437">
        <v>0</v>
      </c>
      <c r="N72" s="2485">
        <f t="shared" si="198"/>
        <v>4.0581121662202721E-2</v>
      </c>
      <c r="O72" s="2486">
        <f t="shared" si="198"/>
        <v>3.1897926634768738E-2</v>
      </c>
      <c r="P72" s="2486">
        <f t="shared" si="199"/>
        <v>6.6733400066733395E-2</v>
      </c>
      <c r="Q72" s="2486">
        <f t="shared" si="199"/>
        <v>0</v>
      </c>
      <c r="R72" s="2427"/>
      <c r="S72" s="2426"/>
      <c r="T72" s="2411"/>
      <c r="U72" s="2411"/>
      <c r="V72" s="2411"/>
      <c r="X72" s="2487"/>
      <c r="Y72" s="2487"/>
      <c r="Z72" s="2487"/>
    </row>
    <row r="73" spans="1:26" s="2479" customFormat="1" ht="13.5" thickBot="1">
      <c r="A73" s="2423" t="s">
        <v>1169</v>
      </c>
      <c r="B73" s="2476">
        <f t="shared" si="200"/>
        <v>112.48648648648648</v>
      </c>
      <c r="C73" s="2476">
        <f t="shared" si="200"/>
        <v>115.21212121212122</v>
      </c>
      <c r="D73" s="2476">
        <f t="shared" si="166"/>
        <v>115.21212121212122</v>
      </c>
      <c r="E73" s="2476">
        <f t="shared" si="201"/>
        <v>110.4024024024024</v>
      </c>
      <c r="F73" s="2476">
        <f t="shared" si="201"/>
        <v>104</v>
      </c>
      <c r="G73" s="3391">
        <v>2004</v>
      </c>
      <c r="H73" s="2477">
        <v>1</v>
      </c>
      <c r="I73" s="2477">
        <v>0.33</v>
      </c>
      <c r="J73" s="2477">
        <v>0.5</v>
      </c>
      <c r="K73" s="2477">
        <v>0.5</v>
      </c>
      <c r="L73" s="2478">
        <v>0</v>
      </c>
      <c r="N73" s="2490">
        <f t="shared" si="198"/>
        <v>1.3391770148526898E-2</v>
      </c>
      <c r="O73" s="2491">
        <f t="shared" si="198"/>
        <v>1.063264221158958E-2</v>
      </c>
      <c r="P73" s="2491">
        <f t="shared" si="199"/>
        <v>2.2244466688911134E-2</v>
      </c>
      <c r="Q73" s="2491">
        <f t="shared" si="199"/>
        <v>0</v>
      </c>
      <c r="R73" s="2482"/>
      <c r="S73" s="2480">
        <f>B73/B74-1</f>
        <v>1.3391770148526883E-2</v>
      </c>
      <c r="T73" s="2481">
        <f>C73/C74-1</f>
        <v>1.063264221158966E-2</v>
      </c>
      <c r="U73" s="2481">
        <f>E73/E74-1</f>
        <v>2.2244466688911224E-2</v>
      </c>
      <c r="V73" s="2481">
        <f>F73/F74-1</f>
        <v>0</v>
      </c>
      <c r="X73" s="2492"/>
      <c r="Y73" s="2492"/>
      <c r="Z73" s="2492"/>
    </row>
    <row r="74" spans="1:26" ht="13.5" thickBot="1">
      <c r="A74" s="2423" t="s">
        <v>1170</v>
      </c>
      <c r="B74" s="2493">
        <v>111</v>
      </c>
      <c r="C74" s="2493">
        <v>114</v>
      </c>
      <c r="D74" s="2493">
        <f t="shared" si="166"/>
        <v>114</v>
      </c>
      <c r="E74" s="2493">
        <v>108</v>
      </c>
      <c r="F74" s="2494">
        <v>104</v>
      </c>
      <c r="G74" s="3389">
        <v>2003</v>
      </c>
      <c r="H74" s="2483">
        <v>4</v>
      </c>
      <c r="I74" s="2495"/>
      <c r="J74" s="2495"/>
      <c r="K74" s="2495"/>
      <c r="L74" s="2495"/>
      <c r="N74" s="2496"/>
      <c r="O74" s="2495"/>
      <c r="P74" s="2495"/>
      <c r="Q74" s="2495"/>
      <c r="S74" s="2496"/>
      <c r="T74" s="2495"/>
      <c r="U74" s="2495"/>
      <c r="V74" s="2495"/>
      <c r="X74" s="2487"/>
      <c r="Y74" s="2487"/>
      <c r="Z74" s="2487"/>
    </row>
    <row r="75" spans="1:26">
      <c r="A75" s="2423" t="s">
        <v>1171</v>
      </c>
      <c r="B75" s="2497">
        <f t="shared" ref="B75:C77" si="202">B76+(B$74-B$78)/4</f>
        <v>109.75</v>
      </c>
      <c r="C75" s="2497">
        <f t="shared" si="202"/>
        <v>112.25</v>
      </c>
      <c r="D75" s="2497">
        <f t="shared" si="166"/>
        <v>112.25</v>
      </c>
      <c r="E75" s="2497">
        <f t="shared" ref="E75:F77" si="203">E76+(E$74-E$78)/4</f>
        <v>107.25</v>
      </c>
      <c r="F75" s="2497">
        <f t="shared" si="203"/>
        <v>103.5</v>
      </c>
      <c r="G75" s="3390">
        <v>2003</v>
      </c>
      <c r="H75" s="2449">
        <v>3</v>
      </c>
      <c r="I75" s="2495"/>
      <c r="J75" s="2495"/>
      <c r="K75" s="2495"/>
      <c r="L75" s="2495"/>
      <c r="X75" s="2487"/>
      <c r="Y75" s="2487"/>
      <c r="Z75" s="2487"/>
    </row>
    <row r="76" spans="1:26">
      <c r="A76" s="2423" t="s">
        <v>1172</v>
      </c>
      <c r="B76" s="2497">
        <f t="shared" si="202"/>
        <v>108.5</v>
      </c>
      <c r="C76" s="2497">
        <f t="shared" si="202"/>
        <v>110.5</v>
      </c>
      <c r="D76" s="2497">
        <f t="shared" si="166"/>
        <v>110.5</v>
      </c>
      <c r="E76" s="2497">
        <f t="shared" si="203"/>
        <v>106.5</v>
      </c>
      <c r="F76" s="2497">
        <f t="shared" si="203"/>
        <v>103</v>
      </c>
      <c r="G76" s="3390">
        <v>2003</v>
      </c>
      <c r="H76" s="2436">
        <v>2</v>
      </c>
      <c r="I76" s="2495"/>
      <c r="J76" s="2495"/>
      <c r="K76" s="2495"/>
      <c r="L76" s="2495"/>
      <c r="X76" s="2487"/>
      <c r="Y76" s="2487"/>
      <c r="Z76" s="2487"/>
    </row>
    <row r="77" spans="1:26" ht="13.5" thickBot="1">
      <c r="A77" s="2423" t="s">
        <v>1173</v>
      </c>
      <c r="B77" s="2497">
        <f t="shared" si="202"/>
        <v>107.25</v>
      </c>
      <c r="C77" s="2497">
        <f t="shared" si="202"/>
        <v>108.75</v>
      </c>
      <c r="D77" s="2497">
        <f t="shared" si="166"/>
        <v>108.75</v>
      </c>
      <c r="E77" s="2497">
        <f t="shared" si="203"/>
        <v>105.75</v>
      </c>
      <c r="F77" s="2497">
        <f t="shared" si="203"/>
        <v>102.5</v>
      </c>
      <c r="G77" s="3391">
        <v>2003</v>
      </c>
      <c r="H77" s="2498">
        <v>1</v>
      </c>
      <c r="I77" s="2495"/>
      <c r="J77" s="2495"/>
      <c r="K77" s="2495"/>
      <c r="L77" s="2495"/>
      <c r="S77" s="2426"/>
      <c r="T77" s="2411"/>
      <c r="U77" s="2411"/>
      <c r="X77" s="2487"/>
      <c r="Y77" s="2487"/>
      <c r="Z77" s="2487"/>
    </row>
    <row r="78" spans="1:26" ht="13.5" thickBot="1">
      <c r="A78" s="2423" t="s">
        <v>1174</v>
      </c>
      <c r="B78" s="2499">
        <v>106</v>
      </c>
      <c r="C78" s="2499">
        <v>107</v>
      </c>
      <c r="D78" s="2499">
        <f t="shared" si="166"/>
        <v>107</v>
      </c>
      <c r="E78" s="2499">
        <v>105</v>
      </c>
      <c r="F78" s="2500">
        <v>102</v>
      </c>
      <c r="G78" s="3389">
        <v>2002</v>
      </c>
      <c r="H78" s="2444">
        <v>4</v>
      </c>
      <c r="I78" s="2495"/>
      <c r="J78" s="2495"/>
      <c r="K78" s="2495"/>
      <c r="L78" s="2495"/>
      <c r="N78" s="2496"/>
      <c r="O78" s="2495"/>
      <c r="P78" s="2495"/>
      <c r="Q78" s="2495"/>
      <c r="S78" s="2496"/>
      <c r="T78" s="2495"/>
      <c r="U78" s="2495"/>
      <c r="V78" s="2495"/>
      <c r="X78" s="2487"/>
      <c r="Y78" s="2487"/>
      <c r="Z78" s="2487"/>
    </row>
    <row r="79" spans="1:26">
      <c r="A79" s="2423" t="s">
        <v>1175</v>
      </c>
      <c r="B79" s="2497">
        <f t="shared" ref="B79:C81" si="204">B80+(B$78-B$82)/4</f>
        <v>105</v>
      </c>
      <c r="C79" s="2497">
        <f t="shared" si="204"/>
        <v>106</v>
      </c>
      <c r="D79" s="2497">
        <f t="shared" si="166"/>
        <v>106</v>
      </c>
      <c r="E79" s="2497">
        <f t="shared" ref="E79:F81" si="205">E80+(E$78-E$82)/4</f>
        <v>104.5</v>
      </c>
      <c r="F79" s="2497">
        <f t="shared" si="205"/>
        <v>101.5</v>
      </c>
      <c r="G79" s="3390">
        <v>2002</v>
      </c>
      <c r="H79" s="2449">
        <v>3</v>
      </c>
      <c r="I79" s="2495"/>
      <c r="J79" s="2495"/>
      <c r="K79" s="2495"/>
      <c r="L79" s="2495"/>
      <c r="X79" s="2487"/>
      <c r="Y79" s="2487"/>
      <c r="Z79" s="2487"/>
    </row>
    <row r="80" spans="1:26">
      <c r="A80" s="2423" t="s">
        <v>1176</v>
      </c>
      <c r="B80" s="2497">
        <f t="shared" si="204"/>
        <v>104</v>
      </c>
      <c r="C80" s="2497">
        <f t="shared" si="204"/>
        <v>105</v>
      </c>
      <c r="D80" s="2497">
        <f t="shared" si="166"/>
        <v>105</v>
      </c>
      <c r="E80" s="2497">
        <f t="shared" si="205"/>
        <v>104</v>
      </c>
      <c r="F80" s="2497">
        <f t="shared" si="205"/>
        <v>101</v>
      </c>
      <c r="G80" s="3390">
        <v>2002</v>
      </c>
      <c r="H80" s="2436">
        <v>2</v>
      </c>
      <c r="I80" s="2495"/>
      <c r="J80" s="2495"/>
      <c r="K80" s="2495"/>
      <c r="L80" s="2495"/>
      <c r="X80" s="2487"/>
      <c r="Y80" s="2487"/>
      <c r="Z80" s="2487"/>
    </row>
    <row r="81" spans="1:26" s="2460" customFormat="1" ht="13.5" thickBot="1">
      <c r="A81" s="2456" t="s">
        <v>1177</v>
      </c>
      <c r="B81" s="2463">
        <f t="shared" si="204"/>
        <v>103</v>
      </c>
      <c r="C81" s="2463">
        <f t="shared" si="204"/>
        <v>104</v>
      </c>
      <c r="D81" s="2463">
        <f t="shared" si="166"/>
        <v>104</v>
      </c>
      <c r="E81" s="2463">
        <f t="shared" si="205"/>
        <v>103.5</v>
      </c>
      <c r="F81" s="2463">
        <f t="shared" si="205"/>
        <v>100.5</v>
      </c>
      <c r="G81" s="3391">
        <v>2002</v>
      </c>
      <c r="H81" s="2501">
        <v>1</v>
      </c>
      <c r="I81" s="2502"/>
      <c r="J81" s="2502"/>
      <c r="K81" s="2502"/>
      <c r="L81" s="2502"/>
      <c r="N81" s="2503"/>
      <c r="S81" s="2503"/>
      <c r="X81" s="2504"/>
      <c r="Y81" s="2504"/>
      <c r="Z81" s="2504"/>
    </row>
    <row r="82" spans="1:26" ht="13.5" thickBot="1">
      <c r="B82" s="2505">
        <v>102</v>
      </c>
      <c r="C82" s="2506">
        <v>103</v>
      </c>
      <c r="D82" s="2506">
        <f t="shared" si="166"/>
        <v>103</v>
      </c>
      <c r="E82" s="2506">
        <v>103</v>
      </c>
      <c r="F82" s="2507">
        <v>100</v>
      </c>
      <c r="I82" s="2495"/>
      <c r="J82" s="2495"/>
      <c r="K82" s="2495"/>
      <c r="L82" s="2495"/>
      <c r="N82" s="2496"/>
      <c r="O82" s="2495"/>
      <c r="P82" s="2495"/>
      <c r="Q82" s="2495"/>
      <c r="S82" s="2496"/>
      <c r="T82" s="2495"/>
      <c r="U82" s="2495"/>
      <c r="V82" s="2495"/>
      <c r="X82" s="2441"/>
      <c r="Y82" s="2441"/>
      <c r="Z82" s="2441"/>
    </row>
    <row r="84" spans="1:26" s="2509" customFormat="1">
      <c r="A84" s="2508" t="s">
        <v>1178</v>
      </c>
      <c r="G84" s="2510"/>
      <c r="N84" s="2510"/>
      <c r="S84" s="2510"/>
    </row>
    <row r="85" spans="1:26" s="2509" customFormat="1">
      <c r="A85" s="2509" t="s">
        <v>1179</v>
      </c>
      <c r="G85" s="2510"/>
      <c r="N85" s="2510"/>
      <c r="S85" s="2510"/>
    </row>
    <row r="86" spans="1:26" s="2509" customFormat="1">
      <c r="A86" s="2509" t="s">
        <v>1180</v>
      </c>
      <c r="G86" s="2510"/>
      <c r="I86" s="2511"/>
      <c r="J86" s="2511"/>
      <c r="K86" s="2511"/>
      <c r="L86" s="2511"/>
      <c r="N86" s="2512"/>
      <c r="O86" s="2511"/>
      <c r="P86" s="2511"/>
      <c r="Q86" s="2511"/>
      <c r="S86" s="2512"/>
      <c r="T86" s="2511"/>
      <c r="U86" s="2511"/>
      <c r="V86" s="2511"/>
    </row>
    <row r="87" spans="1:26" s="2509" customFormat="1">
      <c r="A87" s="2509" t="s">
        <v>1181</v>
      </c>
      <c r="G87" s="2510"/>
      <c r="N87" s="2510"/>
      <c r="S87" s="2510"/>
    </row>
    <row r="94" spans="1:26" ht="13.5" thickBot="1"/>
    <row r="95" spans="1:26">
      <c r="G95" s="2410"/>
      <c r="S95" s="2513" t="s">
        <v>1182</v>
      </c>
      <c r="T95" s="2514" t="s">
        <v>1183</v>
      </c>
      <c r="U95" s="2514" t="s">
        <v>1184</v>
      </c>
      <c r="V95" s="2514" t="s">
        <v>1185</v>
      </c>
    </row>
    <row r="96" spans="1:26">
      <c r="G96" s="2410"/>
      <c r="N96" s="2440"/>
      <c r="O96" s="2441"/>
      <c r="P96" s="2441"/>
      <c r="Q96" s="2441"/>
      <c r="S96" s="2515">
        <v>2006</v>
      </c>
      <c r="T96" s="2516">
        <v>15.1</v>
      </c>
      <c r="U96" s="2516">
        <v>7.43</v>
      </c>
      <c r="V96" s="2516">
        <v>26.26</v>
      </c>
    </row>
    <row r="97" spans="7:22">
      <c r="G97" s="2410"/>
      <c r="N97" s="2440"/>
      <c r="O97" s="2441"/>
      <c r="P97" s="2441"/>
      <c r="Q97" s="2441"/>
      <c r="S97" s="2517">
        <v>2005</v>
      </c>
      <c r="T97" s="2518">
        <v>13.9</v>
      </c>
      <c r="U97" s="2518">
        <v>7.49</v>
      </c>
      <c r="V97" s="2518">
        <v>24.92</v>
      </c>
    </row>
    <row r="98" spans="7:22">
      <c r="G98" s="2410"/>
      <c r="N98" s="2440"/>
      <c r="O98" s="2441"/>
      <c r="P98" s="2441"/>
      <c r="Q98" s="2441"/>
      <c r="S98" s="2515">
        <v>2004</v>
      </c>
      <c r="T98" s="2516">
        <v>9.48</v>
      </c>
      <c r="U98" s="2516">
        <v>7.2</v>
      </c>
      <c r="V98" s="2516">
        <v>14.68</v>
      </c>
    </row>
    <row r="99" spans="7:22">
      <c r="G99" s="2410"/>
      <c r="N99" s="2440"/>
      <c r="O99" s="2441"/>
      <c r="P99" s="2441"/>
      <c r="Q99" s="2441"/>
      <c r="S99" s="2517">
        <v>2003</v>
      </c>
      <c r="T99" s="2518">
        <v>4.5</v>
      </c>
      <c r="U99" s="2518">
        <v>6.12</v>
      </c>
      <c r="V99" s="2518">
        <v>2.34</v>
      </c>
    </row>
    <row r="100" spans="7:22" ht="13.5" thickBot="1">
      <c r="G100" s="2410"/>
      <c r="N100" s="2440"/>
      <c r="O100" s="2441"/>
      <c r="P100" s="2441"/>
      <c r="Q100" s="2441"/>
      <c r="S100" s="2519">
        <v>2002</v>
      </c>
      <c r="T100" s="2520">
        <v>3.59</v>
      </c>
      <c r="U100" s="2520">
        <v>4.54</v>
      </c>
      <c r="V100" s="2520">
        <v>2.5499999999999998</v>
      </c>
    </row>
    <row r="101" spans="7:22">
      <c r="G101" s="2410"/>
      <c r="N101" s="2440"/>
      <c r="O101" s="2441"/>
      <c r="P101" s="2441"/>
      <c r="Q101" s="2441"/>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c r="S111" s="2410"/>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32" sqref="U32"/>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45" width="9" style="733"/>
    <col min="46" max="16384" width="9" style="135"/>
  </cols>
  <sheetData>
    <row r="1" spans="1:45" ht="14.25" customHeight="1" thickBot="1">
      <c r="A1" s="151"/>
      <c r="B1" s="1113" t="s">
        <v>2824</v>
      </c>
      <c r="C1" s="3401" t="s">
        <v>2825</v>
      </c>
      <c r="D1" s="3402"/>
      <c r="E1" s="3402"/>
      <c r="F1" s="3402"/>
      <c r="G1" s="3402"/>
      <c r="H1" s="3402"/>
      <c r="I1" s="3402"/>
      <c r="J1" s="3402"/>
      <c r="K1" s="3402"/>
      <c r="L1" s="3402"/>
      <c r="M1" s="3402"/>
      <c r="N1" s="3402"/>
      <c r="O1" s="3402"/>
      <c r="P1" s="3402"/>
      <c r="Q1" s="3402"/>
      <c r="R1" s="3402"/>
      <c r="S1" s="3403"/>
      <c r="T1" s="1113" t="s">
        <v>2826</v>
      </c>
    </row>
    <row r="2" spans="1:45" s="662" customFormat="1" ht="38.25">
      <c r="A2" s="1114"/>
      <c r="B2" s="658" t="s">
        <v>2827</v>
      </c>
      <c r="C2" s="659" t="str">
        <f t="shared" ref="C2:L2" si="0">C3&amp;"(含)"&amp;"-"&amp;D3</f>
        <v>0(含)-50</v>
      </c>
      <c r="D2" s="660" t="str">
        <f t="shared" si="0"/>
        <v>50(含)-100</v>
      </c>
      <c r="E2" s="660" t="str">
        <f t="shared" si="0"/>
        <v>100(含)-150</v>
      </c>
      <c r="F2" s="660" t="str">
        <f t="shared" si="0"/>
        <v>150(含)-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v>0</v>
      </c>
      <c r="D3" s="665">
        <v>50</v>
      </c>
      <c r="E3" s="665">
        <v>100</v>
      </c>
      <c r="F3" s="1473">
        <v>150</v>
      </c>
      <c r="G3" s="1473"/>
      <c r="H3" s="1473"/>
      <c r="I3" s="1473"/>
      <c r="J3" s="1473"/>
      <c r="K3" s="1473"/>
      <c r="L3" s="1474"/>
      <c r="M3" s="1475"/>
      <c r="N3" s="1475"/>
      <c r="O3" s="1473"/>
      <c r="P3" s="1473"/>
      <c r="Q3" s="1473"/>
      <c r="R3" s="1473"/>
      <c r="S3" s="1476"/>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v>100</v>
      </c>
      <c r="D4" s="1120">
        <f>C4-2.5</f>
        <v>97.5</v>
      </c>
      <c r="E4" s="1120">
        <f t="shared" ref="E4:F4" si="7">D4-2.5</f>
        <v>95</v>
      </c>
      <c r="F4" s="1120">
        <f t="shared" si="7"/>
        <v>92.5</v>
      </c>
      <c r="G4" s="1477"/>
      <c r="H4" s="1477"/>
      <c r="I4" s="1477"/>
      <c r="J4" s="1477"/>
      <c r="K4" s="1477"/>
      <c r="L4" s="1477"/>
      <c r="M4" s="1478"/>
      <c r="N4" s="1478"/>
      <c r="O4" s="1477"/>
      <c r="P4" s="1477"/>
      <c r="Q4" s="1477"/>
      <c r="R4" s="1477"/>
      <c r="S4" s="1479"/>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1506" t="s">
        <v>2828</v>
      </c>
      <c r="C5" s="1125"/>
      <c r="D5" s="1126"/>
      <c r="E5" s="1126"/>
      <c r="F5" s="1480"/>
      <c r="G5" s="1480"/>
      <c r="H5" s="1480"/>
      <c r="I5" s="1480"/>
      <c r="J5" s="1480"/>
      <c r="K5" s="1480"/>
      <c r="L5" s="1481"/>
      <c r="M5" s="1482"/>
      <c r="N5" s="1482"/>
      <c r="O5" s="1480"/>
      <c r="P5" s="1480"/>
      <c r="Q5" s="1480"/>
      <c r="R5" s="1480"/>
      <c r="S5" s="1483"/>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100</v>
      </c>
      <c r="E6" s="1032">
        <f t="shared" ref="E6:S6" si="8">D6-$T5</f>
        <v>100</v>
      </c>
      <c r="F6" s="1484">
        <f t="shared" si="8"/>
        <v>100</v>
      </c>
      <c r="G6" s="1484">
        <f t="shared" si="8"/>
        <v>100</v>
      </c>
      <c r="H6" s="1484">
        <f t="shared" si="8"/>
        <v>100</v>
      </c>
      <c r="I6" s="1484">
        <f t="shared" si="8"/>
        <v>100</v>
      </c>
      <c r="J6" s="1484">
        <f t="shared" si="8"/>
        <v>100</v>
      </c>
      <c r="K6" s="1484">
        <f t="shared" si="8"/>
        <v>100</v>
      </c>
      <c r="L6" s="1484">
        <f t="shared" si="8"/>
        <v>100</v>
      </c>
      <c r="M6" s="1484">
        <f t="shared" si="8"/>
        <v>100</v>
      </c>
      <c r="N6" s="1484">
        <f t="shared" si="8"/>
        <v>100</v>
      </c>
      <c r="O6" s="1484">
        <f t="shared" si="8"/>
        <v>100</v>
      </c>
      <c r="P6" s="1484">
        <f t="shared" si="8"/>
        <v>100</v>
      </c>
      <c r="Q6" s="1484">
        <f t="shared" si="8"/>
        <v>100</v>
      </c>
      <c r="R6" s="1484">
        <f t="shared" si="8"/>
        <v>100</v>
      </c>
      <c r="S6" s="1484">
        <f t="shared" si="8"/>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507" t="s">
        <v>2829</v>
      </c>
      <c r="C7" s="1034"/>
      <c r="D7" s="1028"/>
      <c r="E7" s="1028"/>
      <c r="F7" s="1485"/>
      <c r="G7" s="1485"/>
      <c r="H7" s="1485"/>
      <c r="I7" s="1485"/>
      <c r="J7" s="1485"/>
      <c r="K7" s="1485"/>
      <c r="L7" s="1485"/>
      <c r="M7" s="1486"/>
      <c r="N7" s="1487"/>
      <c r="O7" s="1488"/>
      <c r="P7" s="1489"/>
      <c r="Q7" s="1490"/>
      <c r="R7" s="1491"/>
      <c r="S7" s="1492"/>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9">D8-$T7</f>
        <v>100</v>
      </c>
      <c r="F8" s="1484">
        <f t="shared" si="9"/>
        <v>100</v>
      </c>
      <c r="G8" s="1484">
        <f t="shared" si="9"/>
        <v>100</v>
      </c>
      <c r="H8" s="1484">
        <f t="shared" si="9"/>
        <v>100</v>
      </c>
      <c r="I8" s="1484">
        <f t="shared" si="9"/>
        <v>100</v>
      </c>
      <c r="J8" s="1484">
        <f t="shared" si="9"/>
        <v>100</v>
      </c>
      <c r="K8" s="1484">
        <f t="shared" si="9"/>
        <v>100</v>
      </c>
      <c r="L8" s="1484">
        <f t="shared" si="9"/>
        <v>100</v>
      </c>
      <c r="M8" s="1484">
        <f t="shared" si="9"/>
        <v>100</v>
      </c>
      <c r="N8" s="1484">
        <f t="shared" si="9"/>
        <v>100</v>
      </c>
      <c r="O8" s="1484">
        <f t="shared" si="9"/>
        <v>100</v>
      </c>
      <c r="P8" s="1484">
        <f t="shared" si="9"/>
        <v>100</v>
      </c>
      <c r="Q8" s="1484">
        <f t="shared" si="9"/>
        <v>100</v>
      </c>
      <c r="R8" s="1484">
        <f t="shared" si="9"/>
        <v>100</v>
      </c>
      <c r="S8" s="1484">
        <f t="shared" si="9"/>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4"/>
      <c r="B9" s="1507" t="s">
        <v>2830</v>
      </c>
      <c r="C9" s="1034"/>
      <c r="D9" s="1028"/>
      <c r="E9" s="1028"/>
      <c r="F9" s="1485"/>
      <c r="G9" s="1485"/>
      <c r="H9" s="1485"/>
      <c r="I9" s="1485"/>
      <c r="J9" s="1485"/>
      <c r="K9" s="1485"/>
      <c r="L9" s="1493"/>
      <c r="M9" s="1486"/>
      <c r="N9" s="1487"/>
      <c r="O9" s="1488"/>
      <c r="P9" s="1489"/>
      <c r="Q9" s="1490"/>
      <c r="R9" s="1491"/>
      <c r="S9" s="1492"/>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4"/>
      <c r="B10" s="1118"/>
      <c r="C10" s="1129">
        <v>100</v>
      </c>
      <c r="D10" s="1130">
        <f>C10-$T9</f>
        <v>100</v>
      </c>
      <c r="E10" s="1130">
        <f t="shared" ref="E10:S10" si="10">D10-$T9</f>
        <v>100</v>
      </c>
      <c r="F10" s="1494">
        <f t="shared" si="10"/>
        <v>100</v>
      </c>
      <c r="G10" s="1494">
        <f t="shared" si="10"/>
        <v>100</v>
      </c>
      <c r="H10" s="1494">
        <f t="shared" si="10"/>
        <v>100</v>
      </c>
      <c r="I10" s="1494">
        <f t="shared" si="10"/>
        <v>100</v>
      </c>
      <c r="J10" s="1494">
        <f t="shared" si="10"/>
        <v>100</v>
      </c>
      <c r="K10" s="1494">
        <f t="shared" si="10"/>
        <v>100</v>
      </c>
      <c r="L10" s="1494">
        <f t="shared" si="10"/>
        <v>100</v>
      </c>
      <c r="M10" s="1494">
        <f t="shared" si="10"/>
        <v>100</v>
      </c>
      <c r="N10" s="1494">
        <f t="shared" si="10"/>
        <v>100</v>
      </c>
      <c r="O10" s="1494">
        <f t="shared" si="10"/>
        <v>100</v>
      </c>
      <c r="P10" s="1494">
        <f t="shared" si="10"/>
        <v>100</v>
      </c>
      <c r="Q10" s="1494">
        <f t="shared" si="10"/>
        <v>100</v>
      </c>
      <c r="R10" s="1494">
        <f t="shared" si="10"/>
        <v>100</v>
      </c>
      <c r="S10" s="1494">
        <f t="shared" si="10"/>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4"/>
      <c r="B11" s="1506" t="s">
        <v>2831</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4"/>
      <c r="B12" s="1029"/>
      <c r="C12" s="1035">
        <v>100</v>
      </c>
      <c r="D12" s="1032">
        <f>C12-$T11</f>
        <v>100</v>
      </c>
      <c r="E12" s="1032">
        <f t="shared" ref="E12:S12" si="11">D12-$T11</f>
        <v>100</v>
      </c>
      <c r="F12" s="1032">
        <f t="shared" si="11"/>
        <v>100</v>
      </c>
      <c r="G12" s="1032">
        <f t="shared" si="11"/>
        <v>100</v>
      </c>
      <c r="H12" s="1032">
        <f t="shared" si="11"/>
        <v>100</v>
      </c>
      <c r="I12" s="1032">
        <f t="shared" si="11"/>
        <v>100</v>
      </c>
      <c r="J12" s="1032">
        <f t="shared" si="11"/>
        <v>100</v>
      </c>
      <c r="K12" s="1032">
        <f t="shared" si="11"/>
        <v>100</v>
      </c>
      <c r="L12" s="1032">
        <f t="shared" si="11"/>
        <v>100</v>
      </c>
      <c r="M12" s="1032">
        <f t="shared" si="11"/>
        <v>100</v>
      </c>
      <c r="N12" s="1032">
        <f t="shared" si="11"/>
        <v>100</v>
      </c>
      <c r="O12" s="1032">
        <f t="shared" si="11"/>
        <v>100</v>
      </c>
      <c r="P12" s="1032">
        <f t="shared" si="11"/>
        <v>100</v>
      </c>
      <c r="Q12" s="1032">
        <f t="shared" si="11"/>
        <v>100</v>
      </c>
      <c r="R12" s="1032">
        <f>Q12-$T11</f>
        <v>100</v>
      </c>
      <c r="S12" s="1032">
        <f t="shared" si="11"/>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4"/>
      <c r="B13" s="1506" t="s">
        <v>2832</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4"/>
      <c r="B15" s="1506" t="s">
        <v>2833</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4" t="s">
        <v>2834</v>
      </c>
      <c r="B17" s="2365" t="s">
        <v>2835</v>
      </c>
      <c r="C17" s="3065" t="s">
        <v>3189</v>
      </c>
      <c r="D17" s="3066" t="s">
        <v>3190</v>
      </c>
      <c r="E17" s="3066" t="s">
        <v>3191</v>
      </c>
      <c r="F17" s="3066" t="s">
        <v>3192</v>
      </c>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4"/>
      <c r="AS17" s="734"/>
    </row>
    <row r="18" spans="1:45" s="662" customFormat="1" ht="13.5" thickBot="1">
      <c r="A18" s="1149"/>
      <c r="B18" s="1150"/>
      <c r="C18" s="1151">
        <v>100</v>
      </c>
      <c r="D18" s="1152">
        <v>70</v>
      </c>
      <c r="E18" s="1152">
        <v>65</v>
      </c>
      <c r="F18" s="1152">
        <v>55</v>
      </c>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4"/>
      <c r="AS18" s="734"/>
    </row>
    <row r="19" spans="1:45">
      <c r="A19" s="134"/>
      <c r="B19" s="164"/>
      <c r="C19" s="164"/>
      <c r="D19" s="2366" t="s">
        <v>2836</v>
      </c>
      <c r="E19" s="1524"/>
      <c r="F19" s="1524"/>
      <c r="G19" s="1524"/>
      <c r="H19" s="1188"/>
      <c r="I19" s="164"/>
      <c r="J19" s="164"/>
      <c r="K19" s="164"/>
      <c r="L19" s="164"/>
      <c r="M19" s="164"/>
      <c r="N19" s="164"/>
      <c r="O19" s="164"/>
      <c r="P19" s="164"/>
      <c r="Q19" s="164"/>
      <c r="R19" s="726"/>
      <c r="S19" s="134"/>
    </row>
    <row r="20" spans="1:45" ht="16.5" thickBot="1">
      <c r="A20" s="670" t="s">
        <v>2837</v>
      </c>
      <c r="B20" s="300">
        <f>IF(D20="——",S22,S22-F20)</f>
        <v>27603</v>
      </c>
      <c r="C20" s="164"/>
      <c r="D20" s="2367" t="s">
        <v>70</v>
      </c>
      <c r="E20" s="1525"/>
      <c r="F20" s="1113" t="e">
        <f ca="1">SUMIF(INDIRECT("'"&amp;H20&amp;"'"&amp;"!A:A"),"承租人权益价值",INDIRECT("'"&amp;H20&amp;"'"&amp;"!c:c"))</f>
        <v>#REF!</v>
      </c>
      <c r="G20" s="1113" t="s">
        <v>2838</v>
      </c>
      <c r="H20" s="2368"/>
      <c r="I20" s="164"/>
      <c r="J20" s="164"/>
      <c r="K20" s="164"/>
      <c r="L20" s="164"/>
      <c r="M20" s="164"/>
      <c r="N20" s="164"/>
      <c r="O20" s="164"/>
      <c r="P20" s="164"/>
      <c r="Q20" s="164"/>
      <c r="R20" s="726"/>
      <c r="S20" s="134"/>
    </row>
    <row r="21" spans="1:45" ht="15.75">
      <c r="A21" s="670" t="s">
        <v>2839</v>
      </c>
      <c r="B21" s="300">
        <f>ROUND(B20*10000/B22,0)</f>
        <v>12845</v>
      </c>
      <c r="C21" s="164"/>
      <c r="D21" s="164"/>
      <c r="E21" s="164"/>
      <c r="F21" s="164"/>
      <c r="G21" s="164"/>
      <c r="H21" s="164"/>
      <c r="I21" s="164"/>
      <c r="J21" s="164"/>
      <c r="K21" s="164"/>
      <c r="L21" s="164"/>
      <c r="M21" s="164"/>
      <c r="N21" s="164"/>
      <c r="O21" s="164"/>
      <c r="P21" s="164"/>
      <c r="Q21" s="164"/>
      <c r="R21" s="726"/>
      <c r="S21" s="134"/>
    </row>
    <row r="22" spans="1:45">
      <c r="A22" s="322" t="s">
        <v>2840</v>
      </c>
      <c r="B22" s="24">
        <f>SUM(B24:B10000)</f>
        <v>21489.300000000003</v>
      </c>
      <c r="C22" s="3398" t="s">
        <v>33</v>
      </c>
      <c r="D22" s="3399"/>
      <c r="E22" s="3399"/>
      <c r="F22" s="3399"/>
      <c r="G22" s="3399"/>
      <c r="H22" s="3399"/>
      <c r="I22" s="3399"/>
      <c r="J22" s="3399"/>
      <c r="K22" s="3399"/>
      <c r="L22" s="3399"/>
      <c r="M22" s="3399"/>
      <c r="N22" s="3399"/>
      <c r="O22" s="3399"/>
      <c r="P22" s="3399"/>
      <c r="Q22" s="3400"/>
      <c r="R22" s="671">
        <f>ROUND(S22*10000/B22,0)</f>
        <v>12845</v>
      </c>
      <c r="S22" s="24">
        <f>SUM(S24:S10000)</f>
        <v>27603</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2" t="s">
        <v>2844</v>
      </c>
      <c r="S23" s="11" t="s">
        <v>2845</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3063" t="s">
        <v>3182</v>
      </c>
      <c r="B24" s="673">
        <f>'数据-基础表'!I14</f>
        <v>7639.66</v>
      </c>
      <c r="C24" s="3041">
        <v>1</v>
      </c>
      <c r="D24" s="3042"/>
      <c r="E24" s="3041">
        <v>1</v>
      </c>
      <c r="F24" s="3042"/>
      <c r="G24" s="3041">
        <v>1</v>
      </c>
      <c r="H24" s="3042"/>
      <c r="I24" s="3041">
        <v>1</v>
      </c>
      <c r="J24" s="3042"/>
      <c r="K24" s="3041">
        <v>1</v>
      </c>
      <c r="L24" s="3042"/>
      <c r="M24" s="3041">
        <v>1</v>
      </c>
      <c r="N24" s="3042"/>
      <c r="O24" s="3041">
        <v>1</v>
      </c>
      <c r="P24" s="3042" t="s">
        <v>3181</v>
      </c>
      <c r="Q24" s="3041">
        <v>1</v>
      </c>
      <c r="R24" s="676">
        <f>'比较法-商业'!B3</f>
        <v>16319</v>
      </c>
      <c r="S24" s="674">
        <f t="shared" ref="S24:S54" si="12">ROUND(R24*B24/10000,0)</f>
        <v>12467</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3064" t="s">
        <v>3184</v>
      </c>
      <c r="B25" s="673">
        <f>'数据-基础表'!I15</f>
        <v>6889.47</v>
      </c>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t="s">
        <v>3183</v>
      </c>
      <c r="Q25" s="24">
        <f>(SUMIF($17:$17,P25,$18:$18)-SUMIF($17:$17,$P$24,$18:$18)+100)/100</f>
        <v>0.7</v>
      </c>
      <c r="R25" s="671">
        <f>IF(B25="",0,ROUND($R$24*C25*E25*G25*I25*K25*M25*O25*Q25,0))</f>
        <v>11423</v>
      </c>
      <c r="S25" s="322">
        <f t="shared" si="12"/>
        <v>7870</v>
      </c>
    </row>
    <row r="26" spans="1:45">
      <c r="A26" s="3064" t="s">
        <v>3186</v>
      </c>
      <c r="B26" s="673">
        <f>'数据-基础表'!I16</f>
        <v>6243.95</v>
      </c>
      <c r="C26" s="24">
        <f t="shared" ref="C26:C89" si="13">IF(B26="",1,(LOOKUP(B26,$3:$3,$4:$4)-LOOKUP($B$24,$3:$3,$4:$4)+100)/100)</f>
        <v>1</v>
      </c>
      <c r="D26" s="675"/>
      <c r="E26" s="24">
        <f t="shared" ref="E26:E89" si="14">(SUMIF($5:$5,D26,$6:$6)-SUMIF($5:$5,$D$24,$6:$6)+100)/100</f>
        <v>1</v>
      </c>
      <c r="F26" s="675"/>
      <c r="G26" s="24">
        <f t="shared" ref="G26:G89" si="15">(SUMIF($7:$7,F26,$8:$8)-SUMIF($7:$7,$F$24,$8:$8)+100)/100</f>
        <v>1</v>
      </c>
      <c r="H26" s="675"/>
      <c r="I26" s="24">
        <f t="shared" ref="I26:I89" si="16">(SUMIF($9:$9,H26,$10:$10)-SUMIF($9:$9,$H$24,$10:$10)+100)/100</f>
        <v>1</v>
      </c>
      <c r="J26" s="675"/>
      <c r="K26" s="24">
        <f t="shared" ref="K26:K89" si="17">(SUMIF($11:$11,J26,$12:$12)-SUMIF($11:$11,$J$24,$12:$12)+100)/100</f>
        <v>1</v>
      </c>
      <c r="L26" s="675"/>
      <c r="M26" s="24">
        <f t="shared" ref="M26:M89" si="18">(SUMIF($13:$13,L26,$14:$14)-SUMIF($13:$13,$L$24,$14:$14)+100)/100</f>
        <v>1</v>
      </c>
      <c r="N26" s="675"/>
      <c r="O26" s="24">
        <f t="shared" ref="O26:O89" si="19">(SUMIF($15:$15,N26,$16:$16)-SUMIF($15:$15,$N$24,$16:$16)+100)/100</f>
        <v>1</v>
      </c>
      <c r="P26" s="675" t="s">
        <v>3185</v>
      </c>
      <c r="Q26" s="24">
        <f t="shared" ref="Q26:Q89" si="20">(SUMIF($17:$17,P26,$18:$18)-SUMIF($17:$17,$P$24,$18:$18)+100)/100</f>
        <v>0.65</v>
      </c>
      <c r="R26" s="671">
        <f t="shared" ref="R26:R89" si="21">IF(B26="",0,ROUND($R$24*C26*E26*G26*I26*K26*M26*O26*Q26,0))</f>
        <v>10607</v>
      </c>
      <c r="S26" s="322">
        <f t="shared" si="12"/>
        <v>6623</v>
      </c>
    </row>
    <row r="27" spans="1:45">
      <c r="A27" s="3064" t="s">
        <v>3188</v>
      </c>
      <c r="B27" s="673">
        <f>'数据-基础表'!I17</f>
        <v>716.22</v>
      </c>
      <c r="C27" s="24">
        <f t="shared" si="13"/>
        <v>1</v>
      </c>
      <c r="D27" s="675"/>
      <c r="E27" s="24">
        <f t="shared" si="14"/>
        <v>1</v>
      </c>
      <c r="F27" s="675"/>
      <c r="G27" s="24">
        <f t="shared" si="15"/>
        <v>1</v>
      </c>
      <c r="H27" s="675"/>
      <c r="I27" s="24">
        <f t="shared" si="16"/>
        <v>1</v>
      </c>
      <c r="J27" s="675"/>
      <c r="K27" s="24">
        <f t="shared" si="17"/>
        <v>1</v>
      </c>
      <c r="L27" s="675"/>
      <c r="M27" s="24">
        <f t="shared" si="18"/>
        <v>1</v>
      </c>
      <c r="N27" s="675"/>
      <c r="O27" s="24">
        <f t="shared" si="19"/>
        <v>1</v>
      </c>
      <c r="P27" s="675" t="s">
        <v>3187</v>
      </c>
      <c r="Q27" s="24">
        <f t="shared" si="20"/>
        <v>0.55000000000000004</v>
      </c>
      <c r="R27" s="671">
        <f t="shared" si="21"/>
        <v>8975</v>
      </c>
      <c r="S27" s="322">
        <f t="shared" si="12"/>
        <v>643</v>
      </c>
    </row>
    <row r="28" spans="1:45">
      <c r="A28" s="155"/>
      <c r="B28" s="57"/>
      <c r="C28" s="24">
        <f t="shared" si="13"/>
        <v>1</v>
      </c>
      <c r="D28" s="675"/>
      <c r="E28" s="24">
        <f t="shared" si="14"/>
        <v>1</v>
      </c>
      <c r="F28" s="675"/>
      <c r="G28" s="24">
        <f t="shared" si="15"/>
        <v>1</v>
      </c>
      <c r="H28" s="675"/>
      <c r="I28" s="24">
        <f t="shared" si="16"/>
        <v>1</v>
      </c>
      <c r="J28" s="675"/>
      <c r="K28" s="24">
        <f t="shared" si="17"/>
        <v>1</v>
      </c>
      <c r="L28" s="675"/>
      <c r="M28" s="24">
        <f t="shared" si="18"/>
        <v>1</v>
      </c>
      <c r="N28" s="675"/>
      <c r="O28" s="24">
        <f t="shared" si="19"/>
        <v>1</v>
      </c>
      <c r="P28" s="675"/>
      <c r="Q28" s="24">
        <f t="shared" si="20"/>
        <v>0</v>
      </c>
      <c r="R28" s="671">
        <f t="shared" si="21"/>
        <v>0</v>
      </c>
      <c r="S28" s="322">
        <f t="shared" si="12"/>
        <v>0</v>
      </c>
    </row>
    <row r="29" spans="1:45">
      <c r="A29" s="155"/>
      <c r="B29" s="57"/>
      <c r="C29" s="24">
        <f t="shared" si="13"/>
        <v>1</v>
      </c>
      <c r="D29" s="675"/>
      <c r="E29" s="24">
        <f t="shared" si="14"/>
        <v>1</v>
      </c>
      <c r="F29" s="675"/>
      <c r="G29" s="24">
        <f t="shared" si="15"/>
        <v>1</v>
      </c>
      <c r="H29" s="675"/>
      <c r="I29" s="24">
        <f t="shared" si="16"/>
        <v>1</v>
      </c>
      <c r="J29" s="675"/>
      <c r="K29" s="24">
        <f t="shared" si="17"/>
        <v>1</v>
      </c>
      <c r="L29" s="675"/>
      <c r="M29" s="24">
        <f t="shared" si="18"/>
        <v>1</v>
      </c>
      <c r="N29" s="675"/>
      <c r="O29" s="24">
        <f t="shared" si="19"/>
        <v>1</v>
      </c>
      <c r="P29" s="675"/>
      <c r="Q29" s="24">
        <f t="shared" si="20"/>
        <v>0</v>
      </c>
      <c r="R29" s="671">
        <f t="shared" si="21"/>
        <v>0</v>
      </c>
      <c r="S29" s="322">
        <f t="shared" si="12"/>
        <v>0</v>
      </c>
    </row>
    <row r="30" spans="1:45">
      <c r="A30" s="155"/>
      <c r="B30" s="57"/>
      <c r="C30" s="24">
        <f t="shared" si="13"/>
        <v>1</v>
      </c>
      <c r="D30" s="675"/>
      <c r="E30" s="24">
        <f t="shared" si="14"/>
        <v>1</v>
      </c>
      <c r="F30" s="675"/>
      <c r="G30" s="24">
        <f t="shared" si="15"/>
        <v>1</v>
      </c>
      <c r="H30" s="675"/>
      <c r="I30" s="24">
        <f t="shared" si="16"/>
        <v>1</v>
      </c>
      <c r="J30" s="675"/>
      <c r="K30" s="24">
        <f t="shared" si="17"/>
        <v>1</v>
      </c>
      <c r="L30" s="675"/>
      <c r="M30" s="24">
        <f t="shared" si="18"/>
        <v>1</v>
      </c>
      <c r="N30" s="675"/>
      <c r="O30" s="24">
        <f t="shared" si="19"/>
        <v>1</v>
      </c>
      <c r="P30" s="675"/>
      <c r="Q30" s="24">
        <f t="shared" si="20"/>
        <v>0</v>
      </c>
      <c r="R30" s="671">
        <f t="shared" si="21"/>
        <v>0</v>
      </c>
      <c r="S30" s="322">
        <f t="shared" si="12"/>
        <v>0</v>
      </c>
    </row>
    <row r="31" spans="1:45">
      <c r="A31" s="155"/>
      <c r="B31" s="57"/>
      <c r="C31" s="24">
        <f t="shared" si="13"/>
        <v>1</v>
      </c>
      <c r="D31" s="675"/>
      <c r="E31" s="24">
        <f t="shared" si="14"/>
        <v>1</v>
      </c>
      <c r="F31" s="675"/>
      <c r="G31" s="24">
        <f t="shared" si="15"/>
        <v>1</v>
      </c>
      <c r="H31" s="675"/>
      <c r="I31" s="24">
        <f t="shared" si="16"/>
        <v>1</v>
      </c>
      <c r="J31" s="675"/>
      <c r="K31" s="24">
        <f t="shared" si="17"/>
        <v>1</v>
      </c>
      <c r="L31" s="675"/>
      <c r="M31" s="24">
        <f t="shared" si="18"/>
        <v>1</v>
      </c>
      <c r="N31" s="675"/>
      <c r="O31" s="24">
        <f t="shared" si="19"/>
        <v>1</v>
      </c>
      <c r="P31" s="675"/>
      <c r="Q31" s="24">
        <f t="shared" si="20"/>
        <v>0</v>
      </c>
      <c r="R31" s="671">
        <f t="shared" si="21"/>
        <v>0</v>
      </c>
      <c r="S31" s="322">
        <f t="shared" si="12"/>
        <v>0</v>
      </c>
    </row>
    <row r="32" spans="1:45">
      <c r="A32" s="155"/>
      <c r="B32" s="57"/>
      <c r="C32" s="24">
        <f t="shared" si="13"/>
        <v>1</v>
      </c>
      <c r="D32" s="675"/>
      <c r="E32" s="24">
        <f t="shared" si="14"/>
        <v>1</v>
      </c>
      <c r="F32" s="675"/>
      <c r="G32" s="24">
        <f t="shared" si="15"/>
        <v>1</v>
      </c>
      <c r="H32" s="675"/>
      <c r="I32" s="24">
        <f t="shared" si="16"/>
        <v>1</v>
      </c>
      <c r="J32" s="675"/>
      <c r="K32" s="24">
        <f t="shared" si="17"/>
        <v>1</v>
      </c>
      <c r="L32" s="675"/>
      <c r="M32" s="24">
        <f t="shared" si="18"/>
        <v>1</v>
      </c>
      <c r="N32" s="675"/>
      <c r="O32" s="24">
        <f t="shared" si="19"/>
        <v>1</v>
      </c>
      <c r="P32" s="675"/>
      <c r="Q32" s="24">
        <f t="shared" si="20"/>
        <v>0</v>
      </c>
      <c r="R32" s="671">
        <f t="shared" si="21"/>
        <v>0</v>
      </c>
      <c r="S32" s="322">
        <f t="shared" si="12"/>
        <v>0</v>
      </c>
    </row>
    <row r="33" spans="1:19">
      <c r="A33" s="155"/>
      <c r="B33" s="57"/>
      <c r="C33" s="24">
        <f t="shared" si="13"/>
        <v>1</v>
      </c>
      <c r="D33" s="675"/>
      <c r="E33" s="24">
        <f t="shared" si="14"/>
        <v>1</v>
      </c>
      <c r="F33" s="675"/>
      <c r="G33" s="24">
        <f t="shared" si="15"/>
        <v>1</v>
      </c>
      <c r="H33" s="675"/>
      <c r="I33" s="24">
        <f t="shared" si="16"/>
        <v>1</v>
      </c>
      <c r="J33" s="675"/>
      <c r="K33" s="24">
        <f t="shared" si="17"/>
        <v>1</v>
      </c>
      <c r="L33" s="675"/>
      <c r="M33" s="24">
        <f t="shared" si="18"/>
        <v>1</v>
      </c>
      <c r="N33" s="675"/>
      <c r="O33" s="24">
        <f t="shared" si="19"/>
        <v>1</v>
      </c>
      <c r="P33" s="675"/>
      <c r="Q33" s="24">
        <f t="shared" si="20"/>
        <v>0</v>
      </c>
      <c r="R33" s="671">
        <f t="shared" si="21"/>
        <v>0</v>
      </c>
      <c r="S33" s="322">
        <f t="shared" si="12"/>
        <v>0</v>
      </c>
    </row>
    <row r="34" spans="1:19">
      <c r="A34" s="155"/>
      <c r="B34" s="57"/>
      <c r="C34" s="24">
        <f t="shared" si="13"/>
        <v>1</v>
      </c>
      <c r="D34" s="675"/>
      <c r="E34" s="24">
        <f t="shared" si="14"/>
        <v>1</v>
      </c>
      <c r="F34" s="675"/>
      <c r="G34" s="24">
        <f t="shared" si="15"/>
        <v>1</v>
      </c>
      <c r="H34" s="675"/>
      <c r="I34" s="24">
        <f t="shared" si="16"/>
        <v>1</v>
      </c>
      <c r="J34" s="675"/>
      <c r="K34" s="24">
        <f t="shared" si="17"/>
        <v>1</v>
      </c>
      <c r="L34" s="675"/>
      <c r="M34" s="24">
        <f t="shared" si="18"/>
        <v>1</v>
      </c>
      <c r="N34" s="675"/>
      <c r="O34" s="24">
        <f t="shared" si="19"/>
        <v>1</v>
      </c>
      <c r="P34" s="675"/>
      <c r="Q34" s="24">
        <f t="shared" si="20"/>
        <v>0</v>
      </c>
      <c r="R34" s="671">
        <f t="shared" si="21"/>
        <v>0</v>
      </c>
      <c r="S34" s="322">
        <f t="shared" si="12"/>
        <v>0</v>
      </c>
    </row>
    <row r="35" spans="1:19">
      <c r="A35" s="155"/>
      <c r="B35" s="57"/>
      <c r="C35" s="24">
        <f t="shared" si="13"/>
        <v>1</v>
      </c>
      <c r="D35" s="675"/>
      <c r="E35" s="24">
        <f t="shared" si="14"/>
        <v>1</v>
      </c>
      <c r="F35" s="675"/>
      <c r="G35" s="24">
        <f t="shared" si="15"/>
        <v>1</v>
      </c>
      <c r="H35" s="675"/>
      <c r="I35" s="24">
        <f t="shared" si="16"/>
        <v>1</v>
      </c>
      <c r="J35" s="675"/>
      <c r="K35" s="24">
        <f t="shared" si="17"/>
        <v>1</v>
      </c>
      <c r="L35" s="675"/>
      <c r="M35" s="24">
        <f t="shared" si="18"/>
        <v>1</v>
      </c>
      <c r="N35" s="675"/>
      <c r="O35" s="24">
        <f t="shared" si="19"/>
        <v>1</v>
      </c>
      <c r="P35" s="675"/>
      <c r="Q35" s="24">
        <f t="shared" si="20"/>
        <v>0</v>
      </c>
      <c r="R35" s="671">
        <f t="shared" si="21"/>
        <v>0</v>
      </c>
      <c r="S35" s="322">
        <f t="shared" si="12"/>
        <v>0</v>
      </c>
    </row>
    <row r="36" spans="1:19">
      <c r="A36" s="155"/>
      <c r="B36" s="57"/>
      <c r="C36" s="24">
        <f t="shared" si="13"/>
        <v>1</v>
      </c>
      <c r="D36" s="675"/>
      <c r="E36" s="24">
        <f t="shared" si="14"/>
        <v>1</v>
      </c>
      <c r="F36" s="675"/>
      <c r="G36" s="24">
        <f t="shared" si="15"/>
        <v>1</v>
      </c>
      <c r="H36" s="675"/>
      <c r="I36" s="24">
        <f t="shared" si="16"/>
        <v>1</v>
      </c>
      <c r="J36" s="675"/>
      <c r="K36" s="24">
        <f t="shared" si="17"/>
        <v>1</v>
      </c>
      <c r="L36" s="675"/>
      <c r="M36" s="24">
        <f t="shared" si="18"/>
        <v>1</v>
      </c>
      <c r="N36" s="675"/>
      <c r="O36" s="24">
        <f t="shared" si="19"/>
        <v>1</v>
      </c>
      <c r="P36" s="675"/>
      <c r="Q36" s="24">
        <f t="shared" si="20"/>
        <v>0</v>
      </c>
      <c r="R36" s="671">
        <f t="shared" si="21"/>
        <v>0</v>
      </c>
      <c r="S36" s="322">
        <f t="shared" si="12"/>
        <v>0</v>
      </c>
    </row>
    <row r="37" spans="1:19">
      <c r="A37" s="155"/>
      <c r="B37" s="57"/>
      <c r="C37" s="24">
        <f t="shared" si="13"/>
        <v>1</v>
      </c>
      <c r="D37" s="675"/>
      <c r="E37" s="24">
        <f t="shared" si="14"/>
        <v>1</v>
      </c>
      <c r="F37" s="675"/>
      <c r="G37" s="24">
        <f t="shared" si="15"/>
        <v>1</v>
      </c>
      <c r="H37" s="675"/>
      <c r="I37" s="24">
        <f t="shared" si="16"/>
        <v>1</v>
      </c>
      <c r="J37" s="675"/>
      <c r="K37" s="24">
        <f t="shared" si="17"/>
        <v>1</v>
      </c>
      <c r="L37" s="675"/>
      <c r="M37" s="24">
        <f t="shared" si="18"/>
        <v>1</v>
      </c>
      <c r="N37" s="675"/>
      <c r="O37" s="24">
        <f t="shared" si="19"/>
        <v>1</v>
      </c>
      <c r="P37" s="675"/>
      <c r="Q37" s="24">
        <f t="shared" si="20"/>
        <v>0</v>
      </c>
      <c r="R37" s="671">
        <f t="shared" si="21"/>
        <v>0</v>
      </c>
      <c r="S37" s="322">
        <f t="shared" si="12"/>
        <v>0</v>
      </c>
    </row>
    <row r="38" spans="1:19">
      <c r="A38" s="155"/>
      <c r="B38" s="57"/>
      <c r="C38" s="24">
        <f t="shared" si="13"/>
        <v>1</v>
      </c>
      <c r="D38" s="675"/>
      <c r="E38" s="24">
        <f t="shared" si="14"/>
        <v>1</v>
      </c>
      <c r="F38" s="675"/>
      <c r="G38" s="24">
        <f t="shared" si="15"/>
        <v>1</v>
      </c>
      <c r="H38" s="675"/>
      <c r="I38" s="24">
        <f t="shared" si="16"/>
        <v>1</v>
      </c>
      <c r="J38" s="675"/>
      <c r="K38" s="24">
        <f t="shared" si="17"/>
        <v>1</v>
      </c>
      <c r="L38" s="675"/>
      <c r="M38" s="24">
        <f t="shared" si="18"/>
        <v>1</v>
      </c>
      <c r="N38" s="675"/>
      <c r="O38" s="24">
        <f t="shared" si="19"/>
        <v>1</v>
      </c>
      <c r="P38" s="675"/>
      <c r="Q38" s="24">
        <f t="shared" si="20"/>
        <v>0</v>
      </c>
      <c r="R38" s="671">
        <f t="shared" si="21"/>
        <v>0</v>
      </c>
      <c r="S38" s="322">
        <f t="shared" si="12"/>
        <v>0</v>
      </c>
    </row>
    <row r="39" spans="1:19">
      <c r="A39" s="155"/>
      <c r="B39" s="57"/>
      <c r="C39" s="24">
        <f t="shared" si="13"/>
        <v>1</v>
      </c>
      <c r="D39" s="675"/>
      <c r="E39" s="24">
        <f t="shared" si="14"/>
        <v>1</v>
      </c>
      <c r="F39" s="675"/>
      <c r="G39" s="24">
        <f t="shared" si="15"/>
        <v>1</v>
      </c>
      <c r="H39" s="675"/>
      <c r="I39" s="24">
        <f t="shared" si="16"/>
        <v>1</v>
      </c>
      <c r="J39" s="675"/>
      <c r="K39" s="24">
        <f t="shared" si="17"/>
        <v>1</v>
      </c>
      <c r="L39" s="675"/>
      <c r="M39" s="24">
        <f t="shared" si="18"/>
        <v>1</v>
      </c>
      <c r="N39" s="675"/>
      <c r="O39" s="24">
        <f t="shared" si="19"/>
        <v>1</v>
      </c>
      <c r="P39" s="675"/>
      <c r="Q39" s="24">
        <f t="shared" si="20"/>
        <v>0</v>
      </c>
      <c r="R39" s="671">
        <f t="shared" si="21"/>
        <v>0</v>
      </c>
      <c r="S39" s="322">
        <f t="shared" si="12"/>
        <v>0</v>
      </c>
    </row>
    <row r="40" spans="1:19">
      <c r="A40" s="155"/>
      <c r="B40" s="57"/>
      <c r="C40" s="24">
        <f t="shared" si="13"/>
        <v>1</v>
      </c>
      <c r="D40" s="675"/>
      <c r="E40" s="24">
        <f t="shared" si="14"/>
        <v>1</v>
      </c>
      <c r="F40" s="675"/>
      <c r="G40" s="24">
        <f t="shared" si="15"/>
        <v>1</v>
      </c>
      <c r="H40" s="675"/>
      <c r="I40" s="24">
        <f t="shared" si="16"/>
        <v>1</v>
      </c>
      <c r="J40" s="675"/>
      <c r="K40" s="24">
        <f t="shared" si="17"/>
        <v>1</v>
      </c>
      <c r="L40" s="675"/>
      <c r="M40" s="24">
        <f t="shared" si="18"/>
        <v>1</v>
      </c>
      <c r="N40" s="675"/>
      <c r="O40" s="24">
        <f t="shared" si="19"/>
        <v>1</v>
      </c>
      <c r="P40" s="675"/>
      <c r="Q40" s="24">
        <f t="shared" si="20"/>
        <v>0</v>
      </c>
      <c r="R40" s="671">
        <f t="shared" si="21"/>
        <v>0</v>
      </c>
      <c r="S40" s="322">
        <f t="shared" si="12"/>
        <v>0</v>
      </c>
    </row>
    <row r="41" spans="1:19">
      <c r="A41" s="155"/>
      <c r="B41" s="57"/>
      <c r="C41" s="24">
        <f t="shared" si="13"/>
        <v>1</v>
      </c>
      <c r="D41" s="675"/>
      <c r="E41" s="24">
        <f t="shared" si="14"/>
        <v>1</v>
      </c>
      <c r="F41" s="675"/>
      <c r="G41" s="24">
        <f t="shared" si="15"/>
        <v>1</v>
      </c>
      <c r="H41" s="675"/>
      <c r="I41" s="24">
        <f t="shared" si="16"/>
        <v>1</v>
      </c>
      <c r="J41" s="675"/>
      <c r="K41" s="24">
        <f t="shared" si="17"/>
        <v>1</v>
      </c>
      <c r="L41" s="675"/>
      <c r="M41" s="24">
        <f t="shared" si="18"/>
        <v>1</v>
      </c>
      <c r="N41" s="675"/>
      <c r="O41" s="24">
        <f t="shared" si="19"/>
        <v>1</v>
      </c>
      <c r="P41" s="675"/>
      <c r="Q41" s="24">
        <f t="shared" si="20"/>
        <v>0</v>
      </c>
      <c r="R41" s="671">
        <f t="shared" si="21"/>
        <v>0</v>
      </c>
      <c r="S41" s="322">
        <f t="shared" si="12"/>
        <v>0</v>
      </c>
    </row>
    <row r="42" spans="1:19">
      <c r="A42" s="155"/>
      <c r="B42" s="57"/>
      <c r="C42" s="24">
        <f t="shared" si="13"/>
        <v>1</v>
      </c>
      <c r="D42" s="675"/>
      <c r="E42" s="24">
        <f t="shared" si="14"/>
        <v>1</v>
      </c>
      <c r="F42" s="675"/>
      <c r="G42" s="24">
        <f t="shared" si="15"/>
        <v>1</v>
      </c>
      <c r="H42" s="675"/>
      <c r="I42" s="24">
        <f t="shared" si="16"/>
        <v>1</v>
      </c>
      <c r="J42" s="675"/>
      <c r="K42" s="24">
        <f t="shared" si="17"/>
        <v>1</v>
      </c>
      <c r="L42" s="675"/>
      <c r="M42" s="24">
        <f t="shared" si="18"/>
        <v>1</v>
      </c>
      <c r="N42" s="675"/>
      <c r="O42" s="24">
        <f t="shared" si="19"/>
        <v>1</v>
      </c>
      <c r="P42" s="675"/>
      <c r="Q42" s="24">
        <f t="shared" si="20"/>
        <v>0</v>
      </c>
      <c r="R42" s="671">
        <f t="shared" si="21"/>
        <v>0</v>
      </c>
      <c r="S42" s="322">
        <f t="shared" si="12"/>
        <v>0</v>
      </c>
    </row>
    <row r="43" spans="1:19">
      <c r="A43" s="155"/>
      <c r="B43" s="57"/>
      <c r="C43" s="24">
        <f t="shared" si="13"/>
        <v>1</v>
      </c>
      <c r="D43" s="675"/>
      <c r="E43" s="24">
        <f t="shared" si="14"/>
        <v>1</v>
      </c>
      <c r="F43" s="675"/>
      <c r="G43" s="24">
        <f t="shared" si="15"/>
        <v>1</v>
      </c>
      <c r="H43" s="675"/>
      <c r="I43" s="24">
        <f t="shared" si="16"/>
        <v>1</v>
      </c>
      <c r="J43" s="675"/>
      <c r="K43" s="24">
        <f t="shared" si="17"/>
        <v>1</v>
      </c>
      <c r="L43" s="675"/>
      <c r="M43" s="24">
        <f t="shared" si="18"/>
        <v>1</v>
      </c>
      <c r="N43" s="675"/>
      <c r="O43" s="24">
        <f t="shared" si="19"/>
        <v>1</v>
      </c>
      <c r="P43" s="675"/>
      <c r="Q43" s="24">
        <f t="shared" si="20"/>
        <v>0</v>
      </c>
      <c r="R43" s="671">
        <f t="shared" si="21"/>
        <v>0</v>
      </c>
      <c r="S43" s="322">
        <f t="shared" si="12"/>
        <v>0</v>
      </c>
    </row>
    <row r="44" spans="1:19">
      <c r="A44" s="155"/>
      <c r="B44" s="57"/>
      <c r="C44" s="24">
        <f t="shared" si="13"/>
        <v>1</v>
      </c>
      <c r="D44" s="675"/>
      <c r="E44" s="24">
        <f t="shared" si="14"/>
        <v>1</v>
      </c>
      <c r="F44" s="675"/>
      <c r="G44" s="24">
        <f t="shared" si="15"/>
        <v>1</v>
      </c>
      <c r="H44" s="675"/>
      <c r="I44" s="24">
        <f t="shared" si="16"/>
        <v>1</v>
      </c>
      <c r="J44" s="675"/>
      <c r="K44" s="24">
        <f t="shared" si="17"/>
        <v>1</v>
      </c>
      <c r="L44" s="675"/>
      <c r="M44" s="24">
        <f t="shared" si="18"/>
        <v>1</v>
      </c>
      <c r="N44" s="675"/>
      <c r="O44" s="24">
        <f t="shared" si="19"/>
        <v>1</v>
      </c>
      <c r="P44" s="675"/>
      <c r="Q44" s="24">
        <f t="shared" si="20"/>
        <v>0</v>
      </c>
      <c r="R44" s="671">
        <f t="shared" si="21"/>
        <v>0</v>
      </c>
      <c r="S44" s="322">
        <f t="shared" si="12"/>
        <v>0</v>
      </c>
    </row>
    <row r="45" spans="1:19">
      <c r="A45" s="155"/>
      <c r="B45" s="57"/>
      <c r="C45" s="24">
        <f t="shared" si="13"/>
        <v>1</v>
      </c>
      <c r="D45" s="675"/>
      <c r="E45" s="24">
        <f t="shared" si="14"/>
        <v>1</v>
      </c>
      <c r="F45" s="675"/>
      <c r="G45" s="24">
        <f t="shared" si="15"/>
        <v>1</v>
      </c>
      <c r="H45" s="675"/>
      <c r="I45" s="24">
        <f t="shared" si="16"/>
        <v>1</v>
      </c>
      <c r="J45" s="675"/>
      <c r="K45" s="24">
        <f t="shared" si="17"/>
        <v>1</v>
      </c>
      <c r="L45" s="675"/>
      <c r="M45" s="24">
        <f t="shared" si="18"/>
        <v>1</v>
      </c>
      <c r="N45" s="675"/>
      <c r="O45" s="24">
        <f t="shared" si="19"/>
        <v>1</v>
      </c>
      <c r="P45" s="675"/>
      <c r="Q45" s="24">
        <f t="shared" si="20"/>
        <v>0</v>
      </c>
      <c r="R45" s="671">
        <f t="shared" si="21"/>
        <v>0</v>
      </c>
      <c r="S45" s="322">
        <f t="shared" si="12"/>
        <v>0</v>
      </c>
    </row>
    <row r="46" spans="1:19">
      <c r="A46" s="155"/>
      <c r="B46" s="57"/>
      <c r="C46" s="24">
        <f t="shared" si="13"/>
        <v>1</v>
      </c>
      <c r="D46" s="675"/>
      <c r="E46" s="24">
        <f t="shared" si="14"/>
        <v>1</v>
      </c>
      <c r="F46" s="675"/>
      <c r="G46" s="24">
        <f t="shared" si="15"/>
        <v>1</v>
      </c>
      <c r="H46" s="675"/>
      <c r="I46" s="24">
        <f t="shared" si="16"/>
        <v>1</v>
      </c>
      <c r="J46" s="675"/>
      <c r="K46" s="24">
        <f t="shared" si="17"/>
        <v>1</v>
      </c>
      <c r="L46" s="675"/>
      <c r="M46" s="24">
        <f t="shared" si="18"/>
        <v>1</v>
      </c>
      <c r="N46" s="675"/>
      <c r="O46" s="24">
        <f t="shared" si="19"/>
        <v>1</v>
      </c>
      <c r="P46" s="675"/>
      <c r="Q46" s="24">
        <f t="shared" si="20"/>
        <v>0</v>
      </c>
      <c r="R46" s="671">
        <f t="shared" si="21"/>
        <v>0</v>
      </c>
      <c r="S46" s="322">
        <f t="shared" si="12"/>
        <v>0</v>
      </c>
    </row>
    <row r="47" spans="1:19">
      <c r="A47" s="155"/>
      <c r="B47" s="57"/>
      <c r="C47" s="24">
        <f t="shared" si="13"/>
        <v>1</v>
      </c>
      <c r="D47" s="675"/>
      <c r="E47" s="24">
        <f t="shared" si="14"/>
        <v>1</v>
      </c>
      <c r="F47" s="675"/>
      <c r="G47" s="24">
        <f t="shared" si="15"/>
        <v>1</v>
      </c>
      <c r="H47" s="675"/>
      <c r="I47" s="24">
        <f t="shared" si="16"/>
        <v>1</v>
      </c>
      <c r="J47" s="675"/>
      <c r="K47" s="24">
        <f t="shared" si="17"/>
        <v>1</v>
      </c>
      <c r="L47" s="675"/>
      <c r="M47" s="24">
        <f t="shared" si="18"/>
        <v>1</v>
      </c>
      <c r="N47" s="675"/>
      <c r="O47" s="24">
        <f t="shared" si="19"/>
        <v>1</v>
      </c>
      <c r="P47" s="675"/>
      <c r="Q47" s="24">
        <f t="shared" si="20"/>
        <v>0</v>
      </c>
      <c r="R47" s="671">
        <f t="shared" si="21"/>
        <v>0</v>
      </c>
      <c r="S47" s="322">
        <f t="shared" si="12"/>
        <v>0</v>
      </c>
    </row>
    <row r="48" spans="1:19">
      <c r="A48" s="155"/>
      <c r="B48" s="57"/>
      <c r="C48" s="24">
        <f t="shared" si="13"/>
        <v>1</v>
      </c>
      <c r="D48" s="675"/>
      <c r="E48" s="24">
        <f t="shared" si="14"/>
        <v>1</v>
      </c>
      <c r="F48" s="675"/>
      <c r="G48" s="24">
        <f t="shared" si="15"/>
        <v>1</v>
      </c>
      <c r="H48" s="675"/>
      <c r="I48" s="24">
        <f t="shared" si="16"/>
        <v>1</v>
      </c>
      <c r="J48" s="675"/>
      <c r="K48" s="24">
        <f t="shared" si="17"/>
        <v>1</v>
      </c>
      <c r="L48" s="675"/>
      <c r="M48" s="24">
        <f t="shared" si="18"/>
        <v>1</v>
      </c>
      <c r="N48" s="675"/>
      <c r="O48" s="24">
        <f t="shared" si="19"/>
        <v>1</v>
      </c>
      <c r="P48" s="675"/>
      <c r="Q48" s="24">
        <f t="shared" si="20"/>
        <v>0</v>
      </c>
      <c r="R48" s="671">
        <f t="shared" si="21"/>
        <v>0</v>
      </c>
      <c r="S48" s="322">
        <f t="shared" si="12"/>
        <v>0</v>
      </c>
    </row>
    <row r="49" spans="1:19">
      <c r="A49" s="155"/>
      <c r="B49" s="57"/>
      <c r="C49" s="24">
        <f t="shared" si="13"/>
        <v>1</v>
      </c>
      <c r="D49" s="675"/>
      <c r="E49" s="24">
        <f t="shared" si="14"/>
        <v>1</v>
      </c>
      <c r="F49" s="675"/>
      <c r="G49" s="24">
        <f t="shared" si="15"/>
        <v>1</v>
      </c>
      <c r="H49" s="675"/>
      <c r="I49" s="24">
        <f t="shared" si="16"/>
        <v>1</v>
      </c>
      <c r="J49" s="675"/>
      <c r="K49" s="24">
        <f t="shared" si="17"/>
        <v>1</v>
      </c>
      <c r="L49" s="675"/>
      <c r="M49" s="24">
        <f t="shared" si="18"/>
        <v>1</v>
      </c>
      <c r="N49" s="675"/>
      <c r="O49" s="24">
        <f t="shared" si="19"/>
        <v>1</v>
      </c>
      <c r="P49" s="675"/>
      <c r="Q49" s="24">
        <f t="shared" si="20"/>
        <v>0</v>
      </c>
      <c r="R49" s="671">
        <f t="shared" si="21"/>
        <v>0</v>
      </c>
      <c r="S49" s="322">
        <f t="shared" si="12"/>
        <v>0</v>
      </c>
    </row>
    <row r="50" spans="1:19">
      <c r="A50" s="155"/>
      <c r="B50" s="57"/>
      <c r="C50" s="24">
        <f t="shared" si="13"/>
        <v>1</v>
      </c>
      <c r="D50" s="675"/>
      <c r="E50" s="24">
        <f t="shared" si="14"/>
        <v>1</v>
      </c>
      <c r="F50" s="675"/>
      <c r="G50" s="24">
        <f t="shared" si="15"/>
        <v>1</v>
      </c>
      <c r="H50" s="675"/>
      <c r="I50" s="24">
        <f t="shared" si="16"/>
        <v>1</v>
      </c>
      <c r="J50" s="675"/>
      <c r="K50" s="24">
        <f t="shared" si="17"/>
        <v>1</v>
      </c>
      <c r="L50" s="675"/>
      <c r="M50" s="24">
        <f t="shared" si="18"/>
        <v>1</v>
      </c>
      <c r="N50" s="675"/>
      <c r="O50" s="24">
        <f t="shared" si="19"/>
        <v>1</v>
      </c>
      <c r="P50" s="675"/>
      <c r="Q50" s="24">
        <f t="shared" si="20"/>
        <v>0</v>
      </c>
      <c r="R50" s="671">
        <f t="shared" si="21"/>
        <v>0</v>
      </c>
      <c r="S50" s="322">
        <f t="shared" si="12"/>
        <v>0</v>
      </c>
    </row>
    <row r="51" spans="1:19">
      <c r="A51" s="155"/>
      <c r="B51" s="57"/>
      <c r="C51" s="24">
        <f t="shared" si="13"/>
        <v>1</v>
      </c>
      <c r="D51" s="675"/>
      <c r="E51" s="24">
        <f t="shared" si="14"/>
        <v>1</v>
      </c>
      <c r="F51" s="675"/>
      <c r="G51" s="24">
        <f t="shared" si="15"/>
        <v>1</v>
      </c>
      <c r="H51" s="675"/>
      <c r="I51" s="24">
        <f t="shared" si="16"/>
        <v>1</v>
      </c>
      <c r="J51" s="675"/>
      <c r="K51" s="24">
        <f t="shared" si="17"/>
        <v>1</v>
      </c>
      <c r="L51" s="675"/>
      <c r="M51" s="24">
        <f t="shared" si="18"/>
        <v>1</v>
      </c>
      <c r="N51" s="675"/>
      <c r="O51" s="24">
        <f t="shared" si="19"/>
        <v>1</v>
      </c>
      <c r="P51" s="675"/>
      <c r="Q51" s="24">
        <f t="shared" si="20"/>
        <v>0</v>
      </c>
      <c r="R51" s="671">
        <f t="shared" si="21"/>
        <v>0</v>
      </c>
      <c r="S51" s="322">
        <f t="shared" si="12"/>
        <v>0</v>
      </c>
    </row>
    <row r="52" spans="1:19">
      <c r="A52" s="155"/>
      <c r="B52" s="57"/>
      <c r="C52" s="24">
        <f t="shared" si="13"/>
        <v>1</v>
      </c>
      <c r="D52" s="675"/>
      <c r="E52" s="24">
        <f t="shared" si="14"/>
        <v>1</v>
      </c>
      <c r="F52" s="675"/>
      <c r="G52" s="24">
        <f t="shared" si="15"/>
        <v>1</v>
      </c>
      <c r="H52" s="675"/>
      <c r="I52" s="24">
        <f t="shared" si="16"/>
        <v>1</v>
      </c>
      <c r="J52" s="675"/>
      <c r="K52" s="24">
        <f t="shared" si="17"/>
        <v>1</v>
      </c>
      <c r="L52" s="675"/>
      <c r="M52" s="24">
        <f t="shared" si="18"/>
        <v>1</v>
      </c>
      <c r="N52" s="675"/>
      <c r="O52" s="24">
        <f t="shared" si="19"/>
        <v>1</v>
      </c>
      <c r="P52" s="675"/>
      <c r="Q52" s="24">
        <f t="shared" si="20"/>
        <v>0</v>
      </c>
      <c r="R52" s="671">
        <f t="shared" si="21"/>
        <v>0</v>
      </c>
      <c r="S52" s="322">
        <f t="shared" si="12"/>
        <v>0</v>
      </c>
    </row>
    <row r="53" spans="1:19">
      <c r="A53" s="155"/>
      <c r="B53" s="57"/>
      <c r="C53" s="24">
        <f t="shared" si="13"/>
        <v>1</v>
      </c>
      <c r="D53" s="675"/>
      <c r="E53" s="24">
        <f t="shared" si="14"/>
        <v>1</v>
      </c>
      <c r="F53" s="675"/>
      <c r="G53" s="24">
        <f t="shared" si="15"/>
        <v>1</v>
      </c>
      <c r="H53" s="675"/>
      <c r="I53" s="24">
        <f t="shared" si="16"/>
        <v>1</v>
      </c>
      <c r="J53" s="675"/>
      <c r="K53" s="24">
        <f t="shared" si="17"/>
        <v>1</v>
      </c>
      <c r="L53" s="675"/>
      <c r="M53" s="24">
        <f t="shared" si="18"/>
        <v>1</v>
      </c>
      <c r="N53" s="675"/>
      <c r="O53" s="24">
        <f t="shared" si="19"/>
        <v>1</v>
      </c>
      <c r="P53" s="675"/>
      <c r="Q53" s="24">
        <f t="shared" si="20"/>
        <v>0</v>
      </c>
      <c r="R53" s="671">
        <f t="shared" si="21"/>
        <v>0</v>
      </c>
      <c r="S53" s="322">
        <f t="shared" si="12"/>
        <v>0</v>
      </c>
    </row>
    <row r="54" spans="1:19">
      <c r="A54" s="155"/>
      <c r="B54" s="57"/>
      <c r="C54" s="24">
        <f t="shared" si="13"/>
        <v>1</v>
      </c>
      <c r="D54" s="675"/>
      <c r="E54" s="24">
        <f t="shared" si="14"/>
        <v>1</v>
      </c>
      <c r="F54" s="675"/>
      <c r="G54" s="24">
        <f t="shared" si="15"/>
        <v>1</v>
      </c>
      <c r="H54" s="675"/>
      <c r="I54" s="24">
        <f t="shared" si="16"/>
        <v>1</v>
      </c>
      <c r="J54" s="675"/>
      <c r="K54" s="24">
        <f t="shared" si="17"/>
        <v>1</v>
      </c>
      <c r="L54" s="675"/>
      <c r="M54" s="24">
        <f t="shared" si="18"/>
        <v>1</v>
      </c>
      <c r="N54" s="675"/>
      <c r="O54" s="24">
        <f t="shared" si="19"/>
        <v>1</v>
      </c>
      <c r="P54" s="675"/>
      <c r="Q54" s="24">
        <f t="shared" si="20"/>
        <v>0</v>
      </c>
      <c r="R54" s="671">
        <f t="shared" si="21"/>
        <v>0</v>
      </c>
      <c r="S54" s="322">
        <f t="shared" si="12"/>
        <v>0</v>
      </c>
    </row>
    <row r="55" spans="1:19">
      <c r="A55" s="155"/>
      <c r="B55" s="57"/>
      <c r="C55" s="24">
        <f t="shared" si="13"/>
        <v>1</v>
      </c>
      <c r="D55" s="675"/>
      <c r="E55" s="24">
        <f t="shared" si="14"/>
        <v>1</v>
      </c>
      <c r="F55" s="675"/>
      <c r="G55" s="24">
        <f t="shared" si="15"/>
        <v>1</v>
      </c>
      <c r="H55" s="675"/>
      <c r="I55" s="24">
        <f t="shared" si="16"/>
        <v>1</v>
      </c>
      <c r="J55" s="675"/>
      <c r="K55" s="24">
        <f t="shared" si="17"/>
        <v>1</v>
      </c>
      <c r="L55" s="675"/>
      <c r="M55" s="24">
        <f t="shared" si="18"/>
        <v>1</v>
      </c>
      <c r="N55" s="675"/>
      <c r="O55" s="24">
        <f t="shared" si="19"/>
        <v>1</v>
      </c>
      <c r="P55" s="675"/>
      <c r="Q55" s="24">
        <f t="shared" si="20"/>
        <v>0</v>
      </c>
      <c r="R55" s="671">
        <f t="shared" si="21"/>
        <v>0</v>
      </c>
      <c r="S55" s="322">
        <f t="shared" ref="S55:S77" si="22">ROUND(R55*B55/10000,0)</f>
        <v>0</v>
      </c>
    </row>
    <row r="56" spans="1:19">
      <c r="A56" s="155"/>
      <c r="B56" s="57"/>
      <c r="C56" s="24">
        <f t="shared" si="13"/>
        <v>1</v>
      </c>
      <c r="D56" s="675"/>
      <c r="E56" s="24">
        <f t="shared" si="14"/>
        <v>1</v>
      </c>
      <c r="F56" s="675"/>
      <c r="G56" s="24">
        <f t="shared" si="15"/>
        <v>1</v>
      </c>
      <c r="H56" s="675"/>
      <c r="I56" s="24">
        <f t="shared" si="16"/>
        <v>1</v>
      </c>
      <c r="J56" s="675"/>
      <c r="K56" s="24">
        <f t="shared" si="17"/>
        <v>1</v>
      </c>
      <c r="L56" s="675"/>
      <c r="M56" s="24">
        <f t="shared" si="18"/>
        <v>1</v>
      </c>
      <c r="N56" s="675"/>
      <c r="O56" s="24">
        <f t="shared" si="19"/>
        <v>1</v>
      </c>
      <c r="P56" s="675"/>
      <c r="Q56" s="24">
        <f t="shared" si="20"/>
        <v>0</v>
      </c>
      <c r="R56" s="671">
        <f t="shared" si="21"/>
        <v>0</v>
      </c>
      <c r="S56" s="322">
        <f t="shared" si="22"/>
        <v>0</v>
      </c>
    </row>
    <row r="57" spans="1:19">
      <c r="A57" s="155"/>
      <c r="B57" s="57"/>
      <c r="C57" s="24">
        <f t="shared" si="13"/>
        <v>1</v>
      </c>
      <c r="D57" s="675"/>
      <c r="E57" s="24">
        <f t="shared" si="14"/>
        <v>1</v>
      </c>
      <c r="F57" s="675"/>
      <c r="G57" s="24">
        <f t="shared" si="15"/>
        <v>1</v>
      </c>
      <c r="H57" s="675"/>
      <c r="I57" s="24">
        <f t="shared" si="16"/>
        <v>1</v>
      </c>
      <c r="J57" s="675"/>
      <c r="K57" s="24">
        <f t="shared" si="17"/>
        <v>1</v>
      </c>
      <c r="L57" s="675"/>
      <c r="M57" s="24">
        <f t="shared" si="18"/>
        <v>1</v>
      </c>
      <c r="N57" s="675"/>
      <c r="O57" s="24">
        <f t="shared" si="19"/>
        <v>1</v>
      </c>
      <c r="P57" s="675"/>
      <c r="Q57" s="24">
        <f t="shared" si="20"/>
        <v>0</v>
      </c>
      <c r="R57" s="671">
        <f t="shared" si="21"/>
        <v>0</v>
      </c>
      <c r="S57" s="322">
        <f t="shared" si="22"/>
        <v>0</v>
      </c>
    </row>
    <row r="58" spans="1:19">
      <c r="A58" s="155"/>
      <c r="B58" s="57"/>
      <c r="C58" s="24">
        <f t="shared" si="13"/>
        <v>1</v>
      </c>
      <c r="D58" s="675"/>
      <c r="E58" s="24">
        <f t="shared" si="14"/>
        <v>1</v>
      </c>
      <c r="F58" s="675"/>
      <c r="G58" s="24">
        <f t="shared" si="15"/>
        <v>1</v>
      </c>
      <c r="H58" s="675"/>
      <c r="I58" s="24">
        <f t="shared" si="16"/>
        <v>1</v>
      </c>
      <c r="J58" s="675"/>
      <c r="K58" s="24">
        <f t="shared" si="17"/>
        <v>1</v>
      </c>
      <c r="L58" s="675"/>
      <c r="M58" s="24">
        <f t="shared" si="18"/>
        <v>1</v>
      </c>
      <c r="N58" s="675"/>
      <c r="O58" s="24">
        <f t="shared" si="19"/>
        <v>1</v>
      </c>
      <c r="P58" s="675"/>
      <c r="Q58" s="24">
        <f t="shared" si="20"/>
        <v>0</v>
      </c>
      <c r="R58" s="671">
        <f t="shared" si="21"/>
        <v>0</v>
      </c>
      <c r="S58" s="322">
        <f t="shared" si="22"/>
        <v>0</v>
      </c>
    </row>
    <row r="59" spans="1:19">
      <c r="A59" s="155"/>
      <c r="B59" s="57"/>
      <c r="C59" s="24">
        <f t="shared" si="13"/>
        <v>1</v>
      </c>
      <c r="D59" s="675"/>
      <c r="E59" s="24">
        <f t="shared" si="14"/>
        <v>1</v>
      </c>
      <c r="F59" s="675"/>
      <c r="G59" s="24">
        <f t="shared" si="15"/>
        <v>1</v>
      </c>
      <c r="H59" s="675"/>
      <c r="I59" s="24">
        <f t="shared" si="16"/>
        <v>1</v>
      </c>
      <c r="J59" s="675"/>
      <c r="K59" s="24">
        <f t="shared" si="17"/>
        <v>1</v>
      </c>
      <c r="L59" s="675"/>
      <c r="M59" s="24">
        <f t="shared" si="18"/>
        <v>1</v>
      </c>
      <c r="N59" s="675"/>
      <c r="O59" s="24">
        <f t="shared" si="19"/>
        <v>1</v>
      </c>
      <c r="P59" s="675"/>
      <c r="Q59" s="24">
        <f t="shared" si="20"/>
        <v>0</v>
      </c>
      <c r="R59" s="671">
        <f t="shared" si="21"/>
        <v>0</v>
      </c>
      <c r="S59" s="322">
        <f t="shared" si="22"/>
        <v>0</v>
      </c>
    </row>
    <row r="60" spans="1:19">
      <c r="A60" s="155"/>
      <c r="B60" s="57"/>
      <c r="C60" s="24">
        <f t="shared" si="13"/>
        <v>1</v>
      </c>
      <c r="D60" s="675"/>
      <c r="E60" s="24">
        <f t="shared" si="14"/>
        <v>1</v>
      </c>
      <c r="F60" s="675"/>
      <c r="G60" s="24">
        <f t="shared" si="15"/>
        <v>1</v>
      </c>
      <c r="H60" s="675"/>
      <c r="I60" s="24">
        <f t="shared" si="16"/>
        <v>1</v>
      </c>
      <c r="J60" s="675"/>
      <c r="K60" s="24">
        <f t="shared" si="17"/>
        <v>1</v>
      </c>
      <c r="L60" s="675"/>
      <c r="M60" s="24">
        <f t="shared" si="18"/>
        <v>1</v>
      </c>
      <c r="N60" s="675"/>
      <c r="O60" s="24">
        <f t="shared" si="19"/>
        <v>1</v>
      </c>
      <c r="P60" s="675"/>
      <c r="Q60" s="24">
        <f t="shared" si="20"/>
        <v>0</v>
      </c>
      <c r="R60" s="671">
        <f t="shared" si="21"/>
        <v>0</v>
      </c>
      <c r="S60" s="322">
        <f t="shared" si="22"/>
        <v>0</v>
      </c>
    </row>
    <row r="61" spans="1:19">
      <c r="A61" s="155"/>
      <c r="B61" s="57"/>
      <c r="C61" s="24">
        <f t="shared" si="13"/>
        <v>1</v>
      </c>
      <c r="D61" s="675"/>
      <c r="E61" s="24">
        <f t="shared" si="14"/>
        <v>1</v>
      </c>
      <c r="F61" s="675"/>
      <c r="G61" s="24">
        <f t="shared" si="15"/>
        <v>1</v>
      </c>
      <c r="H61" s="675"/>
      <c r="I61" s="24">
        <f t="shared" si="16"/>
        <v>1</v>
      </c>
      <c r="J61" s="675"/>
      <c r="K61" s="24">
        <f t="shared" si="17"/>
        <v>1</v>
      </c>
      <c r="L61" s="675"/>
      <c r="M61" s="24">
        <f t="shared" si="18"/>
        <v>1</v>
      </c>
      <c r="N61" s="675"/>
      <c r="O61" s="24">
        <f t="shared" si="19"/>
        <v>1</v>
      </c>
      <c r="P61" s="675"/>
      <c r="Q61" s="24">
        <f t="shared" si="20"/>
        <v>0</v>
      </c>
      <c r="R61" s="671">
        <f t="shared" si="21"/>
        <v>0</v>
      </c>
      <c r="S61" s="322">
        <f t="shared" si="22"/>
        <v>0</v>
      </c>
    </row>
    <row r="62" spans="1:19">
      <c r="A62" s="155"/>
      <c r="B62" s="57"/>
      <c r="C62" s="24">
        <f t="shared" si="13"/>
        <v>1</v>
      </c>
      <c r="D62" s="675"/>
      <c r="E62" s="24">
        <f t="shared" si="14"/>
        <v>1</v>
      </c>
      <c r="F62" s="675"/>
      <c r="G62" s="24">
        <f t="shared" si="15"/>
        <v>1</v>
      </c>
      <c r="H62" s="675"/>
      <c r="I62" s="24">
        <f t="shared" si="16"/>
        <v>1</v>
      </c>
      <c r="J62" s="675"/>
      <c r="K62" s="24">
        <f t="shared" si="17"/>
        <v>1</v>
      </c>
      <c r="L62" s="675"/>
      <c r="M62" s="24">
        <f t="shared" si="18"/>
        <v>1</v>
      </c>
      <c r="N62" s="675"/>
      <c r="O62" s="24">
        <f t="shared" si="19"/>
        <v>1</v>
      </c>
      <c r="P62" s="675"/>
      <c r="Q62" s="24">
        <f t="shared" si="20"/>
        <v>0</v>
      </c>
      <c r="R62" s="671">
        <f t="shared" si="21"/>
        <v>0</v>
      </c>
      <c r="S62" s="322">
        <f t="shared" si="22"/>
        <v>0</v>
      </c>
    </row>
    <row r="63" spans="1:19">
      <c r="A63" s="155"/>
      <c r="B63" s="57"/>
      <c r="C63" s="24">
        <f t="shared" si="13"/>
        <v>1</v>
      </c>
      <c r="D63" s="675"/>
      <c r="E63" s="24">
        <f t="shared" si="14"/>
        <v>1</v>
      </c>
      <c r="F63" s="675"/>
      <c r="G63" s="24">
        <f t="shared" si="15"/>
        <v>1</v>
      </c>
      <c r="H63" s="675"/>
      <c r="I63" s="24">
        <f t="shared" si="16"/>
        <v>1</v>
      </c>
      <c r="J63" s="675"/>
      <c r="K63" s="24">
        <f t="shared" si="17"/>
        <v>1</v>
      </c>
      <c r="L63" s="675"/>
      <c r="M63" s="24">
        <f t="shared" si="18"/>
        <v>1</v>
      </c>
      <c r="N63" s="675"/>
      <c r="O63" s="24">
        <f t="shared" si="19"/>
        <v>1</v>
      </c>
      <c r="P63" s="675"/>
      <c r="Q63" s="24">
        <f t="shared" si="20"/>
        <v>0</v>
      </c>
      <c r="R63" s="671">
        <f t="shared" si="21"/>
        <v>0</v>
      </c>
      <c r="S63" s="322">
        <f t="shared" si="22"/>
        <v>0</v>
      </c>
    </row>
    <row r="64" spans="1:19">
      <c r="A64" s="155"/>
      <c r="B64" s="57"/>
      <c r="C64" s="24">
        <f t="shared" si="13"/>
        <v>1</v>
      </c>
      <c r="D64" s="675"/>
      <c r="E64" s="24">
        <f t="shared" si="14"/>
        <v>1</v>
      </c>
      <c r="F64" s="675"/>
      <c r="G64" s="24">
        <f t="shared" si="15"/>
        <v>1</v>
      </c>
      <c r="H64" s="675"/>
      <c r="I64" s="24">
        <f t="shared" si="16"/>
        <v>1</v>
      </c>
      <c r="J64" s="675"/>
      <c r="K64" s="24">
        <f t="shared" si="17"/>
        <v>1</v>
      </c>
      <c r="L64" s="675"/>
      <c r="M64" s="24">
        <f t="shared" si="18"/>
        <v>1</v>
      </c>
      <c r="N64" s="675"/>
      <c r="O64" s="24">
        <f t="shared" si="19"/>
        <v>1</v>
      </c>
      <c r="P64" s="675"/>
      <c r="Q64" s="24">
        <f t="shared" si="20"/>
        <v>0</v>
      </c>
      <c r="R64" s="671">
        <f t="shared" si="21"/>
        <v>0</v>
      </c>
      <c r="S64" s="322">
        <f t="shared" si="22"/>
        <v>0</v>
      </c>
    </row>
    <row r="65" spans="1:19">
      <c r="A65" s="155"/>
      <c r="B65" s="57"/>
      <c r="C65" s="24">
        <f t="shared" si="13"/>
        <v>1</v>
      </c>
      <c r="D65" s="675"/>
      <c r="E65" s="24">
        <f t="shared" si="14"/>
        <v>1</v>
      </c>
      <c r="F65" s="675"/>
      <c r="G65" s="24">
        <f t="shared" si="15"/>
        <v>1</v>
      </c>
      <c r="H65" s="675"/>
      <c r="I65" s="24">
        <f t="shared" si="16"/>
        <v>1</v>
      </c>
      <c r="J65" s="675"/>
      <c r="K65" s="24">
        <f t="shared" si="17"/>
        <v>1</v>
      </c>
      <c r="L65" s="675"/>
      <c r="M65" s="24">
        <f t="shared" si="18"/>
        <v>1</v>
      </c>
      <c r="N65" s="675"/>
      <c r="O65" s="24">
        <f t="shared" si="19"/>
        <v>1</v>
      </c>
      <c r="P65" s="675"/>
      <c r="Q65" s="24">
        <f t="shared" si="20"/>
        <v>0</v>
      </c>
      <c r="R65" s="671">
        <f t="shared" si="21"/>
        <v>0</v>
      </c>
      <c r="S65" s="322">
        <f t="shared" si="22"/>
        <v>0</v>
      </c>
    </row>
    <row r="66" spans="1:19">
      <c r="A66" s="155"/>
      <c r="B66" s="57"/>
      <c r="C66" s="24">
        <f t="shared" si="13"/>
        <v>1</v>
      </c>
      <c r="D66" s="675"/>
      <c r="E66" s="24">
        <f t="shared" si="14"/>
        <v>1</v>
      </c>
      <c r="F66" s="675"/>
      <c r="G66" s="24">
        <f t="shared" si="15"/>
        <v>1</v>
      </c>
      <c r="H66" s="675"/>
      <c r="I66" s="24">
        <f t="shared" si="16"/>
        <v>1</v>
      </c>
      <c r="J66" s="675"/>
      <c r="K66" s="24">
        <f t="shared" si="17"/>
        <v>1</v>
      </c>
      <c r="L66" s="675"/>
      <c r="M66" s="24">
        <f t="shared" si="18"/>
        <v>1</v>
      </c>
      <c r="N66" s="675"/>
      <c r="O66" s="24">
        <f t="shared" si="19"/>
        <v>1</v>
      </c>
      <c r="P66" s="675"/>
      <c r="Q66" s="24">
        <f t="shared" si="20"/>
        <v>0</v>
      </c>
      <c r="R66" s="671">
        <f t="shared" si="21"/>
        <v>0</v>
      </c>
      <c r="S66" s="322">
        <f t="shared" si="22"/>
        <v>0</v>
      </c>
    </row>
    <row r="67" spans="1:19">
      <c r="A67" s="155"/>
      <c r="B67" s="57"/>
      <c r="C67" s="24">
        <f t="shared" si="13"/>
        <v>1</v>
      </c>
      <c r="D67" s="675"/>
      <c r="E67" s="24">
        <f t="shared" si="14"/>
        <v>1</v>
      </c>
      <c r="F67" s="675"/>
      <c r="G67" s="24">
        <f t="shared" si="15"/>
        <v>1</v>
      </c>
      <c r="H67" s="675"/>
      <c r="I67" s="24">
        <f t="shared" si="16"/>
        <v>1</v>
      </c>
      <c r="J67" s="675"/>
      <c r="K67" s="24">
        <f t="shared" si="17"/>
        <v>1</v>
      </c>
      <c r="L67" s="675"/>
      <c r="M67" s="24">
        <f t="shared" si="18"/>
        <v>1</v>
      </c>
      <c r="N67" s="675"/>
      <c r="O67" s="24">
        <f t="shared" si="19"/>
        <v>1</v>
      </c>
      <c r="P67" s="675"/>
      <c r="Q67" s="24">
        <f t="shared" si="20"/>
        <v>0</v>
      </c>
      <c r="R67" s="671">
        <f t="shared" si="21"/>
        <v>0</v>
      </c>
      <c r="S67" s="322">
        <f t="shared" si="22"/>
        <v>0</v>
      </c>
    </row>
    <row r="68" spans="1:19">
      <c r="A68" s="155"/>
      <c r="B68" s="57"/>
      <c r="C68" s="24">
        <f t="shared" si="13"/>
        <v>1</v>
      </c>
      <c r="D68" s="675"/>
      <c r="E68" s="24">
        <f t="shared" si="14"/>
        <v>1</v>
      </c>
      <c r="F68" s="675"/>
      <c r="G68" s="24">
        <f t="shared" si="15"/>
        <v>1</v>
      </c>
      <c r="H68" s="675"/>
      <c r="I68" s="24">
        <f t="shared" si="16"/>
        <v>1</v>
      </c>
      <c r="J68" s="675"/>
      <c r="K68" s="24">
        <f t="shared" si="17"/>
        <v>1</v>
      </c>
      <c r="L68" s="675"/>
      <c r="M68" s="24">
        <f t="shared" si="18"/>
        <v>1</v>
      </c>
      <c r="N68" s="675"/>
      <c r="O68" s="24">
        <f t="shared" si="19"/>
        <v>1</v>
      </c>
      <c r="P68" s="675"/>
      <c r="Q68" s="24">
        <f t="shared" si="20"/>
        <v>0</v>
      </c>
      <c r="R68" s="671">
        <f t="shared" si="21"/>
        <v>0</v>
      </c>
      <c r="S68" s="322">
        <f t="shared" si="22"/>
        <v>0</v>
      </c>
    </row>
    <row r="69" spans="1:19">
      <c r="A69" s="155"/>
      <c r="B69" s="57"/>
      <c r="C69" s="24">
        <f t="shared" si="13"/>
        <v>1</v>
      </c>
      <c r="D69" s="675"/>
      <c r="E69" s="24">
        <f t="shared" si="14"/>
        <v>1</v>
      </c>
      <c r="F69" s="675"/>
      <c r="G69" s="24">
        <f t="shared" si="15"/>
        <v>1</v>
      </c>
      <c r="H69" s="675"/>
      <c r="I69" s="24">
        <f t="shared" si="16"/>
        <v>1</v>
      </c>
      <c r="J69" s="675"/>
      <c r="K69" s="24">
        <f t="shared" si="17"/>
        <v>1</v>
      </c>
      <c r="L69" s="675"/>
      <c r="M69" s="24">
        <f t="shared" si="18"/>
        <v>1</v>
      </c>
      <c r="N69" s="675"/>
      <c r="O69" s="24">
        <f t="shared" si="19"/>
        <v>1</v>
      </c>
      <c r="P69" s="675"/>
      <c r="Q69" s="24">
        <f t="shared" si="20"/>
        <v>0</v>
      </c>
      <c r="R69" s="671">
        <f t="shared" si="21"/>
        <v>0</v>
      </c>
      <c r="S69" s="322">
        <f t="shared" si="22"/>
        <v>0</v>
      </c>
    </row>
    <row r="70" spans="1:19">
      <c r="A70" s="155"/>
      <c r="B70" s="57"/>
      <c r="C70" s="24">
        <f t="shared" si="13"/>
        <v>1</v>
      </c>
      <c r="D70" s="675"/>
      <c r="E70" s="24">
        <f t="shared" si="14"/>
        <v>1</v>
      </c>
      <c r="F70" s="675"/>
      <c r="G70" s="24">
        <f t="shared" si="15"/>
        <v>1</v>
      </c>
      <c r="H70" s="675"/>
      <c r="I70" s="24">
        <f t="shared" si="16"/>
        <v>1</v>
      </c>
      <c r="J70" s="675"/>
      <c r="K70" s="24">
        <f t="shared" si="17"/>
        <v>1</v>
      </c>
      <c r="L70" s="675"/>
      <c r="M70" s="24">
        <f t="shared" si="18"/>
        <v>1</v>
      </c>
      <c r="N70" s="675"/>
      <c r="O70" s="24">
        <f t="shared" si="19"/>
        <v>1</v>
      </c>
      <c r="P70" s="675"/>
      <c r="Q70" s="24">
        <f t="shared" si="20"/>
        <v>0</v>
      </c>
      <c r="R70" s="671">
        <f t="shared" si="21"/>
        <v>0</v>
      </c>
      <c r="S70" s="322">
        <f t="shared" si="22"/>
        <v>0</v>
      </c>
    </row>
    <row r="71" spans="1:19">
      <c r="A71" s="155"/>
      <c r="B71" s="57"/>
      <c r="C71" s="24">
        <f t="shared" si="13"/>
        <v>1</v>
      </c>
      <c r="D71" s="675"/>
      <c r="E71" s="24">
        <f t="shared" si="14"/>
        <v>1</v>
      </c>
      <c r="F71" s="675"/>
      <c r="G71" s="24">
        <f t="shared" si="15"/>
        <v>1</v>
      </c>
      <c r="H71" s="675"/>
      <c r="I71" s="24">
        <f t="shared" si="16"/>
        <v>1</v>
      </c>
      <c r="J71" s="675"/>
      <c r="K71" s="24">
        <f t="shared" si="17"/>
        <v>1</v>
      </c>
      <c r="L71" s="675"/>
      <c r="M71" s="24">
        <f t="shared" si="18"/>
        <v>1</v>
      </c>
      <c r="N71" s="675"/>
      <c r="O71" s="24">
        <f t="shared" si="19"/>
        <v>1</v>
      </c>
      <c r="P71" s="675"/>
      <c r="Q71" s="24">
        <f t="shared" si="20"/>
        <v>0</v>
      </c>
      <c r="R71" s="671">
        <f t="shared" si="21"/>
        <v>0</v>
      </c>
      <c r="S71" s="322">
        <f t="shared" si="22"/>
        <v>0</v>
      </c>
    </row>
    <row r="72" spans="1:19">
      <c r="A72" s="155"/>
      <c r="B72" s="57"/>
      <c r="C72" s="24">
        <f t="shared" si="13"/>
        <v>1</v>
      </c>
      <c r="D72" s="675"/>
      <c r="E72" s="24">
        <f t="shared" si="14"/>
        <v>1</v>
      </c>
      <c r="F72" s="675"/>
      <c r="G72" s="24">
        <f t="shared" si="15"/>
        <v>1</v>
      </c>
      <c r="H72" s="675"/>
      <c r="I72" s="24">
        <f t="shared" si="16"/>
        <v>1</v>
      </c>
      <c r="J72" s="675"/>
      <c r="K72" s="24">
        <f t="shared" si="17"/>
        <v>1</v>
      </c>
      <c r="L72" s="675"/>
      <c r="M72" s="24">
        <f t="shared" si="18"/>
        <v>1</v>
      </c>
      <c r="N72" s="675"/>
      <c r="O72" s="24">
        <f t="shared" si="19"/>
        <v>1</v>
      </c>
      <c r="P72" s="675"/>
      <c r="Q72" s="24">
        <f t="shared" si="20"/>
        <v>0</v>
      </c>
      <c r="R72" s="671">
        <f t="shared" si="21"/>
        <v>0</v>
      </c>
      <c r="S72" s="322">
        <f t="shared" si="22"/>
        <v>0</v>
      </c>
    </row>
    <row r="73" spans="1:19">
      <c r="A73" s="155"/>
      <c r="B73" s="57"/>
      <c r="C73" s="24">
        <f t="shared" si="13"/>
        <v>1</v>
      </c>
      <c r="D73" s="675"/>
      <c r="E73" s="24">
        <f t="shared" si="14"/>
        <v>1</v>
      </c>
      <c r="F73" s="675"/>
      <c r="G73" s="24">
        <f t="shared" si="15"/>
        <v>1</v>
      </c>
      <c r="H73" s="675"/>
      <c r="I73" s="24">
        <f t="shared" si="16"/>
        <v>1</v>
      </c>
      <c r="J73" s="675"/>
      <c r="K73" s="24">
        <f t="shared" si="17"/>
        <v>1</v>
      </c>
      <c r="L73" s="675"/>
      <c r="M73" s="24">
        <f t="shared" si="18"/>
        <v>1</v>
      </c>
      <c r="N73" s="675"/>
      <c r="O73" s="24">
        <f t="shared" si="19"/>
        <v>1</v>
      </c>
      <c r="P73" s="675"/>
      <c r="Q73" s="24">
        <f t="shared" si="20"/>
        <v>0</v>
      </c>
      <c r="R73" s="671">
        <f t="shared" si="21"/>
        <v>0</v>
      </c>
      <c r="S73" s="322">
        <f t="shared" si="22"/>
        <v>0</v>
      </c>
    </row>
    <row r="74" spans="1:19">
      <c r="A74" s="155"/>
      <c r="B74" s="57"/>
      <c r="C74" s="24">
        <f t="shared" si="13"/>
        <v>1</v>
      </c>
      <c r="D74" s="675"/>
      <c r="E74" s="24">
        <f t="shared" si="14"/>
        <v>1</v>
      </c>
      <c r="F74" s="675"/>
      <c r="G74" s="24">
        <f t="shared" si="15"/>
        <v>1</v>
      </c>
      <c r="H74" s="675"/>
      <c r="I74" s="24">
        <f t="shared" si="16"/>
        <v>1</v>
      </c>
      <c r="J74" s="675"/>
      <c r="K74" s="24">
        <f t="shared" si="17"/>
        <v>1</v>
      </c>
      <c r="L74" s="675"/>
      <c r="M74" s="24">
        <f t="shared" si="18"/>
        <v>1</v>
      </c>
      <c r="N74" s="675"/>
      <c r="O74" s="24">
        <f t="shared" si="19"/>
        <v>1</v>
      </c>
      <c r="P74" s="675"/>
      <c r="Q74" s="24">
        <f t="shared" si="20"/>
        <v>0</v>
      </c>
      <c r="R74" s="671">
        <f t="shared" si="21"/>
        <v>0</v>
      </c>
      <c r="S74" s="322">
        <f t="shared" si="22"/>
        <v>0</v>
      </c>
    </row>
    <row r="75" spans="1:19">
      <c r="A75" s="155"/>
      <c r="B75" s="57"/>
      <c r="C75" s="24">
        <f t="shared" si="13"/>
        <v>1</v>
      </c>
      <c r="D75" s="675"/>
      <c r="E75" s="24">
        <f t="shared" si="14"/>
        <v>1</v>
      </c>
      <c r="F75" s="675"/>
      <c r="G75" s="24">
        <f t="shared" si="15"/>
        <v>1</v>
      </c>
      <c r="H75" s="675"/>
      <c r="I75" s="24">
        <f t="shared" si="16"/>
        <v>1</v>
      </c>
      <c r="J75" s="675"/>
      <c r="K75" s="24">
        <f t="shared" si="17"/>
        <v>1</v>
      </c>
      <c r="L75" s="675"/>
      <c r="M75" s="24">
        <f t="shared" si="18"/>
        <v>1</v>
      </c>
      <c r="N75" s="675"/>
      <c r="O75" s="24">
        <f t="shared" si="19"/>
        <v>1</v>
      </c>
      <c r="P75" s="675"/>
      <c r="Q75" s="24">
        <f t="shared" si="20"/>
        <v>0</v>
      </c>
      <c r="R75" s="671">
        <f t="shared" si="21"/>
        <v>0</v>
      </c>
      <c r="S75" s="322">
        <f t="shared" si="22"/>
        <v>0</v>
      </c>
    </row>
    <row r="76" spans="1:19">
      <c r="A76" s="155"/>
      <c r="B76" s="57"/>
      <c r="C76" s="24">
        <f t="shared" si="13"/>
        <v>1</v>
      </c>
      <c r="D76" s="675"/>
      <c r="E76" s="24">
        <f t="shared" si="14"/>
        <v>1</v>
      </c>
      <c r="F76" s="675"/>
      <c r="G76" s="24">
        <f t="shared" si="15"/>
        <v>1</v>
      </c>
      <c r="H76" s="675"/>
      <c r="I76" s="24">
        <f t="shared" si="16"/>
        <v>1</v>
      </c>
      <c r="J76" s="675"/>
      <c r="K76" s="24">
        <f t="shared" si="17"/>
        <v>1</v>
      </c>
      <c r="L76" s="675"/>
      <c r="M76" s="24">
        <f t="shared" si="18"/>
        <v>1</v>
      </c>
      <c r="N76" s="675"/>
      <c r="O76" s="24">
        <f t="shared" si="19"/>
        <v>1</v>
      </c>
      <c r="P76" s="675"/>
      <c r="Q76" s="24">
        <f t="shared" si="20"/>
        <v>0</v>
      </c>
      <c r="R76" s="671">
        <f t="shared" si="21"/>
        <v>0</v>
      </c>
      <c r="S76" s="322">
        <f t="shared" si="22"/>
        <v>0</v>
      </c>
    </row>
    <row r="77" spans="1:19">
      <c r="A77" s="155"/>
      <c r="B77" s="57"/>
      <c r="C77" s="24">
        <f t="shared" si="13"/>
        <v>1</v>
      </c>
      <c r="D77" s="675"/>
      <c r="E77" s="24">
        <f t="shared" si="14"/>
        <v>1</v>
      </c>
      <c r="F77" s="675"/>
      <c r="G77" s="24">
        <f t="shared" si="15"/>
        <v>1</v>
      </c>
      <c r="H77" s="675"/>
      <c r="I77" s="24">
        <f t="shared" si="16"/>
        <v>1</v>
      </c>
      <c r="J77" s="675"/>
      <c r="K77" s="24">
        <f t="shared" si="17"/>
        <v>1</v>
      </c>
      <c r="L77" s="675"/>
      <c r="M77" s="24">
        <f t="shared" si="18"/>
        <v>1</v>
      </c>
      <c r="N77" s="675"/>
      <c r="O77" s="24">
        <f t="shared" si="19"/>
        <v>1</v>
      </c>
      <c r="P77" s="675"/>
      <c r="Q77" s="24">
        <f t="shared" si="20"/>
        <v>0</v>
      </c>
      <c r="R77" s="671">
        <f t="shared" si="21"/>
        <v>0</v>
      </c>
      <c r="S77" s="322">
        <f t="shared" si="22"/>
        <v>0</v>
      </c>
    </row>
    <row r="78" spans="1:19">
      <c r="A78" s="155"/>
      <c r="B78" s="57"/>
      <c r="C78" s="24">
        <f t="shared" si="13"/>
        <v>1</v>
      </c>
      <c r="D78" s="675"/>
      <c r="E78" s="24">
        <f t="shared" si="14"/>
        <v>1</v>
      </c>
      <c r="F78" s="675"/>
      <c r="G78" s="24">
        <f t="shared" si="15"/>
        <v>1</v>
      </c>
      <c r="H78" s="675"/>
      <c r="I78" s="24">
        <f t="shared" si="16"/>
        <v>1</v>
      </c>
      <c r="J78" s="675"/>
      <c r="K78" s="24">
        <f t="shared" si="17"/>
        <v>1</v>
      </c>
      <c r="L78" s="675"/>
      <c r="M78" s="24">
        <f t="shared" si="18"/>
        <v>1</v>
      </c>
      <c r="N78" s="675"/>
      <c r="O78" s="24">
        <f t="shared" si="19"/>
        <v>1</v>
      </c>
      <c r="P78" s="675"/>
      <c r="Q78" s="24">
        <f t="shared" si="20"/>
        <v>0</v>
      </c>
      <c r="R78" s="671">
        <f t="shared" si="21"/>
        <v>0</v>
      </c>
      <c r="S78" s="322">
        <f t="shared" ref="S78:S122" si="23">ROUND(R78*B78/10000,0)</f>
        <v>0</v>
      </c>
    </row>
    <row r="79" spans="1:19">
      <c r="A79" s="155"/>
      <c r="B79" s="57"/>
      <c r="C79" s="24">
        <f t="shared" si="13"/>
        <v>1</v>
      </c>
      <c r="D79" s="675"/>
      <c r="E79" s="24">
        <f t="shared" si="14"/>
        <v>1</v>
      </c>
      <c r="F79" s="675"/>
      <c r="G79" s="24">
        <f t="shared" si="15"/>
        <v>1</v>
      </c>
      <c r="H79" s="675"/>
      <c r="I79" s="24">
        <f t="shared" si="16"/>
        <v>1</v>
      </c>
      <c r="J79" s="675"/>
      <c r="K79" s="24">
        <f t="shared" si="17"/>
        <v>1</v>
      </c>
      <c r="L79" s="675"/>
      <c r="M79" s="24">
        <f t="shared" si="18"/>
        <v>1</v>
      </c>
      <c r="N79" s="675"/>
      <c r="O79" s="24">
        <f t="shared" si="19"/>
        <v>1</v>
      </c>
      <c r="P79" s="675"/>
      <c r="Q79" s="24">
        <f t="shared" si="20"/>
        <v>0</v>
      </c>
      <c r="R79" s="671">
        <f t="shared" si="21"/>
        <v>0</v>
      </c>
      <c r="S79" s="322">
        <f t="shared" si="23"/>
        <v>0</v>
      </c>
    </row>
    <row r="80" spans="1:19">
      <c r="A80" s="155"/>
      <c r="B80" s="57"/>
      <c r="C80" s="24">
        <f t="shared" si="13"/>
        <v>1</v>
      </c>
      <c r="D80" s="675"/>
      <c r="E80" s="24">
        <f t="shared" si="14"/>
        <v>1</v>
      </c>
      <c r="F80" s="675"/>
      <c r="G80" s="24">
        <f t="shared" si="15"/>
        <v>1</v>
      </c>
      <c r="H80" s="675"/>
      <c r="I80" s="24">
        <f t="shared" si="16"/>
        <v>1</v>
      </c>
      <c r="J80" s="675"/>
      <c r="K80" s="24">
        <f t="shared" si="17"/>
        <v>1</v>
      </c>
      <c r="L80" s="675"/>
      <c r="M80" s="24">
        <f t="shared" si="18"/>
        <v>1</v>
      </c>
      <c r="N80" s="675"/>
      <c r="O80" s="24">
        <f t="shared" si="19"/>
        <v>1</v>
      </c>
      <c r="P80" s="675"/>
      <c r="Q80" s="24">
        <f t="shared" si="20"/>
        <v>0</v>
      </c>
      <c r="R80" s="671">
        <f t="shared" si="21"/>
        <v>0</v>
      </c>
      <c r="S80" s="322">
        <f t="shared" si="23"/>
        <v>0</v>
      </c>
    </row>
    <row r="81" spans="1:19">
      <c r="A81" s="155"/>
      <c r="B81" s="57"/>
      <c r="C81" s="24">
        <f t="shared" si="13"/>
        <v>1</v>
      </c>
      <c r="D81" s="675"/>
      <c r="E81" s="24">
        <f t="shared" si="14"/>
        <v>1</v>
      </c>
      <c r="F81" s="675"/>
      <c r="G81" s="24">
        <f t="shared" si="15"/>
        <v>1</v>
      </c>
      <c r="H81" s="675"/>
      <c r="I81" s="24">
        <f t="shared" si="16"/>
        <v>1</v>
      </c>
      <c r="J81" s="675"/>
      <c r="K81" s="24">
        <f t="shared" si="17"/>
        <v>1</v>
      </c>
      <c r="L81" s="675"/>
      <c r="M81" s="24">
        <f t="shared" si="18"/>
        <v>1</v>
      </c>
      <c r="N81" s="675"/>
      <c r="O81" s="24">
        <f t="shared" si="19"/>
        <v>1</v>
      </c>
      <c r="P81" s="675"/>
      <c r="Q81" s="24">
        <f t="shared" si="20"/>
        <v>0</v>
      </c>
      <c r="R81" s="671">
        <f t="shared" si="21"/>
        <v>0</v>
      </c>
      <c r="S81" s="322">
        <f t="shared" si="23"/>
        <v>0</v>
      </c>
    </row>
    <row r="82" spans="1:19">
      <c r="A82" s="155"/>
      <c r="B82" s="57"/>
      <c r="C82" s="24">
        <f t="shared" si="13"/>
        <v>1</v>
      </c>
      <c r="D82" s="675"/>
      <c r="E82" s="24">
        <f t="shared" si="14"/>
        <v>1</v>
      </c>
      <c r="F82" s="675"/>
      <c r="G82" s="24">
        <f t="shared" si="15"/>
        <v>1</v>
      </c>
      <c r="H82" s="675"/>
      <c r="I82" s="24">
        <f t="shared" si="16"/>
        <v>1</v>
      </c>
      <c r="J82" s="675"/>
      <c r="K82" s="24">
        <f t="shared" si="17"/>
        <v>1</v>
      </c>
      <c r="L82" s="675"/>
      <c r="M82" s="24">
        <f t="shared" si="18"/>
        <v>1</v>
      </c>
      <c r="N82" s="675"/>
      <c r="O82" s="24">
        <f t="shared" si="19"/>
        <v>1</v>
      </c>
      <c r="P82" s="675"/>
      <c r="Q82" s="24">
        <f t="shared" si="20"/>
        <v>0</v>
      </c>
      <c r="R82" s="671">
        <f t="shared" si="21"/>
        <v>0</v>
      </c>
      <c r="S82" s="322">
        <f t="shared" si="23"/>
        <v>0</v>
      </c>
    </row>
    <row r="83" spans="1:19">
      <c r="A83" s="155"/>
      <c r="B83" s="57"/>
      <c r="C83" s="24">
        <f t="shared" si="13"/>
        <v>1</v>
      </c>
      <c r="D83" s="675"/>
      <c r="E83" s="24">
        <f t="shared" si="14"/>
        <v>1</v>
      </c>
      <c r="F83" s="675"/>
      <c r="G83" s="24">
        <f t="shared" si="15"/>
        <v>1</v>
      </c>
      <c r="H83" s="675"/>
      <c r="I83" s="24">
        <f t="shared" si="16"/>
        <v>1</v>
      </c>
      <c r="J83" s="675"/>
      <c r="K83" s="24">
        <f t="shared" si="17"/>
        <v>1</v>
      </c>
      <c r="L83" s="675"/>
      <c r="M83" s="24">
        <f t="shared" si="18"/>
        <v>1</v>
      </c>
      <c r="N83" s="675"/>
      <c r="O83" s="24">
        <f t="shared" si="19"/>
        <v>1</v>
      </c>
      <c r="P83" s="675"/>
      <c r="Q83" s="24">
        <f t="shared" si="20"/>
        <v>0</v>
      </c>
      <c r="R83" s="671">
        <f t="shared" si="21"/>
        <v>0</v>
      </c>
      <c r="S83" s="322">
        <f t="shared" si="23"/>
        <v>0</v>
      </c>
    </row>
    <row r="84" spans="1:19">
      <c r="A84" s="155"/>
      <c r="B84" s="57"/>
      <c r="C84" s="24">
        <f t="shared" si="13"/>
        <v>1</v>
      </c>
      <c r="D84" s="675"/>
      <c r="E84" s="24">
        <f t="shared" si="14"/>
        <v>1</v>
      </c>
      <c r="F84" s="675"/>
      <c r="G84" s="24">
        <f t="shared" si="15"/>
        <v>1</v>
      </c>
      <c r="H84" s="675"/>
      <c r="I84" s="24">
        <f t="shared" si="16"/>
        <v>1</v>
      </c>
      <c r="J84" s="675"/>
      <c r="K84" s="24">
        <f t="shared" si="17"/>
        <v>1</v>
      </c>
      <c r="L84" s="675"/>
      <c r="M84" s="24">
        <f t="shared" si="18"/>
        <v>1</v>
      </c>
      <c r="N84" s="675"/>
      <c r="O84" s="24">
        <f t="shared" si="19"/>
        <v>1</v>
      </c>
      <c r="P84" s="675"/>
      <c r="Q84" s="24">
        <f t="shared" si="20"/>
        <v>0</v>
      </c>
      <c r="R84" s="671">
        <f t="shared" si="21"/>
        <v>0</v>
      </c>
      <c r="S84" s="322">
        <f t="shared" si="23"/>
        <v>0</v>
      </c>
    </row>
    <row r="85" spans="1:19">
      <c r="A85" s="155"/>
      <c r="B85" s="57"/>
      <c r="C85" s="24">
        <f t="shared" si="13"/>
        <v>1</v>
      </c>
      <c r="D85" s="675"/>
      <c r="E85" s="24">
        <f t="shared" si="14"/>
        <v>1</v>
      </c>
      <c r="F85" s="675"/>
      <c r="G85" s="24">
        <f t="shared" si="15"/>
        <v>1</v>
      </c>
      <c r="H85" s="675"/>
      <c r="I85" s="24">
        <f t="shared" si="16"/>
        <v>1</v>
      </c>
      <c r="J85" s="675"/>
      <c r="K85" s="24">
        <f t="shared" si="17"/>
        <v>1</v>
      </c>
      <c r="L85" s="675"/>
      <c r="M85" s="24">
        <f t="shared" si="18"/>
        <v>1</v>
      </c>
      <c r="N85" s="675"/>
      <c r="O85" s="24">
        <f t="shared" si="19"/>
        <v>1</v>
      </c>
      <c r="P85" s="675"/>
      <c r="Q85" s="24">
        <f t="shared" si="20"/>
        <v>0</v>
      </c>
      <c r="R85" s="671">
        <f t="shared" si="21"/>
        <v>0</v>
      </c>
      <c r="S85" s="322">
        <f t="shared" si="23"/>
        <v>0</v>
      </c>
    </row>
    <row r="86" spans="1:19">
      <c r="A86" s="155"/>
      <c r="B86" s="57"/>
      <c r="C86" s="24">
        <f t="shared" si="13"/>
        <v>1</v>
      </c>
      <c r="D86" s="675"/>
      <c r="E86" s="24">
        <f t="shared" si="14"/>
        <v>1</v>
      </c>
      <c r="F86" s="675"/>
      <c r="G86" s="24">
        <f t="shared" si="15"/>
        <v>1</v>
      </c>
      <c r="H86" s="675"/>
      <c r="I86" s="24">
        <f t="shared" si="16"/>
        <v>1</v>
      </c>
      <c r="J86" s="675"/>
      <c r="K86" s="24">
        <f t="shared" si="17"/>
        <v>1</v>
      </c>
      <c r="L86" s="675"/>
      <c r="M86" s="24">
        <f t="shared" si="18"/>
        <v>1</v>
      </c>
      <c r="N86" s="675"/>
      <c r="O86" s="24">
        <f t="shared" si="19"/>
        <v>1</v>
      </c>
      <c r="P86" s="675"/>
      <c r="Q86" s="24">
        <f t="shared" si="20"/>
        <v>0</v>
      </c>
      <c r="R86" s="671">
        <f t="shared" si="21"/>
        <v>0</v>
      </c>
      <c r="S86" s="322">
        <f t="shared" si="23"/>
        <v>0</v>
      </c>
    </row>
    <row r="87" spans="1:19">
      <c r="A87" s="155"/>
      <c r="B87" s="57"/>
      <c r="C87" s="24">
        <f t="shared" si="13"/>
        <v>1</v>
      </c>
      <c r="D87" s="675"/>
      <c r="E87" s="24">
        <f t="shared" si="14"/>
        <v>1</v>
      </c>
      <c r="F87" s="675"/>
      <c r="G87" s="24">
        <f t="shared" si="15"/>
        <v>1</v>
      </c>
      <c r="H87" s="675"/>
      <c r="I87" s="24">
        <f t="shared" si="16"/>
        <v>1</v>
      </c>
      <c r="J87" s="675"/>
      <c r="K87" s="24">
        <f t="shared" si="17"/>
        <v>1</v>
      </c>
      <c r="L87" s="675"/>
      <c r="M87" s="24">
        <f t="shared" si="18"/>
        <v>1</v>
      </c>
      <c r="N87" s="675"/>
      <c r="O87" s="24">
        <f t="shared" si="19"/>
        <v>1</v>
      </c>
      <c r="P87" s="675"/>
      <c r="Q87" s="24">
        <f t="shared" si="20"/>
        <v>0</v>
      </c>
      <c r="R87" s="671">
        <f t="shared" si="21"/>
        <v>0</v>
      </c>
      <c r="S87" s="322">
        <f t="shared" si="23"/>
        <v>0</v>
      </c>
    </row>
    <row r="88" spans="1:19">
      <c r="A88" s="155"/>
      <c r="B88" s="57"/>
      <c r="C88" s="24">
        <f t="shared" si="13"/>
        <v>1</v>
      </c>
      <c r="D88" s="675"/>
      <c r="E88" s="24">
        <f t="shared" si="14"/>
        <v>1</v>
      </c>
      <c r="F88" s="675"/>
      <c r="G88" s="24">
        <f t="shared" si="15"/>
        <v>1</v>
      </c>
      <c r="H88" s="675"/>
      <c r="I88" s="24">
        <f t="shared" si="16"/>
        <v>1</v>
      </c>
      <c r="J88" s="675"/>
      <c r="K88" s="24">
        <f t="shared" si="17"/>
        <v>1</v>
      </c>
      <c r="L88" s="675"/>
      <c r="M88" s="24">
        <f t="shared" si="18"/>
        <v>1</v>
      </c>
      <c r="N88" s="675"/>
      <c r="O88" s="24">
        <f t="shared" si="19"/>
        <v>1</v>
      </c>
      <c r="P88" s="675"/>
      <c r="Q88" s="24">
        <f t="shared" si="20"/>
        <v>0</v>
      </c>
      <c r="R88" s="671">
        <f t="shared" si="21"/>
        <v>0</v>
      </c>
      <c r="S88" s="322">
        <f t="shared" si="23"/>
        <v>0</v>
      </c>
    </row>
    <row r="89" spans="1:19">
      <c r="A89" s="155"/>
      <c r="B89" s="57"/>
      <c r="C89" s="24">
        <f t="shared" si="13"/>
        <v>1</v>
      </c>
      <c r="D89" s="675"/>
      <c r="E89" s="24">
        <f t="shared" si="14"/>
        <v>1</v>
      </c>
      <c r="F89" s="675"/>
      <c r="G89" s="24">
        <f t="shared" si="15"/>
        <v>1</v>
      </c>
      <c r="H89" s="675"/>
      <c r="I89" s="24">
        <f t="shared" si="16"/>
        <v>1</v>
      </c>
      <c r="J89" s="675"/>
      <c r="K89" s="24">
        <f t="shared" si="17"/>
        <v>1</v>
      </c>
      <c r="L89" s="675"/>
      <c r="M89" s="24">
        <f t="shared" si="18"/>
        <v>1</v>
      </c>
      <c r="N89" s="675"/>
      <c r="O89" s="24">
        <f t="shared" si="19"/>
        <v>1</v>
      </c>
      <c r="P89" s="675"/>
      <c r="Q89" s="24">
        <f t="shared" si="20"/>
        <v>0</v>
      </c>
      <c r="R89" s="671">
        <f t="shared" si="21"/>
        <v>0</v>
      </c>
      <c r="S89" s="322">
        <f t="shared" si="23"/>
        <v>0</v>
      </c>
    </row>
    <row r="90" spans="1:19">
      <c r="A90" s="155"/>
      <c r="B90" s="57"/>
      <c r="C90" s="24">
        <f t="shared" ref="C90:C153" si="24">IF(B90="",1,(LOOKUP(B90,$3:$3,$4:$4)-LOOKUP($B$24,$3:$3,$4:$4)+100)/100)</f>
        <v>1</v>
      </c>
      <c r="D90" s="675"/>
      <c r="E90" s="24">
        <f t="shared" ref="E90:E153" si="25">(SUMIF($5:$5,D90,$6:$6)-SUMIF($5:$5,$D$24,$6:$6)+100)/100</f>
        <v>1</v>
      </c>
      <c r="F90" s="675"/>
      <c r="G90" s="24">
        <f t="shared" ref="G90:G153" si="26">(SUMIF($7:$7,F90,$8:$8)-SUMIF($7:$7,$F$24,$8:$8)+100)/100</f>
        <v>1</v>
      </c>
      <c r="H90" s="675"/>
      <c r="I90" s="24">
        <f t="shared" ref="I90:I153" si="27">(SUMIF($9:$9,H90,$10:$10)-SUMIF($9:$9,$H$24,$10:$10)+100)/100</f>
        <v>1</v>
      </c>
      <c r="J90" s="675"/>
      <c r="K90" s="24">
        <f t="shared" ref="K90:K153" si="28">(SUMIF($11:$11,J90,$12:$12)-SUMIF($11:$11,$J$24,$12:$12)+100)/100</f>
        <v>1</v>
      </c>
      <c r="L90" s="675"/>
      <c r="M90" s="24">
        <f t="shared" ref="M90:M153" si="29">(SUMIF($13:$13,L90,$14:$14)-SUMIF($13:$13,$L$24,$14:$14)+100)/100</f>
        <v>1</v>
      </c>
      <c r="N90" s="675"/>
      <c r="O90" s="24">
        <f t="shared" ref="O90:O153" si="30">(SUMIF($15:$15,N90,$16:$16)-SUMIF($15:$15,$N$24,$16:$16)+100)/100</f>
        <v>1</v>
      </c>
      <c r="P90" s="675"/>
      <c r="Q90" s="24">
        <f t="shared" ref="Q90:Q153" si="31">(SUMIF($17:$17,P90,$18:$18)-SUMIF($17:$17,$P$24,$18:$18)+100)/100</f>
        <v>0</v>
      </c>
      <c r="R90" s="671">
        <f t="shared" ref="R90:R153" si="32">IF(B90="",0,ROUND($R$24*C90*E90*G90*I90*K90*M90*O90*Q90,0))</f>
        <v>0</v>
      </c>
      <c r="S90" s="322">
        <f t="shared" si="23"/>
        <v>0</v>
      </c>
    </row>
    <row r="91" spans="1:19">
      <c r="A91" s="155"/>
      <c r="B91" s="57"/>
      <c r="C91" s="24">
        <f t="shared" si="24"/>
        <v>1</v>
      </c>
      <c r="D91" s="675"/>
      <c r="E91" s="24">
        <f t="shared" si="25"/>
        <v>1</v>
      </c>
      <c r="F91" s="675"/>
      <c r="G91" s="24">
        <f t="shared" si="26"/>
        <v>1</v>
      </c>
      <c r="H91" s="675"/>
      <c r="I91" s="24">
        <f t="shared" si="27"/>
        <v>1</v>
      </c>
      <c r="J91" s="675"/>
      <c r="K91" s="24">
        <f t="shared" si="28"/>
        <v>1</v>
      </c>
      <c r="L91" s="675"/>
      <c r="M91" s="24">
        <f t="shared" si="29"/>
        <v>1</v>
      </c>
      <c r="N91" s="675"/>
      <c r="O91" s="24">
        <f t="shared" si="30"/>
        <v>1</v>
      </c>
      <c r="P91" s="675"/>
      <c r="Q91" s="24">
        <f t="shared" si="31"/>
        <v>0</v>
      </c>
      <c r="R91" s="671">
        <f t="shared" si="32"/>
        <v>0</v>
      </c>
      <c r="S91" s="322">
        <f t="shared" si="23"/>
        <v>0</v>
      </c>
    </row>
    <row r="92" spans="1:19">
      <c r="A92" s="155"/>
      <c r="B92" s="57"/>
      <c r="C92" s="24">
        <f t="shared" si="24"/>
        <v>1</v>
      </c>
      <c r="D92" s="675"/>
      <c r="E92" s="24">
        <f t="shared" si="25"/>
        <v>1</v>
      </c>
      <c r="F92" s="675"/>
      <c r="G92" s="24">
        <f t="shared" si="26"/>
        <v>1</v>
      </c>
      <c r="H92" s="675"/>
      <c r="I92" s="24">
        <f t="shared" si="27"/>
        <v>1</v>
      </c>
      <c r="J92" s="675"/>
      <c r="K92" s="24">
        <f t="shared" si="28"/>
        <v>1</v>
      </c>
      <c r="L92" s="675"/>
      <c r="M92" s="24">
        <f t="shared" si="29"/>
        <v>1</v>
      </c>
      <c r="N92" s="675"/>
      <c r="O92" s="24">
        <f t="shared" si="30"/>
        <v>1</v>
      </c>
      <c r="P92" s="675"/>
      <c r="Q92" s="24">
        <f t="shared" si="31"/>
        <v>0</v>
      </c>
      <c r="R92" s="671">
        <f t="shared" si="32"/>
        <v>0</v>
      </c>
      <c r="S92" s="322">
        <f t="shared" si="23"/>
        <v>0</v>
      </c>
    </row>
    <row r="93" spans="1:19">
      <c r="A93" s="155"/>
      <c r="B93" s="57"/>
      <c r="C93" s="24">
        <f t="shared" si="24"/>
        <v>1</v>
      </c>
      <c r="D93" s="675"/>
      <c r="E93" s="24">
        <f t="shared" si="25"/>
        <v>1</v>
      </c>
      <c r="F93" s="675"/>
      <c r="G93" s="24">
        <f t="shared" si="26"/>
        <v>1</v>
      </c>
      <c r="H93" s="675"/>
      <c r="I93" s="24">
        <f t="shared" si="27"/>
        <v>1</v>
      </c>
      <c r="J93" s="675"/>
      <c r="K93" s="24">
        <f t="shared" si="28"/>
        <v>1</v>
      </c>
      <c r="L93" s="675"/>
      <c r="M93" s="24">
        <f t="shared" si="29"/>
        <v>1</v>
      </c>
      <c r="N93" s="675"/>
      <c r="O93" s="24">
        <f t="shared" si="30"/>
        <v>1</v>
      </c>
      <c r="P93" s="675"/>
      <c r="Q93" s="24">
        <f t="shared" si="31"/>
        <v>0</v>
      </c>
      <c r="R93" s="671">
        <f t="shared" si="32"/>
        <v>0</v>
      </c>
      <c r="S93" s="322">
        <f t="shared" si="23"/>
        <v>0</v>
      </c>
    </row>
    <row r="94" spans="1:19">
      <c r="A94" s="155"/>
      <c r="B94" s="57"/>
      <c r="C94" s="24">
        <f t="shared" si="24"/>
        <v>1</v>
      </c>
      <c r="D94" s="675"/>
      <c r="E94" s="24">
        <f t="shared" si="25"/>
        <v>1</v>
      </c>
      <c r="F94" s="675"/>
      <c r="G94" s="24">
        <f t="shared" si="26"/>
        <v>1</v>
      </c>
      <c r="H94" s="675"/>
      <c r="I94" s="24">
        <f t="shared" si="27"/>
        <v>1</v>
      </c>
      <c r="J94" s="675"/>
      <c r="K94" s="24">
        <f t="shared" si="28"/>
        <v>1</v>
      </c>
      <c r="L94" s="675"/>
      <c r="M94" s="24">
        <f t="shared" si="29"/>
        <v>1</v>
      </c>
      <c r="N94" s="675"/>
      <c r="O94" s="24">
        <f t="shared" si="30"/>
        <v>1</v>
      </c>
      <c r="P94" s="675"/>
      <c r="Q94" s="24">
        <f t="shared" si="31"/>
        <v>0</v>
      </c>
      <c r="R94" s="671">
        <f t="shared" si="32"/>
        <v>0</v>
      </c>
      <c r="S94" s="322">
        <f t="shared" si="23"/>
        <v>0</v>
      </c>
    </row>
    <row r="95" spans="1:19">
      <c r="A95" s="155"/>
      <c r="B95" s="57"/>
      <c r="C95" s="24">
        <f t="shared" si="24"/>
        <v>1</v>
      </c>
      <c r="D95" s="675"/>
      <c r="E95" s="24">
        <f t="shared" si="25"/>
        <v>1</v>
      </c>
      <c r="F95" s="675"/>
      <c r="G95" s="24">
        <f t="shared" si="26"/>
        <v>1</v>
      </c>
      <c r="H95" s="675"/>
      <c r="I95" s="24">
        <f t="shared" si="27"/>
        <v>1</v>
      </c>
      <c r="J95" s="675"/>
      <c r="K95" s="24">
        <f t="shared" si="28"/>
        <v>1</v>
      </c>
      <c r="L95" s="675"/>
      <c r="M95" s="24">
        <f t="shared" si="29"/>
        <v>1</v>
      </c>
      <c r="N95" s="675"/>
      <c r="O95" s="24">
        <f t="shared" si="30"/>
        <v>1</v>
      </c>
      <c r="P95" s="675"/>
      <c r="Q95" s="24">
        <f t="shared" si="31"/>
        <v>0</v>
      </c>
      <c r="R95" s="671">
        <f t="shared" si="32"/>
        <v>0</v>
      </c>
      <c r="S95" s="322">
        <f t="shared" si="23"/>
        <v>0</v>
      </c>
    </row>
    <row r="96" spans="1:19">
      <c r="A96" s="155"/>
      <c r="B96" s="57"/>
      <c r="C96" s="24">
        <f t="shared" si="24"/>
        <v>1</v>
      </c>
      <c r="D96" s="675"/>
      <c r="E96" s="24">
        <f t="shared" si="25"/>
        <v>1</v>
      </c>
      <c r="F96" s="675"/>
      <c r="G96" s="24">
        <f t="shared" si="26"/>
        <v>1</v>
      </c>
      <c r="H96" s="675"/>
      <c r="I96" s="24">
        <f t="shared" si="27"/>
        <v>1</v>
      </c>
      <c r="J96" s="675"/>
      <c r="K96" s="24">
        <f t="shared" si="28"/>
        <v>1</v>
      </c>
      <c r="L96" s="675"/>
      <c r="M96" s="24">
        <f t="shared" si="29"/>
        <v>1</v>
      </c>
      <c r="N96" s="675"/>
      <c r="O96" s="24">
        <f t="shared" si="30"/>
        <v>1</v>
      </c>
      <c r="P96" s="675"/>
      <c r="Q96" s="24">
        <f t="shared" si="31"/>
        <v>0</v>
      </c>
      <c r="R96" s="671">
        <f t="shared" si="32"/>
        <v>0</v>
      </c>
      <c r="S96" s="322">
        <f t="shared" si="23"/>
        <v>0</v>
      </c>
    </row>
    <row r="97" spans="1:19">
      <c r="A97" s="155"/>
      <c r="B97" s="57"/>
      <c r="C97" s="24">
        <f t="shared" si="24"/>
        <v>1</v>
      </c>
      <c r="D97" s="675"/>
      <c r="E97" s="24">
        <f t="shared" si="25"/>
        <v>1</v>
      </c>
      <c r="F97" s="675"/>
      <c r="G97" s="24">
        <f t="shared" si="26"/>
        <v>1</v>
      </c>
      <c r="H97" s="675"/>
      <c r="I97" s="24">
        <f t="shared" si="27"/>
        <v>1</v>
      </c>
      <c r="J97" s="675"/>
      <c r="K97" s="24">
        <f t="shared" si="28"/>
        <v>1</v>
      </c>
      <c r="L97" s="675"/>
      <c r="M97" s="24">
        <f t="shared" si="29"/>
        <v>1</v>
      </c>
      <c r="N97" s="675"/>
      <c r="O97" s="24">
        <f t="shared" si="30"/>
        <v>1</v>
      </c>
      <c r="P97" s="675"/>
      <c r="Q97" s="24">
        <f t="shared" si="31"/>
        <v>0</v>
      </c>
      <c r="R97" s="671">
        <f t="shared" si="32"/>
        <v>0</v>
      </c>
      <c r="S97" s="322">
        <f t="shared" si="23"/>
        <v>0</v>
      </c>
    </row>
    <row r="98" spans="1:19">
      <c r="A98" s="155"/>
      <c r="B98" s="57"/>
      <c r="C98" s="24">
        <f t="shared" si="24"/>
        <v>1</v>
      </c>
      <c r="D98" s="675"/>
      <c r="E98" s="24">
        <f t="shared" si="25"/>
        <v>1</v>
      </c>
      <c r="F98" s="675"/>
      <c r="G98" s="24">
        <f t="shared" si="26"/>
        <v>1</v>
      </c>
      <c r="H98" s="675"/>
      <c r="I98" s="24">
        <f t="shared" si="27"/>
        <v>1</v>
      </c>
      <c r="J98" s="675"/>
      <c r="K98" s="24">
        <f t="shared" si="28"/>
        <v>1</v>
      </c>
      <c r="L98" s="675"/>
      <c r="M98" s="24">
        <f t="shared" si="29"/>
        <v>1</v>
      </c>
      <c r="N98" s="675"/>
      <c r="O98" s="24">
        <f t="shared" si="30"/>
        <v>1</v>
      </c>
      <c r="P98" s="675"/>
      <c r="Q98" s="24">
        <f t="shared" si="31"/>
        <v>0</v>
      </c>
      <c r="R98" s="671">
        <f t="shared" si="32"/>
        <v>0</v>
      </c>
      <c r="S98" s="322">
        <f t="shared" si="23"/>
        <v>0</v>
      </c>
    </row>
    <row r="99" spans="1:19">
      <c r="A99" s="155"/>
      <c r="B99" s="57"/>
      <c r="C99" s="24">
        <f t="shared" si="24"/>
        <v>1</v>
      </c>
      <c r="D99" s="675"/>
      <c r="E99" s="24">
        <f t="shared" si="25"/>
        <v>1</v>
      </c>
      <c r="F99" s="675"/>
      <c r="G99" s="24">
        <f t="shared" si="26"/>
        <v>1</v>
      </c>
      <c r="H99" s="675"/>
      <c r="I99" s="24">
        <f t="shared" si="27"/>
        <v>1</v>
      </c>
      <c r="J99" s="675"/>
      <c r="K99" s="24">
        <f t="shared" si="28"/>
        <v>1</v>
      </c>
      <c r="L99" s="675"/>
      <c r="M99" s="24">
        <f t="shared" si="29"/>
        <v>1</v>
      </c>
      <c r="N99" s="675"/>
      <c r="O99" s="24">
        <f t="shared" si="30"/>
        <v>1</v>
      </c>
      <c r="P99" s="675"/>
      <c r="Q99" s="24">
        <f t="shared" si="31"/>
        <v>0</v>
      </c>
      <c r="R99" s="671">
        <f t="shared" si="32"/>
        <v>0</v>
      </c>
      <c r="S99" s="322">
        <f t="shared" si="23"/>
        <v>0</v>
      </c>
    </row>
    <row r="100" spans="1:19">
      <c r="A100" s="155"/>
      <c r="B100" s="57"/>
      <c r="C100" s="24">
        <f t="shared" si="24"/>
        <v>1</v>
      </c>
      <c r="D100" s="675"/>
      <c r="E100" s="24">
        <f t="shared" si="25"/>
        <v>1</v>
      </c>
      <c r="F100" s="675"/>
      <c r="G100" s="24">
        <f t="shared" si="26"/>
        <v>1</v>
      </c>
      <c r="H100" s="675"/>
      <c r="I100" s="24">
        <f t="shared" si="27"/>
        <v>1</v>
      </c>
      <c r="J100" s="675"/>
      <c r="K100" s="24">
        <f t="shared" si="28"/>
        <v>1</v>
      </c>
      <c r="L100" s="675"/>
      <c r="M100" s="24">
        <f t="shared" si="29"/>
        <v>1</v>
      </c>
      <c r="N100" s="675"/>
      <c r="O100" s="24">
        <f t="shared" si="30"/>
        <v>1</v>
      </c>
      <c r="P100" s="675"/>
      <c r="Q100" s="24">
        <f t="shared" si="31"/>
        <v>0</v>
      </c>
      <c r="R100" s="671">
        <f t="shared" si="32"/>
        <v>0</v>
      </c>
      <c r="S100" s="322">
        <f t="shared" si="23"/>
        <v>0</v>
      </c>
    </row>
    <row r="101" spans="1:19">
      <c r="A101" s="155"/>
      <c r="B101" s="57"/>
      <c r="C101" s="24">
        <f t="shared" si="24"/>
        <v>1</v>
      </c>
      <c r="D101" s="675"/>
      <c r="E101" s="24">
        <f t="shared" si="25"/>
        <v>1</v>
      </c>
      <c r="F101" s="675"/>
      <c r="G101" s="24">
        <f t="shared" si="26"/>
        <v>1</v>
      </c>
      <c r="H101" s="675"/>
      <c r="I101" s="24">
        <f t="shared" si="27"/>
        <v>1</v>
      </c>
      <c r="J101" s="675"/>
      <c r="K101" s="24">
        <f t="shared" si="28"/>
        <v>1</v>
      </c>
      <c r="L101" s="675"/>
      <c r="M101" s="24">
        <f t="shared" si="29"/>
        <v>1</v>
      </c>
      <c r="N101" s="675"/>
      <c r="O101" s="24">
        <f t="shared" si="30"/>
        <v>1</v>
      </c>
      <c r="P101" s="675"/>
      <c r="Q101" s="24">
        <f t="shared" si="31"/>
        <v>0</v>
      </c>
      <c r="R101" s="671">
        <f t="shared" si="32"/>
        <v>0</v>
      </c>
      <c r="S101" s="322">
        <f t="shared" si="23"/>
        <v>0</v>
      </c>
    </row>
    <row r="102" spans="1:19">
      <c r="A102" s="155"/>
      <c r="B102" s="57"/>
      <c r="C102" s="24">
        <f t="shared" si="24"/>
        <v>1</v>
      </c>
      <c r="D102" s="675"/>
      <c r="E102" s="24">
        <f t="shared" si="25"/>
        <v>1</v>
      </c>
      <c r="F102" s="675"/>
      <c r="G102" s="24">
        <f t="shared" si="26"/>
        <v>1</v>
      </c>
      <c r="H102" s="675"/>
      <c r="I102" s="24">
        <f t="shared" si="27"/>
        <v>1</v>
      </c>
      <c r="J102" s="675"/>
      <c r="K102" s="24">
        <f t="shared" si="28"/>
        <v>1</v>
      </c>
      <c r="L102" s="675"/>
      <c r="M102" s="24">
        <f t="shared" si="29"/>
        <v>1</v>
      </c>
      <c r="N102" s="675"/>
      <c r="O102" s="24">
        <f t="shared" si="30"/>
        <v>1</v>
      </c>
      <c r="P102" s="675"/>
      <c r="Q102" s="24">
        <f t="shared" si="31"/>
        <v>0</v>
      </c>
      <c r="R102" s="671">
        <f t="shared" si="32"/>
        <v>0</v>
      </c>
      <c r="S102" s="322">
        <f t="shared" si="23"/>
        <v>0</v>
      </c>
    </row>
    <row r="103" spans="1:19">
      <c r="A103" s="155"/>
      <c r="B103" s="57"/>
      <c r="C103" s="24">
        <f t="shared" si="24"/>
        <v>1</v>
      </c>
      <c r="D103" s="675"/>
      <c r="E103" s="24">
        <f t="shared" si="25"/>
        <v>1</v>
      </c>
      <c r="F103" s="675"/>
      <c r="G103" s="24">
        <f t="shared" si="26"/>
        <v>1</v>
      </c>
      <c r="H103" s="675"/>
      <c r="I103" s="24">
        <f t="shared" si="27"/>
        <v>1</v>
      </c>
      <c r="J103" s="675"/>
      <c r="K103" s="24">
        <f t="shared" si="28"/>
        <v>1</v>
      </c>
      <c r="L103" s="675"/>
      <c r="M103" s="24">
        <f t="shared" si="29"/>
        <v>1</v>
      </c>
      <c r="N103" s="675"/>
      <c r="O103" s="24">
        <f t="shared" si="30"/>
        <v>1</v>
      </c>
      <c r="P103" s="675"/>
      <c r="Q103" s="24">
        <f t="shared" si="31"/>
        <v>0</v>
      </c>
      <c r="R103" s="671">
        <f t="shared" si="32"/>
        <v>0</v>
      </c>
      <c r="S103" s="322">
        <f t="shared" si="23"/>
        <v>0</v>
      </c>
    </row>
    <row r="104" spans="1:19">
      <c r="A104" s="155"/>
      <c r="B104" s="57"/>
      <c r="C104" s="24">
        <f t="shared" si="24"/>
        <v>1</v>
      </c>
      <c r="D104" s="675"/>
      <c r="E104" s="24">
        <f t="shared" si="25"/>
        <v>1</v>
      </c>
      <c r="F104" s="675"/>
      <c r="G104" s="24">
        <f t="shared" si="26"/>
        <v>1</v>
      </c>
      <c r="H104" s="675"/>
      <c r="I104" s="24">
        <f t="shared" si="27"/>
        <v>1</v>
      </c>
      <c r="J104" s="675"/>
      <c r="K104" s="24">
        <f t="shared" si="28"/>
        <v>1</v>
      </c>
      <c r="L104" s="675"/>
      <c r="M104" s="24">
        <f t="shared" si="29"/>
        <v>1</v>
      </c>
      <c r="N104" s="675"/>
      <c r="O104" s="24">
        <f t="shared" si="30"/>
        <v>1</v>
      </c>
      <c r="P104" s="675"/>
      <c r="Q104" s="24">
        <f t="shared" si="31"/>
        <v>0</v>
      </c>
      <c r="R104" s="671">
        <f t="shared" si="32"/>
        <v>0</v>
      </c>
      <c r="S104" s="322">
        <f t="shared" si="23"/>
        <v>0</v>
      </c>
    </row>
    <row r="105" spans="1:19">
      <c r="A105" s="155"/>
      <c r="B105" s="57"/>
      <c r="C105" s="24">
        <f t="shared" si="24"/>
        <v>1</v>
      </c>
      <c r="D105" s="675"/>
      <c r="E105" s="24">
        <f t="shared" si="25"/>
        <v>1</v>
      </c>
      <c r="F105" s="675"/>
      <c r="G105" s="24">
        <f t="shared" si="26"/>
        <v>1</v>
      </c>
      <c r="H105" s="675"/>
      <c r="I105" s="24">
        <f t="shared" si="27"/>
        <v>1</v>
      </c>
      <c r="J105" s="675"/>
      <c r="K105" s="24">
        <f t="shared" si="28"/>
        <v>1</v>
      </c>
      <c r="L105" s="675"/>
      <c r="M105" s="24">
        <f t="shared" si="29"/>
        <v>1</v>
      </c>
      <c r="N105" s="675"/>
      <c r="O105" s="24">
        <f t="shared" si="30"/>
        <v>1</v>
      </c>
      <c r="P105" s="675"/>
      <c r="Q105" s="24">
        <f t="shared" si="31"/>
        <v>0</v>
      </c>
      <c r="R105" s="671">
        <f t="shared" si="32"/>
        <v>0</v>
      </c>
      <c r="S105" s="322">
        <f t="shared" si="23"/>
        <v>0</v>
      </c>
    </row>
    <row r="106" spans="1:19">
      <c r="A106" s="155"/>
      <c r="B106" s="57"/>
      <c r="C106" s="24">
        <f t="shared" si="24"/>
        <v>1</v>
      </c>
      <c r="D106" s="675"/>
      <c r="E106" s="24">
        <f t="shared" si="25"/>
        <v>1</v>
      </c>
      <c r="F106" s="675"/>
      <c r="G106" s="24">
        <f t="shared" si="26"/>
        <v>1</v>
      </c>
      <c r="H106" s="675"/>
      <c r="I106" s="24">
        <f t="shared" si="27"/>
        <v>1</v>
      </c>
      <c r="J106" s="675"/>
      <c r="K106" s="24">
        <f t="shared" si="28"/>
        <v>1</v>
      </c>
      <c r="L106" s="675"/>
      <c r="M106" s="24">
        <f t="shared" si="29"/>
        <v>1</v>
      </c>
      <c r="N106" s="675"/>
      <c r="O106" s="24">
        <f t="shared" si="30"/>
        <v>1</v>
      </c>
      <c r="P106" s="675"/>
      <c r="Q106" s="24">
        <f t="shared" si="31"/>
        <v>0</v>
      </c>
      <c r="R106" s="671">
        <f t="shared" si="32"/>
        <v>0</v>
      </c>
      <c r="S106" s="322">
        <f t="shared" si="23"/>
        <v>0</v>
      </c>
    </row>
    <row r="107" spans="1:19">
      <c r="A107" s="155"/>
      <c r="B107" s="57"/>
      <c r="C107" s="24">
        <f t="shared" si="24"/>
        <v>1</v>
      </c>
      <c r="D107" s="675"/>
      <c r="E107" s="24">
        <f t="shared" si="25"/>
        <v>1</v>
      </c>
      <c r="F107" s="675"/>
      <c r="G107" s="24">
        <f t="shared" si="26"/>
        <v>1</v>
      </c>
      <c r="H107" s="675"/>
      <c r="I107" s="24">
        <f t="shared" si="27"/>
        <v>1</v>
      </c>
      <c r="J107" s="675"/>
      <c r="K107" s="24">
        <f t="shared" si="28"/>
        <v>1</v>
      </c>
      <c r="L107" s="675"/>
      <c r="M107" s="24">
        <f t="shared" si="29"/>
        <v>1</v>
      </c>
      <c r="N107" s="675"/>
      <c r="O107" s="24">
        <f t="shared" si="30"/>
        <v>1</v>
      </c>
      <c r="P107" s="675"/>
      <c r="Q107" s="24">
        <f t="shared" si="31"/>
        <v>0</v>
      </c>
      <c r="R107" s="671">
        <f t="shared" si="32"/>
        <v>0</v>
      </c>
      <c r="S107" s="322">
        <f t="shared" si="23"/>
        <v>0</v>
      </c>
    </row>
    <row r="108" spans="1:19">
      <c r="A108" s="155"/>
      <c r="B108" s="57"/>
      <c r="C108" s="24">
        <f t="shared" si="24"/>
        <v>1</v>
      </c>
      <c r="D108" s="675"/>
      <c r="E108" s="24">
        <f t="shared" si="25"/>
        <v>1</v>
      </c>
      <c r="F108" s="675"/>
      <c r="G108" s="24">
        <f t="shared" si="26"/>
        <v>1</v>
      </c>
      <c r="H108" s="675"/>
      <c r="I108" s="24">
        <f t="shared" si="27"/>
        <v>1</v>
      </c>
      <c r="J108" s="675"/>
      <c r="K108" s="24">
        <f t="shared" si="28"/>
        <v>1</v>
      </c>
      <c r="L108" s="675"/>
      <c r="M108" s="24">
        <f t="shared" si="29"/>
        <v>1</v>
      </c>
      <c r="N108" s="675"/>
      <c r="O108" s="24">
        <f t="shared" si="30"/>
        <v>1</v>
      </c>
      <c r="P108" s="675"/>
      <c r="Q108" s="24">
        <f t="shared" si="31"/>
        <v>0</v>
      </c>
      <c r="R108" s="671">
        <f t="shared" si="32"/>
        <v>0</v>
      </c>
      <c r="S108" s="322">
        <f t="shared" si="23"/>
        <v>0</v>
      </c>
    </row>
    <row r="109" spans="1:19">
      <c r="A109" s="155"/>
      <c r="B109" s="57"/>
      <c r="C109" s="24">
        <f t="shared" si="24"/>
        <v>1</v>
      </c>
      <c r="D109" s="675"/>
      <c r="E109" s="24">
        <f t="shared" si="25"/>
        <v>1</v>
      </c>
      <c r="F109" s="675"/>
      <c r="G109" s="24">
        <f t="shared" si="26"/>
        <v>1</v>
      </c>
      <c r="H109" s="675"/>
      <c r="I109" s="24">
        <f t="shared" si="27"/>
        <v>1</v>
      </c>
      <c r="J109" s="675"/>
      <c r="K109" s="24">
        <f t="shared" si="28"/>
        <v>1</v>
      </c>
      <c r="L109" s="675"/>
      <c r="M109" s="24">
        <f t="shared" si="29"/>
        <v>1</v>
      </c>
      <c r="N109" s="675"/>
      <c r="O109" s="24">
        <f t="shared" si="30"/>
        <v>1</v>
      </c>
      <c r="P109" s="675"/>
      <c r="Q109" s="24">
        <f t="shared" si="31"/>
        <v>0</v>
      </c>
      <c r="R109" s="671">
        <f t="shared" si="32"/>
        <v>0</v>
      </c>
      <c r="S109" s="322">
        <f t="shared" si="23"/>
        <v>0</v>
      </c>
    </row>
    <row r="110" spans="1:19">
      <c r="A110" s="155"/>
      <c r="B110" s="57"/>
      <c r="C110" s="24">
        <f t="shared" si="24"/>
        <v>1</v>
      </c>
      <c r="D110" s="675"/>
      <c r="E110" s="24">
        <f t="shared" si="25"/>
        <v>1</v>
      </c>
      <c r="F110" s="675"/>
      <c r="G110" s="24">
        <f t="shared" si="26"/>
        <v>1</v>
      </c>
      <c r="H110" s="675"/>
      <c r="I110" s="24">
        <f t="shared" si="27"/>
        <v>1</v>
      </c>
      <c r="J110" s="675"/>
      <c r="K110" s="24">
        <f t="shared" si="28"/>
        <v>1</v>
      </c>
      <c r="L110" s="675"/>
      <c r="M110" s="24">
        <f t="shared" si="29"/>
        <v>1</v>
      </c>
      <c r="N110" s="675"/>
      <c r="O110" s="24">
        <f t="shared" si="30"/>
        <v>1</v>
      </c>
      <c r="P110" s="675"/>
      <c r="Q110" s="24">
        <f t="shared" si="31"/>
        <v>0</v>
      </c>
      <c r="R110" s="671">
        <f t="shared" si="32"/>
        <v>0</v>
      </c>
      <c r="S110" s="322">
        <f t="shared" si="23"/>
        <v>0</v>
      </c>
    </row>
    <row r="111" spans="1:19">
      <c r="A111" s="155"/>
      <c r="B111" s="57"/>
      <c r="C111" s="24">
        <f t="shared" si="24"/>
        <v>1</v>
      </c>
      <c r="D111" s="675"/>
      <c r="E111" s="24">
        <f t="shared" si="25"/>
        <v>1</v>
      </c>
      <c r="F111" s="675"/>
      <c r="G111" s="24">
        <f t="shared" si="26"/>
        <v>1</v>
      </c>
      <c r="H111" s="675"/>
      <c r="I111" s="24">
        <f t="shared" si="27"/>
        <v>1</v>
      </c>
      <c r="J111" s="675"/>
      <c r="K111" s="24">
        <f t="shared" si="28"/>
        <v>1</v>
      </c>
      <c r="L111" s="675"/>
      <c r="M111" s="24">
        <f t="shared" si="29"/>
        <v>1</v>
      </c>
      <c r="N111" s="675"/>
      <c r="O111" s="24">
        <f t="shared" si="30"/>
        <v>1</v>
      </c>
      <c r="P111" s="675"/>
      <c r="Q111" s="24">
        <f t="shared" si="31"/>
        <v>0</v>
      </c>
      <c r="R111" s="671">
        <f t="shared" si="32"/>
        <v>0</v>
      </c>
      <c r="S111" s="322">
        <f t="shared" si="23"/>
        <v>0</v>
      </c>
    </row>
    <row r="112" spans="1:19">
      <c r="A112" s="155"/>
      <c r="B112" s="57"/>
      <c r="C112" s="24">
        <f t="shared" si="24"/>
        <v>1</v>
      </c>
      <c r="D112" s="675"/>
      <c r="E112" s="24">
        <f t="shared" si="25"/>
        <v>1</v>
      </c>
      <c r="F112" s="675"/>
      <c r="G112" s="24">
        <f t="shared" si="26"/>
        <v>1</v>
      </c>
      <c r="H112" s="675"/>
      <c r="I112" s="24">
        <f t="shared" si="27"/>
        <v>1</v>
      </c>
      <c r="J112" s="675"/>
      <c r="K112" s="24">
        <f t="shared" si="28"/>
        <v>1</v>
      </c>
      <c r="L112" s="675"/>
      <c r="M112" s="24">
        <f t="shared" si="29"/>
        <v>1</v>
      </c>
      <c r="N112" s="675"/>
      <c r="O112" s="24">
        <f t="shared" si="30"/>
        <v>1</v>
      </c>
      <c r="P112" s="675"/>
      <c r="Q112" s="24">
        <f t="shared" si="31"/>
        <v>0</v>
      </c>
      <c r="R112" s="671">
        <f t="shared" si="32"/>
        <v>0</v>
      </c>
      <c r="S112" s="322">
        <f t="shared" si="23"/>
        <v>0</v>
      </c>
    </row>
    <row r="113" spans="1:19">
      <c r="A113" s="155"/>
      <c r="B113" s="57"/>
      <c r="C113" s="24">
        <f t="shared" si="24"/>
        <v>1</v>
      </c>
      <c r="D113" s="675"/>
      <c r="E113" s="24">
        <f t="shared" si="25"/>
        <v>1</v>
      </c>
      <c r="F113" s="675"/>
      <c r="G113" s="24">
        <f t="shared" si="26"/>
        <v>1</v>
      </c>
      <c r="H113" s="675"/>
      <c r="I113" s="24">
        <f t="shared" si="27"/>
        <v>1</v>
      </c>
      <c r="J113" s="675"/>
      <c r="K113" s="24">
        <f t="shared" si="28"/>
        <v>1</v>
      </c>
      <c r="L113" s="675"/>
      <c r="M113" s="24">
        <f t="shared" si="29"/>
        <v>1</v>
      </c>
      <c r="N113" s="675"/>
      <c r="O113" s="24">
        <f t="shared" si="30"/>
        <v>1</v>
      </c>
      <c r="P113" s="675"/>
      <c r="Q113" s="24">
        <f t="shared" si="31"/>
        <v>0</v>
      </c>
      <c r="R113" s="671">
        <f t="shared" si="32"/>
        <v>0</v>
      </c>
      <c r="S113" s="322">
        <f t="shared" si="23"/>
        <v>0</v>
      </c>
    </row>
    <row r="114" spans="1:19">
      <c r="A114" s="155"/>
      <c r="B114" s="57"/>
      <c r="C114" s="24">
        <f t="shared" si="24"/>
        <v>1</v>
      </c>
      <c r="D114" s="675"/>
      <c r="E114" s="24">
        <f t="shared" si="25"/>
        <v>1</v>
      </c>
      <c r="F114" s="675"/>
      <c r="G114" s="24">
        <f t="shared" si="26"/>
        <v>1</v>
      </c>
      <c r="H114" s="675"/>
      <c r="I114" s="24">
        <f t="shared" si="27"/>
        <v>1</v>
      </c>
      <c r="J114" s="675"/>
      <c r="K114" s="24">
        <f t="shared" si="28"/>
        <v>1</v>
      </c>
      <c r="L114" s="675"/>
      <c r="M114" s="24">
        <f t="shared" si="29"/>
        <v>1</v>
      </c>
      <c r="N114" s="675"/>
      <c r="O114" s="24">
        <f t="shared" si="30"/>
        <v>1</v>
      </c>
      <c r="P114" s="675"/>
      <c r="Q114" s="24">
        <f t="shared" si="31"/>
        <v>0</v>
      </c>
      <c r="R114" s="671">
        <f t="shared" si="32"/>
        <v>0</v>
      </c>
      <c r="S114" s="322">
        <f t="shared" si="23"/>
        <v>0</v>
      </c>
    </row>
    <row r="115" spans="1:19">
      <c r="A115" s="155"/>
      <c r="B115" s="57"/>
      <c r="C115" s="24">
        <f t="shared" si="24"/>
        <v>1</v>
      </c>
      <c r="D115" s="675"/>
      <c r="E115" s="24">
        <f t="shared" si="25"/>
        <v>1</v>
      </c>
      <c r="F115" s="675"/>
      <c r="G115" s="24">
        <f t="shared" si="26"/>
        <v>1</v>
      </c>
      <c r="H115" s="675"/>
      <c r="I115" s="24">
        <f t="shared" si="27"/>
        <v>1</v>
      </c>
      <c r="J115" s="675"/>
      <c r="K115" s="24">
        <f t="shared" si="28"/>
        <v>1</v>
      </c>
      <c r="L115" s="675"/>
      <c r="M115" s="24">
        <f t="shared" si="29"/>
        <v>1</v>
      </c>
      <c r="N115" s="675"/>
      <c r="O115" s="24">
        <f t="shared" si="30"/>
        <v>1</v>
      </c>
      <c r="P115" s="675"/>
      <c r="Q115" s="24">
        <f t="shared" si="31"/>
        <v>0</v>
      </c>
      <c r="R115" s="671">
        <f t="shared" si="32"/>
        <v>0</v>
      </c>
      <c r="S115" s="322">
        <f t="shared" si="23"/>
        <v>0</v>
      </c>
    </row>
    <row r="116" spans="1:19">
      <c r="A116" s="155"/>
      <c r="B116" s="57"/>
      <c r="C116" s="24">
        <f t="shared" si="24"/>
        <v>1</v>
      </c>
      <c r="D116" s="675"/>
      <c r="E116" s="24">
        <f t="shared" si="25"/>
        <v>1</v>
      </c>
      <c r="F116" s="675"/>
      <c r="G116" s="24">
        <f t="shared" si="26"/>
        <v>1</v>
      </c>
      <c r="H116" s="675"/>
      <c r="I116" s="24">
        <f t="shared" si="27"/>
        <v>1</v>
      </c>
      <c r="J116" s="675"/>
      <c r="K116" s="24">
        <f t="shared" si="28"/>
        <v>1</v>
      </c>
      <c r="L116" s="675"/>
      <c r="M116" s="24">
        <f t="shared" si="29"/>
        <v>1</v>
      </c>
      <c r="N116" s="675"/>
      <c r="O116" s="24">
        <f t="shared" si="30"/>
        <v>1</v>
      </c>
      <c r="P116" s="675"/>
      <c r="Q116" s="24">
        <f t="shared" si="31"/>
        <v>0</v>
      </c>
      <c r="R116" s="671">
        <f t="shared" si="32"/>
        <v>0</v>
      </c>
      <c r="S116" s="322">
        <f t="shared" si="23"/>
        <v>0</v>
      </c>
    </row>
    <row r="117" spans="1:19">
      <c r="A117" s="155"/>
      <c r="B117" s="57"/>
      <c r="C117" s="24">
        <f t="shared" si="24"/>
        <v>1</v>
      </c>
      <c r="D117" s="675"/>
      <c r="E117" s="24">
        <f t="shared" si="25"/>
        <v>1</v>
      </c>
      <c r="F117" s="675"/>
      <c r="G117" s="24">
        <f t="shared" si="26"/>
        <v>1</v>
      </c>
      <c r="H117" s="675"/>
      <c r="I117" s="24">
        <f t="shared" si="27"/>
        <v>1</v>
      </c>
      <c r="J117" s="675"/>
      <c r="K117" s="24">
        <f t="shared" si="28"/>
        <v>1</v>
      </c>
      <c r="L117" s="675"/>
      <c r="M117" s="24">
        <f t="shared" si="29"/>
        <v>1</v>
      </c>
      <c r="N117" s="675"/>
      <c r="O117" s="24">
        <f t="shared" si="30"/>
        <v>1</v>
      </c>
      <c r="P117" s="675"/>
      <c r="Q117" s="24">
        <f t="shared" si="31"/>
        <v>0</v>
      </c>
      <c r="R117" s="671">
        <f t="shared" si="32"/>
        <v>0</v>
      </c>
      <c r="S117" s="322">
        <f t="shared" si="23"/>
        <v>0</v>
      </c>
    </row>
    <row r="118" spans="1:19">
      <c r="A118" s="155"/>
      <c r="B118" s="57"/>
      <c r="C118" s="24">
        <f t="shared" si="24"/>
        <v>1</v>
      </c>
      <c r="D118" s="675"/>
      <c r="E118" s="24">
        <f t="shared" si="25"/>
        <v>1</v>
      </c>
      <c r="F118" s="675"/>
      <c r="G118" s="24">
        <f t="shared" si="26"/>
        <v>1</v>
      </c>
      <c r="H118" s="675"/>
      <c r="I118" s="24">
        <f t="shared" si="27"/>
        <v>1</v>
      </c>
      <c r="J118" s="675"/>
      <c r="K118" s="24">
        <f t="shared" si="28"/>
        <v>1</v>
      </c>
      <c r="L118" s="675"/>
      <c r="M118" s="24">
        <f t="shared" si="29"/>
        <v>1</v>
      </c>
      <c r="N118" s="675"/>
      <c r="O118" s="24">
        <f t="shared" si="30"/>
        <v>1</v>
      </c>
      <c r="P118" s="675"/>
      <c r="Q118" s="24">
        <f t="shared" si="31"/>
        <v>0</v>
      </c>
      <c r="R118" s="671">
        <f t="shared" si="32"/>
        <v>0</v>
      </c>
      <c r="S118" s="322">
        <f t="shared" si="23"/>
        <v>0</v>
      </c>
    </row>
    <row r="119" spans="1:19">
      <c r="A119" s="155"/>
      <c r="B119" s="57"/>
      <c r="C119" s="24">
        <f t="shared" si="24"/>
        <v>1</v>
      </c>
      <c r="D119" s="675"/>
      <c r="E119" s="24">
        <f t="shared" si="25"/>
        <v>1</v>
      </c>
      <c r="F119" s="675"/>
      <c r="G119" s="24">
        <f t="shared" si="26"/>
        <v>1</v>
      </c>
      <c r="H119" s="675"/>
      <c r="I119" s="24">
        <f t="shared" si="27"/>
        <v>1</v>
      </c>
      <c r="J119" s="675"/>
      <c r="K119" s="24">
        <f t="shared" si="28"/>
        <v>1</v>
      </c>
      <c r="L119" s="675"/>
      <c r="M119" s="24">
        <f t="shared" si="29"/>
        <v>1</v>
      </c>
      <c r="N119" s="675"/>
      <c r="O119" s="24">
        <f t="shared" si="30"/>
        <v>1</v>
      </c>
      <c r="P119" s="675"/>
      <c r="Q119" s="24">
        <f t="shared" si="31"/>
        <v>0</v>
      </c>
      <c r="R119" s="671">
        <f t="shared" si="32"/>
        <v>0</v>
      </c>
      <c r="S119" s="322">
        <f t="shared" si="23"/>
        <v>0</v>
      </c>
    </row>
    <row r="120" spans="1:19">
      <c r="A120" s="155"/>
      <c r="B120" s="57"/>
      <c r="C120" s="24">
        <f t="shared" si="24"/>
        <v>1</v>
      </c>
      <c r="D120" s="675"/>
      <c r="E120" s="24">
        <f t="shared" si="25"/>
        <v>1</v>
      </c>
      <c r="F120" s="675"/>
      <c r="G120" s="24">
        <f t="shared" si="26"/>
        <v>1</v>
      </c>
      <c r="H120" s="675"/>
      <c r="I120" s="24">
        <f t="shared" si="27"/>
        <v>1</v>
      </c>
      <c r="J120" s="675"/>
      <c r="K120" s="24">
        <f t="shared" si="28"/>
        <v>1</v>
      </c>
      <c r="L120" s="675"/>
      <c r="M120" s="24">
        <f t="shared" si="29"/>
        <v>1</v>
      </c>
      <c r="N120" s="675"/>
      <c r="O120" s="24">
        <f t="shared" si="30"/>
        <v>1</v>
      </c>
      <c r="P120" s="675"/>
      <c r="Q120" s="24">
        <f t="shared" si="31"/>
        <v>0</v>
      </c>
      <c r="R120" s="671">
        <f t="shared" si="32"/>
        <v>0</v>
      </c>
      <c r="S120" s="322">
        <f t="shared" si="23"/>
        <v>0</v>
      </c>
    </row>
    <row r="121" spans="1:19">
      <c r="A121" s="155"/>
      <c r="B121" s="57"/>
      <c r="C121" s="24">
        <f t="shared" si="24"/>
        <v>1</v>
      </c>
      <c r="D121" s="675"/>
      <c r="E121" s="24">
        <f t="shared" si="25"/>
        <v>1</v>
      </c>
      <c r="F121" s="675"/>
      <c r="G121" s="24">
        <f t="shared" si="26"/>
        <v>1</v>
      </c>
      <c r="H121" s="675"/>
      <c r="I121" s="24">
        <f t="shared" si="27"/>
        <v>1</v>
      </c>
      <c r="J121" s="675"/>
      <c r="K121" s="24">
        <f t="shared" si="28"/>
        <v>1</v>
      </c>
      <c r="L121" s="675"/>
      <c r="M121" s="24">
        <f t="shared" si="29"/>
        <v>1</v>
      </c>
      <c r="N121" s="675"/>
      <c r="O121" s="24">
        <f t="shared" si="30"/>
        <v>1</v>
      </c>
      <c r="P121" s="675"/>
      <c r="Q121" s="24">
        <f t="shared" si="31"/>
        <v>0</v>
      </c>
      <c r="R121" s="671">
        <f t="shared" si="32"/>
        <v>0</v>
      </c>
      <c r="S121" s="322">
        <f t="shared" si="23"/>
        <v>0</v>
      </c>
    </row>
    <row r="122" spans="1:19">
      <c r="A122" s="155"/>
      <c r="B122" s="57"/>
      <c r="C122" s="24">
        <f t="shared" si="24"/>
        <v>1</v>
      </c>
      <c r="D122" s="675"/>
      <c r="E122" s="24">
        <f t="shared" si="25"/>
        <v>1</v>
      </c>
      <c r="F122" s="675"/>
      <c r="G122" s="24">
        <f t="shared" si="26"/>
        <v>1</v>
      </c>
      <c r="H122" s="675"/>
      <c r="I122" s="24">
        <f t="shared" si="27"/>
        <v>1</v>
      </c>
      <c r="J122" s="675"/>
      <c r="K122" s="24">
        <f t="shared" si="28"/>
        <v>1</v>
      </c>
      <c r="L122" s="675"/>
      <c r="M122" s="24">
        <f t="shared" si="29"/>
        <v>1</v>
      </c>
      <c r="N122" s="675"/>
      <c r="O122" s="24">
        <f t="shared" si="30"/>
        <v>1</v>
      </c>
      <c r="P122" s="675"/>
      <c r="Q122" s="24">
        <f t="shared" si="31"/>
        <v>0</v>
      </c>
      <c r="R122" s="671">
        <f t="shared" si="32"/>
        <v>0</v>
      </c>
      <c r="S122" s="322">
        <f t="shared" si="23"/>
        <v>0</v>
      </c>
    </row>
    <row r="123" spans="1:19">
      <c r="A123" s="155"/>
      <c r="B123" s="57"/>
      <c r="C123" s="24">
        <f t="shared" si="24"/>
        <v>1</v>
      </c>
      <c r="D123" s="675"/>
      <c r="E123" s="24">
        <f t="shared" si="25"/>
        <v>1</v>
      </c>
      <c r="F123" s="675"/>
      <c r="G123" s="24">
        <f t="shared" si="26"/>
        <v>1</v>
      </c>
      <c r="H123" s="675"/>
      <c r="I123" s="24">
        <f t="shared" si="27"/>
        <v>1</v>
      </c>
      <c r="J123" s="675"/>
      <c r="K123" s="24">
        <f t="shared" si="28"/>
        <v>1</v>
      </c>
      <c r="L123" s="675"/>
      <c r="M123" s="24">
        <f t="shared" si="29"/>
        <v>1</v>
      </c>
      <c r="N123" s="675"/>
      <c r="O123" s="24">
        <f t="shared" si="30"/>
        <v>1</v>
      </c>
      <c r="P123" s="675"/>
      <c r="Q123" s="24">
        <f t="shared" si="31"/>
        <v>0</v>
      </c>
      <c r="R123" s="671">
        <f t="shared" si="32"/>
        <v>0</v>
      </c>
      <c r="S123" s="322">
        <f t="shared" ref="S123:S186" si="33">ROUND(R123*B123/10000,0)</f>
        <v>0</v>
      </c>
    </row>
    <row r="124" spans="1:19">
      <c r="A124" s="155"/>
      <c r="B124" s="57"/>
      <c r="C124" s="24">
        <f t="shared" si="24"/>
        <v>1</v>
      </c>
      <c r="D124" s="675"/>
      <c r="E124" s="24">
        <f t="shared" si="25"/>
        <v>1</v>
      </c>
      <c r="F124" s="675"/>
      <c r="G124" s="24">
        <f t="shared" si="26"/>
        <v>1</v>
      </c>
      <c r="H124" s="675"/>
      <c r="I124" s="24">
        <f t="shared" si="27"/>
        <v>1</v>
      </c>
      <c r="J124" s="675"/>
      <c r="K124" s="24">
        <f t="shared" si="28"/>
        <v>1</v>
      </c>
      <c r="L124" s="675"/>
      <c r="M124" s="24">
        <f t="shared" si="29"/>
        <v>1</v>
      </c>
      <c r="N124" s="675"/>
      <c r="O124" s="24">
        <f t="shared" si="30"/>
        <v>1</v>
      </c>
      <c r="P124" s="675"/>
      <c r="Q124" s="24">
        <f t="shared" si="31"/>
        <v>0</v>
      </c>
      <c r="R124" s="671">
        <f t="shared" si="32"/>
        <v>0</v>
      </c>
      <c r="S124" s="322">
        <f t="shared" si="33"/>
        <v>0</v>
      </c>
    </row>
    <row r="125" spans="1:19">
      <c r="A125" s="155"/>
      <c r="B125" s="57"/>
      <c r="C125" s="24">
        <f t="shared" si="24"/>
        <v>1</v>
      </c>
      <c r="D125" s="675"/>
      <c r="E125" s="24">
        <f t="shared" si="25"/>
        <v>1</v>
      </c>
      <c r="F125" s="675"/>
      <c r="G125" s="24">
        <f t="shared" si="26"/>
        <v>1</v>
      </c>
      <c r="H125" s="675"/>
      <c r="I125" s="24">
        <f t="shared" si="27"/>
        <v>1</v>
      </c>
      <c r="J125" s="675"/>
      <c r="K125" s="24">
        <f t="shared" si="28"/>
        <v>1</v>
      </c>
      <c r="L125" s="675"/>
      <c r="M125" s="24">
        <f t="shared" si="29"/>
        <v>1</v>
      </c>
      <c r="N125" s="675"/>
      <c r="O125" s="24">
        <f t="shared" si="30"/>
        <v>1</v>
      </c>
      <c r="P125" s="675"/>
      <c r="Q125" s="24">
        <f t="shared" si="31"/>
        <v>0</v>
      </c>
      <c r="R125" s="671">
        <f t="shared" si="32"/>
        <v>0</v>
      </c>
      <c r="S125" s="322">
        <f t="shared" si="33"/>
        <v>0</v>
      </c>
    </row>
    <row r="126" spans="1:19">
      <c r="A126" s="155"/>
      <c r="B126" s="57"/>
      <c r="C126" s="24">
        <f t="shared" si="24"/>
        <v>1</v>
      </c>
      <c r="D126" s="675"/>
      <c r="E126" s="24">
        <f t="shared" si="25"/>
        <v>1</v>
      </c>
      <c r="F126" s="675"/>
      <c r="G126" s="24">
        <f t="shared" si="26"/>
        <v>1</v>
      </c>
      <c r="H126" s="675"/>
      <c r="I126" s="24">
        <f t="shared" si="27"/>
        <v>1</v>
      </c>
      <c r="J126" s="675"/>
      <c r="K126" s="24">
        <f t="shared" si="28"/>
        <v>1</v>
      </c>
      <c r="L126" s="675"/>
      <c r="M126" s="24">
        <f t="shared" si="29"/>
        <v>1</v>
      </c>
      <c r="N126" s="675"/>
      <c r="O126" s="24">
        <f t="shared" si="30"/>
        <v>1</v>
      </c>
      <c r="P126" s="675"/>
      <c r="Q126" s="24">
        <f t="shared" si="31"/>
        <v>0</v>
      </c>
      <c r="R126" s="671">
        <f t="shared" si="32"/>
        <v>0</v>
      </c>
      <c r="S126" s="322">
        <f t="shared" si="33"/>
        <v>0</v>
      </c>
    </row>
    <row r="127" spans="1:19">
      <c r="A127" s="155"/>
      <c r="B127" s="57"/>
      <c r="C127" s="24">
        <f t="shared" si="24"/>
        <v>1</v>
      </c>
      <c r="D127" s="675"/>
      <c r="E127" s="24">
        <f t="shared" si="25"/>
        <v>1</v>
      </c>
      <c r="F127" s="675"/>
      <c r="G127" s="24">
        <f t="shared" si="26"/>
        <v>1</v>
      </c>
      <c r="H127" s="675"/>
      <c r="I127" s="24">
        <f t="shared" si="27"/>
        <v>1</v>
      </c>
      <c r="J127" s="675"/>
      <c r="K127" s="24">
        <f t="shared" si="28"/>
        <v>1</v>
      </c>
      <c r="L127" s="675"/>
      <c r="M127" s="24">
        <f t="shared" si="29"/>
        <v>1</v>
      </c>
      <c r="N127" s="675"/>
      <c r="O127" s="24">
        <f t="shared" si="30"/>
        <v>1</v>
      </c>
      <c r="P127" s="675"/>
      <c r="Q127" s="24">
        <f t="shared" si="31"/>
        <v>0</v>
      </c>
      <c r="R127" s="671">
        <f t="shared" si="32"/>
        <v>0</v>
      </c>
      <c r="S127" s="322">
        <f t="shared" si="33"/>
        <v>0</v>
      </c>
    </row>
    <row r="128" spans="1:19">
      <c r="A128" s="155"/>
      <c r="B128" s="57"/>
      <c r="C128" s="24">
        <f t="shared" si="24"/>
        <v>1</v>
      </c>
      <c r="D128" s="675"/>
      <c r="E128" s="24">
        <f t="shared" si="25"/>
        <v>1</v>
      </c>
      <c r="F128" s="675"/>
      <c r="G128" s="24">
        <f t="shared" si="26"/>
        <v>1</v>
      </c>
      <c r="H128" s="675"/>
      <c r="I128" s="24">
        <f t="shared" si="27"/>
        <v>1</v>
      </c>
      <c r="J128" s="675"/>
      <c r="K128" s="24">
        <f t="shared" si="28"/>
        <v>1</v>
      </c>
      <c r="L128" s="675"/>
      <c r="M128" s="24">
        <f t="shared" si="29"/>
        <v>1</v>
      </c>
      <c r="N128" s="675"/>
      <c r="O128" s="24">
        <f t="shared" si="30"/>
        <v>1</v>
      </c>
      <c r="P128" s="675"/>
      <c r="Q128" s="24">
        <f t="shared" si="31"/>
        <v>0</v>
      </c>
      <c r="R128" s="671">
        <f t="shared" si="32"/>
        <v>0</v>
      </c>
      <c r="S128" s="322">
        <f t="shared" si="33"/>
        <v>0</v>
      </c>
    </row>
    <row r="129" spans="1:19">
      <c r="A129" s="155"/>
      <c r="B129" s="57"/>
      <c r="C129" s="24">
        <f t="shared" si="24"/>
        <v>1</v>
      </c>
      <c r="D129" s="675"/>
      <c r="E129" s="24">
        <f t="shared" si="25"/>
        <v>1</v>
      </c>
      <c r="F129" s="675"/>
      <c r="G129" s="24">
        <f t="shared" si="26"/>
        <v>1</v>
      </c>
      <c r="H129" s="675"/>
      <c r="I129" s="24">
        <f t="shared" si="27"/>
        <v>1</v>
      </c>
      <c r="J129" s="675"/>
      <c r="K129" s="24">
        <f t="shared" si="28"/>
        <v>1</v>
      </c>
      <c r="L129" s="675"/>
      <c r="M129" s="24">
        <f t="shared" si="29"/>
        <v>1</v>
      </c>
      <c r="N129" s="675"/>
      <c r="O129" s="24">
        <f t="shared" si="30"/>
        <v>1</v>
      </c>
      <c r="P129" s="675"/>
      <c r="Q129" s="24">
        <f t="shared" si="31"/>
        <v>0</v>
      </c>
      <c r="R129" s="671">
        <f t="shared" si="32"/>
        <v>0</v>
      </c>
      <c r="S129" s="322">
        <f t="shared" si="33"/>
        <v>0</v>
      </c>
    </row>
    <row r="130" spans="1:19">
      <c r="A130" s="155"/>
      <c r="B130" s="57"/>
      <c r="C130" s="24">
        <f t="shared" si="24"/>
        <v>1</v>
      </c>
      <c r="D130" s="675"/>
      <c r="E130" s="24">
        <f t="shared" si="25"/>
        <v>1</v>
      </c>
      <c r="F130" s="675"/>
      <c r="G130" s="24">
        <f t="shared" si="26"/>
        <v>1</v>
      </c>
      <c r="H130" s="675"/>
      <c r="I130" s="24">
        <f t="shared" si="27"/>
        <v>1</v>
      </c>
      <c r="J130" s="675"/>
      <c r="K130" s="24">
        <f t="shared" si="28"/>
        <v>1</v>
      </c>
      <c r="L130" s="675"/>
      <c r="M130" s="24">
        <f t="shared" si="29"/>
        <v>1</v>
      </c>
      <c r="N130" s="675"/>
      <c r="O130" s="24">
        <f t="shared" si="30"/>
        <v>1</v>
      </c>
      <c r="P130" s="675"/>
      <c r="Q130" s="24">
        <f t="shared" si="31"/>
        <v>0</v>
      </c>
      <c r="R130" s="671">
        <f t="shared" si="32"/>
        <v>0</v>
      </c>
      <c r="S130" s="322">
        <f t="shared" si="33"/>
        <v>0</v>
      </c>
    </row>
    <row r="131" spans="1:19">
      <c r="A131" s="155"/>
      <c r="B131" s="57"/>
      <c r="C131" s="24">
        <f t="shared" si="24"/>
        <v>1</v>
      </c>
      <c r="D131" s="675"/>
      <c r="E131" s="24">
        <f t="shared" si="25"/>
        <v>1</v>
      </c>
      <c r="F131" s="675"/>
      <c r="G131" s="24">
        <f t="shared" si="26"/>
        <v>1</v>
      </c>
      <c r="H131" s="675"/>
      <c r="I131" s="24">
        <f t="shared" si="27"/>
        <v>1</v>
      </c>
      <c r="J131" s="675"/>
      <c r="K131" s="24">
        <f t="shared" si="28"/>
        <v>1</v>
      </c>
      <c r="L131" s="675"/>
      <c r="M131" s="24">
        <f t="shared" si="29"/>
        <v>1</v>
      </c>
      <c r="N131" s="675"/>
      <c r="O131" s="24">
        <f t="shared" si="30"/>
        <v>1</v>
      </c>
      <c r="P131" s="675"/>
      <c r="Q131" s="24">
        <f t="shared" si="31"/>
        <v>0</v>
      </c>
      <c r="R131" s="671">
        <f t="shared" si="32"/>
        <v>0</v>
      </c>
      <c r="S131" s="322">
        <f t="shared" si="33"/>
        <v>0</v>
      </c>
    </row>
    <row r="132" spans="1:19">
      <c r="A132" s="155"/>
      <c r="B132" s="57"/>
      <c r="C132" s="24">
        <f t="shared" si="24"/>
        <v>1</v>
      </c>
      <c r="D132" s="675"/>
      <c r="E132" s="24">
        <f t="shared" si="25"/>
        <v>1</v>
      </c>
      <c r="F132" s="675"/>
      <c r="G132" s="24">
        <f t="shared" si="26"/>
        <v>1</v>
      </c>
      <c r="H132" s="675"/>
      <c r="I132" s="24">
        <f t="shared" si="27"/>
        <v>1</v>
      </c>
      <c r="J132" s="675"/>
      <c r="K132" s="24">
        <f t="shared" si="28"/>
        <v>1</v>
      </c>
      <c r="L132" s="675"/>
      <c r="M132" s="24">
        <f t="shared" si="29"/>
        <v>1</v>
      </c>
      <c r="N132" s="675"/>
      <c r="O132" s="24">
        <f t="shared" si="30"/>
        <v>1</v>
      </c>
      <c r="P132" s="675"/>
      <c r="Q132" s="24">
        <f t="shared" si="31"/>
        <v>0</v>
      </c>
      <c r="R132" s="671">
        <f t="shared" si="32"/>
        <v>0</v>
      </c>
      <c r="S132" s="322">
        <f t="shared" si="33"/>
        <v>0</v>
      </c>
    </row>
    <row r="133" spans="1:19">
      <c r="A133" s="155"/>
      <c r="B133" s="57"/>
      <c r="C133" s="24">
        <f t="shared" si="24"/>
        <v>1</v>
      </c>
      <c r="D133" s="675"/>
      <c r="E133" s="24">
        <f t="shared" si="25"/>
        <v>1</v>
      </c>
      <c r="F133" s="675"/>
      <c r="G133" s="24">
        <f t="shared" si="26"/>
        <v>1</v>
      </c>
      <c r="H133" s="675"/>
      <c r="I133" s="24">
        <f t="shared" si="27"/>
        <v>1</v>
      </c>
      <c r="J133" s="675"/>
      <c r="K133" s="24">
        <f t="shared" si="28"/>
        <v>1</v>
      </c>
      <c r="L133" s="675"/>
      <c r="M133" s="24">
        <f t="shared" si="29"/>
        <v>1</v>
      </c>
      <c r="N133" s="675"/>
      <c r="O133" s="24">
        <f t="shared" si="30"/>
        <v>1</v>
      </c>
      <c r="P133" s="675"/>
      <c r="Q133" s="24">
        <f t="shared" si="31"/>
        <v>0</v>
      </c>
      <c r="R133" s="671">
        <f t="shared" si="32"/>
        <v>0</v>
      </c>
      <c r="S133" s="322">
        <f t="shared" si="33"/>
        <v>0</v>
      </c>
    </row>
    <row r="134" spans="1:19">
      <c r="A134" s="155"/>
      <c r="B134" s="57"/>
      <c r="C134" s="24">
        <f t="shared" si="24"/>
        <v>1</v>
      </c>
      <c r="D134" s="675"/>
      <c r="E134" s="24">
        <f t="shared" si="25"/>
        <v>1</v>
      </c>
      <c r="F134" s="675"/>
      <c r="G134" s="24">
        <f t="shared" si="26"/>
        <v>1</v>
      </c>
      <c r="H134" s="675"/>
      <c r="I134" s="24">
        <f t="shared" si="27"/>
        <v>1</v>
      </c>
      <c r="J134" s="675"/>
      <c r="K134" s="24">
        <f t="shared" si="28"/>
        <v>1</v>
      </c>
      <c r="L134" s="675"/>
      <c r="M134" s="24">
        <f t="shared" si="29"/>
        <v>1</v>
      </c>
      <c r="N134" s="675"/>
      <c r="O134" s="24">
        <f t="shared" si="30"/>
        <v>1</v>
      </c>
      <c r="P134" s="675"/>
      <c r="Q134" s="24">
        <f t="shared" si="31"/>
        <v>0</v>
      </c>
      <c r="R134" s="671">
        <f t="shared" si="32"/>
        <v>0</v>
      </c>
      <c r="S134" s="322">
        <f t="shared" si="33"/>
        <v>0</v>
      </c>
    </row>
    <row r="135" spans="1:19">
      <c r="A135" s="155"/>
      <c r="B135" s="57"/>
      <c r="C135" s="24">
        <f t="shared" si="24"/>
        <v>1</v>
      </c>
      <c r="D135" s="675"/>
      <c r="E135" s="24">
        <f t="shared" si="25"/>
        <v>1</v>
      </c>
      <c r="F135" s="675"/>
      <c r="G135" s="24">
        <f t="shared" si="26"/>
        <v>1</v>
      </c>
      <c r="H135" s="675"/>
      <c r="I135" s="24">
        <f t="shared" si="27"/>
        <v>1</v>
      </c>
      <c r="J135" s="675"/>
      <c r="K135" s="24">
        <f t="shared" si="28"/>
        <v>1</v>
      </c>
      <c r="L135" s="675"/>
      <c r="M135" s="24">
        <f t="shared" si="29"/>
        <v>1</v>
      </c>
      <c r="N135" s="675"/>
      <c r="O135" s="24">
        <f t="shared" si="30"/>
        <v>1</v>
      </c>
      <c r="P135" s="675"/>
      <c r="Q135" s="24">
        <f t="shared" si="31"/>
        <v>0</v>
      </c>
      <c r="R135" s="671">
        <f t="shared" si="32"/>
        <v>0</v>
      </c>
      <c r="S135" s="322">
        <f t="shared" si="33"/>
        <v>0</v>
      </c>
    </row>
    <row r="136" spans="1:19">
      <c r="A136" s="155"/>
      <c r="B136" s="57"/>
      <c r="C136" s="24">
        <f t="shared" si="24"/>
        <v>1</v>
      </c>
      <c r="D136" s="675"/>
      <c r="E136" s="24">
        <f t="shared" si="25"/>
        <v>1</v>
      </c>
      <c r="F136" s="675"/>
      <c r="G136" s="24">
        <f t="shared" si="26"/>
        <v>1</v>
      </c>
      <c r="H136" s="675"/>
      <c r="I136" s="24">
        <f t="shared" si="27"/>
        <v>1</v>
      </c>
      <c r="J136" s="675"/>
      <c r="K136" s="24">
        <f t="shared" si="28"/>
        <v>1</v>
      </c>
      <c r="L136" s="675"/>
      <c r="M136" s="24">
        <f t="shared" si="29"/>
        <v>1</v>
      </c>
      <c r="N136" s="675"/>
      <c r="O136" s="24">
        <f t="shared" si="30"/>
        <v>1</v>
      </c>
      <c r="P136" s="675"/>
      <c r="Q136" s="24">
        <f t="shared" si="31"/>
        <v>0</v>
      </c>
      <c r="R136" s="671">
        <f t="shared" si="32"/>
        <v>0</v>
      </c>
      <c r="S136" s="322">
        <f t="shared" si="33"/>
        <v>0</v>
      </c>
    </row>
    <row r="137" spans="1:19">
      <c r="A137" s="155"/>
      <c r="B137" s="57"/>
      <c r="C137" s="24">
        <f t="shared" si="24"/>
        <v>1</v>
      </c>
      <c r="D137" s="675"/>
      <c r="E137" s="24">
        <f t="shared" si="25"/>
        <v>1</v>
      </c>
      <c r="F137" s="675"/>
      <c r="G137" s="24">
        <f t="shared" si="26"/>
        <v>1</v>
      </c>
      <c r="H137" s="675"/>
      <c r="I137" s="24">
        <f t="shared" si="27"/>
        <v>1</v>
      </c>
      <c r="J137" s="675"/>
      <c r="K137" s="24">
        <f t="shared" si="28"/>
        <v>1</v>
      </c>
      <c r="L137" s="675"/>
      <c r="M137" s="24">
        <f t="shared" si="29"/>
        <v>1</v>
      </c>
      <c r="N137" s="675"/>
      <c r="O137" s="24">
        <f t="shared" si="30"/>
        <v>1</v>
      </c>
      <c r="P137" s="675"/>
      <c r="Q137" s="24">
        <f t="shared" si="31"/>
        <v>0</v>
      </c>
      <c r="R137" s="671">
        <f t="shared" si="32"/>
        <v>0</v>
      </c>
      <c r="S137" s="322">
        <f t="shared" si="33"/>
        <v>0</v>
      </c>
    </row>
    <row r="138" spans="1:19">
      <c r="A138" s="155"/>
      <c r="B138" s="57"/>
      <c r="C138" s="24">
        <f t="shared" si="24"/>
        <v>1</v>
      </c>
      <c r="D138" s="675"/>
      <c r="E138" s="24">
        <f t="shared" si="25"/>
        <v>1</v>
      </c>
      <c r="F138" s="675"/>
      <c r="G138" s="24">
        <f t="shared" si="26"/>
        <v>1</v>
      </c>
      <c r="H138" s="675"/>
      <c r="I138" s="24">
        <f t="shared" si="27"/>
        <v>1</v>
      </c>
      <c r="J138" s="675"/>
      <c r="K138" s="24">
        <f t="shared" si="28"/>
        <v>1</v>
      </c>
      <c r="L138" s="675"/>
      <c r="M138" s="24">
        <f t="shared" si="29"/>
        <v>1</v>
      </c>
      <c r="N138" s="675"/>
      <c r="O138" s="24">
        <f t="shared" si="30"/>
        <v>1</v>
      </c>
      <c r="P138" s="675"/>
      <c r="Q138" s="24">
        <f t="shared" si="31"/>
        <v>0</v>
      </c>
      <c r="R138" s="671">
        <f t="shared" si="32"/>
        <v>0</v>
      </c>
      <c r="S138" s="322">
        <f t="shared" si="33"/>
        <v>0</v>
      </c>
    </row>
    <row r="139" spans="1:19">
      <c r="A139" s="155"/>
      <c r="B139" s="57"/>
      <c r="C139" s="24">
        <f t="shared" si="24"/>
        <v>1</v>
      </c>
      <c r="D139" s="675"/>
      <c r="E139" s="24">
        <f t="shared" si="25"/>
        <v>1</v>
      </c>
      <c r="F139" s="675"/>
      <c r="G139" s="24">
        <f t="shared" si="26"/>
        <v>1</v>
      </c>
      <c r="H139" s="675"/>
      <c r="I139" s="24">
        <f t="shared" si="27"/>
        <v>1</v>
      </c>
      <c r="J139" s="675"/>
      <c r="K139" s="24">
        <f t="shared" si="28"/>
        <v>1</v>
      </c>
      <c r="L139" s="675"/>
      <c r="M139" s="24">
        <f t="shared" si="29"/>
        <v>1</v>
      </c>
      <c r="N139" s="675"/>
      <c r="O139" s="24">
        <f t="shared" si="30"/>
        <v>1</v>
      </c>
      <c r="P139" s="675"/>
      <c r="Q139" s="24">
        <f t="shared" si="31"/>
        <v>0</v>
      </c>
      <c r="R139" s="671">
        <f t="shared" si="32"/>
        <v>0</v>
      </c>
      <c r="S139" s="322">
        <f t="shared" si="33"/>
        <v>0</v>
      </c>
    </row>
    <row r="140" spans="1:19">
      <c r="A140" s="155"/>
      <c r="B140" s="57"/>
      <c r="C140" s="24">
        <f t="shared" si="24"/>
        <v>1</v>
      </c>
      <c r="D140" s="675"/>
      <c r="E140" s="24">
        <f t="shared" si="25"/>
        <v>1</v>
      </c>
      <c r="F140" s="675"/>
      <c r="G140" s="24">
        <f t="shared" si="26"/>
        <v>1</v>
      </c>
      <c r="H140" s="675"/>
      <c r="I140" s="24">
        <f t="shared" si="27"/>
        <v>1</v>
      </c>
      <c r="J140" s="675"/>
      <c r="K140" s="24">
        <f t="shared" si="28"/>
        <v>1</v>
      </c>
      <c r="L140" s="675"/>
      <c r="M140" s="24">
        <f t="shared" si="29"/>
        <v>1</v>
      </c>
      <c r="N140" s="675"/>
      <c r="O140" s="24">
        <f t="shared" si="30"/>
        <v>1</v>
      </c>
      <c r="P140" s="675"/>
      <c r="Q140" s="24">
        <f t="shared" si="31"/>
        <v>0</v>
      </c>
      <c r="R140" s="671">
        <f t="shared" si="32"/>
        <v>0</v>
      </c>
      <c r="S140" s="322">
        <f t="shared" si="33"/>
        <v>0</v>
      </c>
    </row>
    <row r="141" spans="1:19">
      <c r="A141" s="155"/>
      <c r="B141" s="57"/>
      <c r="C141" s="24">
        <f t="shared" si="24"/>
        <v>1</v>
      </c>
      <c r="D141" s="675"/>
      <c r="E141" s="24">
        <f t="shared" si="25"/>
        <v>1</v>
      </c>
      <c r="F141" s="675"/>
      <c r="G141" s="24">
        <f t="shared" si="26"/>
        <v>1</v>
      </c>
      <c r="H141" s="675"/>
      <c r="I141" s="24">
        <f t="shared" si="27"/>
        <v>1</v>
      </c>
      <c r="J141" s="675"/>
      <c r="K141" s="24">
        <f t="shared" si="28"/>
        <v>1</v>
      </c>
      <c r="L141" s="675"/>
      <c r="M141" s="24">
        <f t="shared" si="29"/>
        <v>1</v>
      </c>
      <c r="N141" s="675"/>
      <c r="O141" s="24">
        <f t="shared" si="30"/>
        <v>1</v>
      </c>
      <c r="P141" s="675"/>
      <c r="Q141" s="24">
        <f t="shared" si="31"/>
        <v>0</v>
      </c>
      <c r="R141" s="671">
        <f t="shared" si="32"/>
        <v>0</v>
      </c>
      <c r="S141" s="322">
        <f t="shared" si="33"/>
        <v>0</v>
      </c>
    </row>
    <row r="142" spans="1:19">
      <c r="A142" s="155"/>
      <c r="B142" s="57"/>
      <c r="C142" s="24">
        <f t="shared" si="24"/>
        <v>1</v>
      </c>
      <c r="D142" s="675"/>
      <c r="E142" s="24">
        <f t="shared" si="25"/>
        <v>1</v>
      </c>
      <c r="F142" s="675"/>
      <c r="G142" s="24">
        <f t="shared" si="26"/>
        <v>1</v>
      </c>
      <c r="H142" s="675"/>
      <c r="I142" s="24">
        <f t="shared" si="27"/>
        <v>1</v>
      </c>
      <c r="J142" s="675"/>
      <c r="K142" s="24">
        <f t="shared" si="28"/>
        <v>1</v>
      </c>
      <c r="L142" s="675"/>
      <c r="M142" s="24">
        <f t="shared" si="29"/>
        <v>1</v>
      </c>
      <c r="N142" s="675"/>
      <c r="O142" s="24">
        <f t="shared" si="30"/>
        <v>1</v>
      </c>
      <c r="P142" s="675"/>
      <c r="Q142" s="24">
        <f t="shared" si="31"/>
        <v>0</v>
      </c>
      <c r="R142" s="671">
        <f t="shared" si="32"/>
        <v>0</v>
      </c>
      <c r="S142" s="322">
        <f t="shared" si="33"/>
        <v>0</v>
      </c>
    </row>
    <row r="143" spans="1:19">
      <c r="A143" s="155"/>
      <c r="B143" s="57"/>
      <c r="C143" s="24">
        <f t="shared" si="24"/>
        <v>1</v>
      </c>
      <c r="D143" s="675"/>
      <c r="E143" s="24">
        <f t="shared" si="25"/>
        <v>1</v>
      </c>
      <c r="F143" s="675"/>
      <c r="G143" s="24">
        <f t="shared" si="26"/>
        <v>1</v>
      </c>
      <c r="H143" s="675"/>
      <c r="I143" s="24">
        <f t="shared" si="27"/>
        <v>1</v>
      </c>
      <c r="J143" s="675"/>
      <c r="K143" s="24">
        <f t="shared" si="28"/>
        <v>1</v>
      </c>
      <c r="L143" s="675"/>
      <c r="M143" s="24">
        <f t="shared" si="29"/>
        <v>1</v>
      </c>
      <c r="N143" s="675"/>
      <c r="O143" s="24">
        <f t="shared" si="30"/>
        <v>1</v>
      </c>
      <c r="P143" s="675"/>
      <c r="Q143" s="24">
        <f t="shared" si="31"/>
        <v>0</v>
      </c>
      <c r="R143" s="671">
        <f t="shared" si="32"/>
        <v>0</v>
      </c>
      <c r="S143" s="322">
        <f t="shared" si="33"/>
        <v>0</v>
      </c>
    </row>
    <row r="144" spans="1:19">
      <c r="A144" s="155"/>
      <c r="B144" s="57"/>
      <c r="C144" s="24">
        <f t="shared" si="24"/>
        <v>1</v>
      </c>
      <c r="D144" s="675"/>
      <c r="E144" s="24">
        <f t="shared" si="25"/>
        <v>1</v>
      </c>
      <c r="F144" s="675"/>
      <c r="G144" s="24">
        <f t="shared" si="26"/>
        <v>1</v>
      </c>
      <c r="H144" s="675"/>
      <c r="I144" s="24">
        <f t="shared" si="27"/>
        <v>1</v>
      </c>
      <c r="J144" s="675"/>
      <c r="K144" s="24">
        <f t="shared" si="28"/>
        <v>1</v>
      </c>
      <c r="L144" s="675"/>
      <c r="M144" s="24">
        <f t="shared" si="29"/>
        <v>1</v>
      </c>
      <c r="N144" s="675"/>
      <c r="O144" s="24">
        <f t="shared" si="30"/>
        <v>1</v>
      </c>
      <c r="P144" s="675"/>
      <c r="Q144" s="24">
        <f t="shared" si="31"/>
        <v>0</v>
      </c>
      <c r="R144" s="671">
        <f t="shared" si="32"/>
        <v>0</v>
      </c>
      <c r="S144" s="322">
        <f t="shared" si="33"/>
        <v>0</v>
      </c>
    </row>
    <row r="145" spans="1:19">
      <c r="A145" s="155"/>
      <c r="B145" s="57"/>
      <c r="C145" s="24">
        <f t="shared" si="24"/>
        <v>1</v>
      </c>
      <c r="D145" s="675"/>
      <c r="E145" s="24">
        <f t="shared" si="25"/>
        <v>1</v>
      </c>
      <c r="F145" s="675"/>
      <c r="G145" s="24">
        <f t="shared" si="26"/>
        <v>1</v>
      </c>
      <c r="H145" s="675"/>
      <c r="I145" s="24">
        <f t="shared" si="27"/>
        <v>1</v>
      </c>
      <c r="J145" s="675"/>
      <c r="K145" s="24">
        <f t="shared" si="28"/>
        <v>1</v>
      </c>
      <c r="L145" s="675"/>
      <c r="M145" s="24">
        <f t="shared" si="29"/>
        <v>1</v>
      </c>
      <c r="N145" s="675"/>
      <c r="O145" s="24">
        <f t="shared" si="30"/>
        <v>1</v>
      </c>
      <c r="P145" s="675"/>
      <c r="Q145" s="24">
        <f t="shared" si="31"/>
        <v>0</v>
      </c>
      <c r="R145" s="671">
        <f t="shared" si="32"/>
        <v>0</v>
      </c>
      <c r="S145" s="322">
        <f t="shared" si="33"/>
        <v>0</v>
      </c>
    </row>
    <row r="146" spans="1:19">
      <c r="A146" s="155"/>
      <c r="B146" s="57"/>
      <c r="C146" s="24">
        <f t="shared" si="24"/>
        <v>1</v>
      </c>
      <c r="D146" s="675"/>
      <c r="E146" s="24">
        <f t="shared" si="25"/>
        <v>1</v>
      </c>
      <c r="F146" s="675"/>
      <c r="G146" s="24">
        <f t="shared" si="26"/>
        <v>1</v>
      </c>
      <c r="H146" s="675"/>
      <c r="I146" s="24">
        <f t="shared" si="27"/>
        <v>1</v>
      </c>
      <c r="J146" s="675"/>
      <c r="K146" s="24">
        <f t="shared" si="28"/>
        <v>1</v>
      </c>
      <c r="L146" s="675"/>
      <c r="M146" s="24">
        <f t="shared" si="29"/>
        <v>1</v>
      </c>
      <c r="N146" s="675"/>
      <c r="O146" s="24">
        <f t="shared" si="30"/>
        <v>1</v>
      </c>
      <c r="P146" s="675"/>
      <c r="Q146" s="24">
        <f t="shared" si="31"/>
        <v>0</v>
      </c>
      <c r="R146" s="671">
        <f t="shared" si="32"/>
        <v>0</v>
      </c>
      <c r="S146" s="322">
        <f t="shared" si="33"/>
        <v>0</v>
      </c>
    </row>
    <row r="147" spans="1:19">
      <c r="A147" s="155"/>
      <c r="B147" s="57"/>
      <c r="C147" s="24">
        <f t="shared" si="24"/>
        <v>1</v>
      </c>
      <c r="D147" s="675"/>
      <c r="E147" s="24">
        <f t="shared" si="25"/>
        <v>1</v>
      </c>
      <c r="F147" s="675"/>
      <c r="G147" s="24">
        <f t="shared" si="26"/>
        <v>1</v>
      </c>
      <c r="H147" s="675"/>
      <c r="I147" s="24">
        <f t="shared" si="27"/>
        <v>1</v>
      </c>
      <c r="J147" s="675"/>
      <c r="K147" s="24">
        <f t="shared" si="28"/>
        <v>1</v>
      </c>
      <c r="L147" s="675"/>
      <c r="M147" s="24">
        <f t="shared" si="29"/>
        <v>1</v>
      </c>
      <c r="N147" s="675"/>
      <c r="O147" s="24">
        <f t="shared" si="30"/>
        <v>1</v>
      </c>
      <c r="P147" s="675"/>
      <c r="Q147" s="24">
        <f t="shared" si="31"/>
        <v>0</v>
      </c>
      <c r="R147" s="671">
        <f t="shared" si="32"/>
        <v>0</v>
      </c>
      <c r="S147" s="322">
        <f t="shared" si="33"/>
        <v>0</v>
      </c>
    </row>
    <row r="148" spans="1:19">
      <c r="A148" s="155"/>
      <c r="B148" s="57"/>
      <c r="C148" s="24">
        <f t="shared" si="24"/>
        <v>1</v>
      </c>
      <c r="D148" s="675"/>
      <c r="E148" s="24">
        <f t="shared" si="25"/>
        <v>1</v>
      </c>
      <c r="F148" s="675"/>
      <c r="G148" s="24">
        <f t="shared" si="26"/>
        <v>1</v>
      </c>
      <c r="H148" s="675"/>
      <c r="I148" s="24">
        <f t="shared" si="27"/>
        <v>1</v>
      </c>
      <c r="J148" s="675"/>
      <c r="K148" s="24">
        <f t="shared" si="28"/>
        <v>1</v>
      </c>
      <c r="L148" s="675"/>
      <c r="M148" s="24">
        <f t="shared" si="29"/>
        <v>1</v>
      </c>
      <c r="N148" s="675"/>
      <c r="O148" s="24">
        <f t="shared" si="30"/>
        <v>1</v>
      </c>
      <c r="P148" s="675"/>
      <c r="Q148" s="24">
        <f t="shared" si="31"/>
        <v>0</v>
      </c>
      <c r="R148" s="671">
        <f t="shared" si="32"/>
        <v>0</v>
      </c>
      <c r="S148" s="322">
        <f t="shared" si="33"/>
        <v>0</v>
      </c>
    </row>
    <row r="149" spans="1:19">
      <c r="A149" s="155"/>
      <c r="B149" s="57"/>
      <c r="C149" s="24">
        <f t="shared" si="24"/>
        <v>1</v>
      </c>
      <c r="D149" s="675"/>
      <c r="E149" s="24">
        <f t="shared" si="25"/>
        <v>1</v>
      </c>
      <c r="F149" s="675"/>
      <c r="G149" s="24">
        <f t="shared" si="26"/>
        <v>1</v>
      </c>
      <c r="H149" s="675"/>
      <c r="I149" s="24">
        <f t="shared" si="27"/>
        <v>1</v>
      </c>
      <c r="J149" s="675"/>
      <c r="K149" s="24">
        <f t="shared" si="28"/>
        <v>1</v>
      </c>
      <c r="L149" s="675"/>
      <c r="M149" s="24">
        <f t="shared" si="29"/>
        <v>1</v>
      </c>
      <c r="N149" s="675"/>
      <c r="O149" s="24">
        <f t="shared" si="30"/>
        <v>1</v>
      </c>
      <c r="P149" s="675"/>
      <c r="Q149" s="24">
        <f t="shared" si="31"/>
        <v>0</v>
      </c>
      <c r="R149" s="671">
        <f t="shared" si="32"/>
        <v>0</v>
      </c>
      <c r="S149" s="322">
        <f t="shared" si="33"/>
        <v>0</v>
      </c>
    </row>
    <row r="150" spans="1:19">
      <c r="A150" s="155"/>
      <c r="B150" s="57"/>
      <c r="C150" s="24">
        <f t="shared" si="24"/>
        <v>1</v>
      </c>
      <c r="D150" s="675"/>
      <c r="E150" s="24">
        <f t="shared" si="25"/>
        <v>1</v>
      </c>
      <c r="F150" s="675"/>
      <c r="G150" s="24">
        <f t="shared" si="26"/>
        <v>1</v>
      </c>
      <c r="H150" s="675"/>
      <c r="I150" s="24">
        <f t="shared" si="27"/>
        <v>1</v>
      </c>
      <c r="J150" s="675"/>
      <c r="K150" s="24">
        <f t="shared" si="28"/>
        <v>1</v>
      </c>
      <c r="L150" s="675"/>
      <c r="M150" s="24">
        <f t="shared" si="29"/>
        <v>1</v>
      </c>
      <c r="N150" s="675"/>
      <c r="O150" s="24">
        <f t="shared" si="30"/>
        <v>1</v>
      </c>
      <c r="P150" s="675"/>
      <c r="Q150" s="24">
        <f t="shared" si="31"/>
        <v>0</v>
      </c>
      <c r="R150" s="671">
        <f t="shared" si="32"/>
        <v>0</v>
      </c>
      <c r="S150" s="322">
        <f t="shared" si="33"/>
        <v>0</v>
      </c>
    </row>
    <row r="151" spans="1:19">
      <c r="A151" s="155"/>
      <c r="B151" s="57"/>
      <c r="C151" s="24">
        <f t="shared" si="24"/>
        <v>1</v>
      </c>
      <c r="D151" s="675"/>
      <c r="E151" s="24">
        <f t="shared" si="25"/>
        <v>1</v>
      </c>
      <c r="F151" s="675"/>
      <c r="G151" s="24">
        <f t="shared" si="26"/>
        <v>1</v>
      </c>
      <c r="H151" s="675"/>
      <c r="I151" s="24">
        <f t="shared" si="27"/>
        <v>1</v>
      </c>
      <c r="J151" s="675"/>
      <c r="K151" s="24">
        <f t="shared" si="28"/>
        <v>1</v>
      </c>
      <c r="L151" s="675"/>
      <c r="M151" s="24">
        <f t="shared" si="29"/>
        <v>1</v>
      </c>
      <c r="N151" s="675"/>
      <c r="O151" s="24">
        <f t="shared" si="30"/>
        <v>1</v>
      </c>
      <c r="P151" s="675"/>
      <c r="Q151" s="24">
        <f t="shared" si="31"/>
        <v>0</v>
      </c>
      <c r="R151" s="671">
        <f t="shared" si="32"/>
        <v>0</v>
      </c>
      <c r="S151" s="322">
        <f t="shared" si="33"/>
        <v>0</v>
      </c>
    </row>
    <row r="152" spans="1:19">
      <c r="A152" s="155"/>
      <c r="B152" s="57"/>
      <c r="C152" s="24">
        <f t="shared" si="24"/>
        <v>1</v>
      </c>
      <c r="D152" s="675"/>
      <c r="E152" s="24">
        <f t="shared" si="25"/>
        <v>1</v>
      </c>
      <c r="F152" s="675"/>
      <c r="G152" s="24">
        <f t="shared" si="26"/>
        <v>1</v>
      </c>
      <c r="H152" s="675"/>
      <c r="I152" s="24">
        <f t="shared" si="27"/>
        <v>1</v>
      </c>
      <c r="J152" s="675"/>
      <c r="K152" s="24">
        <f t="shared" si="28"/>
        <v>1</v>
      </c>
      <c r="L152" s="675"/>
      <c r="M152" s="24">
        <f t="shared" si="29"/>
        <v>1</v>
      </c>
      <c r="N152" s="675"/>
      <c r="O152" s="24">
        <f t="shared" si="30"/>
        <v>1</v>
      </c>
      <c r="P152" s="675"/>
      <c r="Q152" s="24">
        <f t="shared" si="31"/>
        <v>0</v>
      </c>
      <c r="R152" s="671">
        <f t="shared" si="32"/>
        <v>0</v>
      </c>
      <c r="S152" s="322">
        <f t="shared" si="33"/>
        <v>0</v>
      </c>
    </row>
    <row r="153" spans="1:19">
      <c r="A153" s="155"/>
      <c r="B153" s="57"/>
      <c r="C153" s="24">
        <f t="shared" si="24"/>
        <v>1</v>
      </c>
      <c r="D153" s="675"/>
      <c r="E153" s="24">
        <f t="shared" si="25"/>
        <v>1</v>
      </c>
      <c r="F153" s="675"/>
      <c r="G153" s="24">
        <f t="shared" si="26"/>
        <v>1</v>
      </c>
      <c r="H153" s="675"/>
      <c r="I153" s="24">
        <f t="shared" si="27"/>
        <v>1</v>
      </c>
      <c r="J153" s="675"/>
      <c r="K153" s="24">
        <f t="shared" si="28"/>
        <v>1</v>
      </c>
      <c r="L153" s="675"/>
      <c r="M153" s="24">
        <f t="shared" si="29"/>
        <v>1</v>
      </c>
      <c r="N153" s="675"/>
      <c r="O153" s="24">
        <f t="shared" si="30"/>
        <v>1</v>
      </c>
      <c r="P153" s="675"/>
      <c r="Q153" s="24">
        <f t="shared" si="31"/>
        <v>0</v>
      </c>
      <c r="R153" s="671">
        <f t="shared" si="32"/>
        <v>0</v>
      </c>
      <c r="S153" s="322">
        <f t="shared" si="33"/>
        <v>0</v>
      </c>
    </row>
    <row r="154" spans="1:19">
      <c r="A154" s="155"/>
      <c r="B154" s="57"/>
      <c r="C154" s="24">
        <f t="shared" ref="C154:C217" si="34">IF(B154="",1,(LOOKUP(B154,$3:$3,$4:$4)-LOOKUP($B$24,$3:$3,$4:$4)+100)/100)</f>
        <v>1</v>
      </c>
      <c r="D154" s="675"/>
      <c r="E154" s="24">
        <f t="shared" ref="E154:E217" si="35">(SUMIF($5:$5,D154,$6:$6)-SUMIF($5:$5,$D$24,$6:$6)+100)/100</f>
        <v>1</v>
      </c>
      <c r="F154" s="675"/>
      <c r="G154" s="24">
        <f t="shared" ref="G154:G217" si="36">(SUMIF($7:$7,F154,$8:$8)-SUMIF($7:$7,$F$24,$8:$8)+100)/100</f>
        <v>1</v>
      </c>
      <c r="H154" s="675"/>
      <c r="I154" s="24">
        <f t="shared" ref="I154:I217" si="37">(SUMIF($9:$9,H154,$10:$10)-SUMIF($9:$9,$H$24,$10:$10)+100)/100</f>
        <v>1</v>
      </c>
      <c r="J154" s="675"/>
      <c r="K154" s="24">
        <f t="shared" ref="K154:K217" si="38">(SUMIF($11:$11,J154,$12:$12)-SUMIF($11:$11,$J$24,$12:$12)+100)/100</f>
        <v>1</v>
      </c>
      <c r="L154" s="675"/>
      <c r="M154" s="24">
        <f t="shared" ref="M154:M217" si="39">(SUMIF($13:$13,L154,$14:$14)-SUMIF($13:$13,$L$24,$14:$14)+100)/100</f>
        <v>1</v>
      </c>
      <c r="N154" s="675"/>
      <c r="O154" s="24">
        <f t="shared" ref="O154:O217" si="40">(SUMIF($15:$15,N154,$16:$16)-SUMIF($15:$15,$N$24,$16:$16)+100)/100</f>
        <v>1</v>
      </c>
      <c r="P154" s="675"/>
      <c r="Q154" s="24">
        <f t="shared" ref="Q154:Q217" si="41">(SUMIF($17:$17,P154,$18:$18)-SUMIF($17:$17,$P$24,$18:$18)+100)/100</f>
        <v>0</v>
      </c>
      <c r="R154" s="671">
        <f t="shared" ref="R154:R217" si="42">IF(B154="",0,ROUND($R$24*C154*E154*G154*I154*K154*M154*O154*Q154,0))</f>
        <v>0</v>
      </c>
      <c r="S154" s="322">
        <f t="shared" si="33"/>
        <v>0</v>
      </c>
    </row>
    <row r="155" spans="1:19">
      <c r="A155" s="155"/>
      <c r="B155" s="57"/>
      <c r="C155" s="24">
        <f t="shared" si="34"/>
        <v>1</v>
      </c>
      <c r="D155" s="675"/>
      <c r="E155" s="24">
        <f t="shared" si="35"/>
        <v>1</v>
      </c>
      <c r="F155" s="675"/>
      <c r="G155" s="24">
        <f t="shared" si="36"/>
        <v>1</v>
      </c>
      <c r="H155" s="675"/>
      <c r="I155" s="24">
        <f t="shared" si="37"/>
        <v>1</v>
      </c>
      <c r="J155" s="675"/>
      <c r="K155" s="24">
        <f t="shared" si="38"/>
        <v>1</v>
      </c>
      <c r="L155" s="675"/>
      <c r="M155" s="24">
        <f t="shared" si="39"/>
        <v>1</v>
      </c>
      <c r="N155" s="675"/>
      <c r="O155" s="24">
        <f t="shared" si="40"/>
        <v>1</v>
      </c>
      <c r="P155" s="675"/>
      <c r="Q155" s="24">
        <f t="shared" si="41"/>
        <v>0</v>
      </c>
      <c r="R155" s="671">
        <f t="shared" si="42"/>
        <v>0</v>
      </c>
      <c r="S155" s="322">
        <f t="shared" si="33"/>
        <v>0</v>
      </c>
    </row>
    <row r="156" spans="1:19">
      <c r="A156" s="155"/>
      <c r="B156" s="57"/>
      <c r="C156" s="24">
        <f t="shared" si="34"/>
        <v>1</v>
      </c>
      <c r="D156" s="675"/>
      <c r="E156" s="24">
        <f t="shared" si="35"/>
        <v>1</v>
      </c>
      <c r="F156" s="675"/>
      <c r="G156" s="24">
        <f t="shared" si="36"/>
        <v>1</v>
      </c>
      <c r="H156" s="675"/>
      <c r="I156" s="24">
        <f t="shared" si="37"/>
        <v>1</v>
      </c>
      <c r="J156" s="675"/>
      <c r="K156" s="24">
        <f t="shared" si="38"/>
        <v>1</v>
      </c>
      <c r="L156" s="675"/>
      <c r="M156" s="24">
        <f t="shared" si="39"/>
        <v>1</v>
      </c>
      <c r="N156" s="675"/>
      <c r="O156" s="24">
        <f t="shared" si="40"/>
        <v>1</v>
      </c>
      <c r="P156" s="675"/>
      <c r="Q156" s="24">
        <f t="shared" si="41"/>
        <v>0</v>
      </c>
      <c r="R156" s="671">
        <f t="shared" si="42"/>
        <v>0</v>
      </c>
      <c r="S156" s="322">
        <f t="shared" si="33"/>
        <v>0</v>
      </c>
    </row>
    <row r="157" spans="1:19">
      <c r="A157" s="155"/>
      <c r="B157" s="57"/>
      <c r="C157" s="24">
        <f t="shared" si="34"/>
        <v>1</v>
      </c>
      <c r="D157" s="675"/>
      <c r="E157" s="24">
        <f t="shared" si="35"/>
        <v>1</v>
      </c>
      <c r="F157" s="675"/>
      <c r="G157" s="24">
        <f t="shared" si="36"/>
        <v>1</v>
      </c>
      <c r="H157" s="675"/>
      <c r="I157" s="24">
        <f t="shared" si="37"/>
        <v>1</v>
      </c>
      <c r="J157" s="675"/>
      <c r="K157" s="24">
        <f t="shared" si="38"/>
        <v>1</v>
      </c>
      <c r="L157" s="675"/>
      <c r="M157" s="24">
        <f t="shared" si="39"/>
        <v>1</v>
      </c>
      <c r="N157" s="675"/>
      <c r="O157" s="24">
        <f t="shared" si="40"/>
        <v>1</v>
      </c>
      <c r="P157" s="675"/>
      <c r="Q157" s="24">
        <f t="shared" si="41"/>
        <v>0</v>
      </c>
      <c r="R157" s="671">
        <f t="shared" si="42"/>
        <v>0</v>
      </c>
      <c r="S157" s="322">
        <f t="shared" si="33"/>
        <v>0</v>
      </c>
    </row>
    <row r="158" spans="1:19">
      <c r="A158" s="155"/>
      <c r="B158" s="57"/>
      <c r="C158" s="24">
        <f t="shared" si="34"/>
        <v>1</v>
      </c>
      <c r="D158" s="675"/>
      <c r="E158" s="24">
        <f t="shared" si="35"/>
        <v>1</v>
      </c>
      <c r="F158" s="675"/>
      <c r="G158" s="24">
        <f t="shared" si="36"/>
        <v>1</v>
      </c>
      <c r="H158" s="675"/>
      <c r="I158" s="24">
        <f t="shared" si="37"/>
        <v>1</v>
      </c>
      <c r="J158" s="675"/>
      <c r="K158" s="24">
        <f t="shared" si="38"/>
        <v>1</v>
      </c>
      <c r="L158" s="675"/>
      <c r="M158" s="24">
        <f t="shared" si="39"/>
        <v>1</v>
      </c>
      <c r="N158" s="675"/>
      <c r="O158" s="24">
        <f t="shared" si="40"/>
        <v>1</v>
      </c>
      <c r="P158" s="675"/>
      <c r="Q158" s="24">
        <f t="shared" si="41"/>
        <v>0</v>
      </c>
      <c r="R158" s="671">
        <f t="shared" si="42"/>
        <v>0</v>
      </c>
      <c r="S158" s="322">
        <f t="shared" si="33"/>
        <v>0</v>
      </c>
    </row>
    <row r="159" spans="1:19">
      <c r="A159" s="155"/>
      <c r="B159" s="57"/>
      <c r="C159" s="24">
        <f t="shared" si="34"/>
        <v>1</v>
      </c>
      <c r="D159" s="675"/>
      <c r="E159" s="24">
        <f t="shared" si="35"/>
        <v>1</v>
      </c>
      <c r="F159" s="675"/>
      <c r="G159" s="24">
        <f t="shared" si="36"/>
        <v>1</v>
      </c>
      <c r="H159" s="675"/>
      <c r="I159" s="24">
        <f t="shared" si="37"/>
        <v>1</v>
      </c>
      <c r="J159" s="675"/>
      <c r="K159" s="24">
        <f t="shared" si="38"/>
        <v>1</v>
      </c>
      <c r="L159" s="675"/>
      <c r="M159" s="24">
        <f t="shared" si="39"/>
        <v>1</v>
      </c>
      <c r="N159" s="675"/>
      <c r="O159" s="24">
        <f t="shared" si="40"/>
        <v>1</v>
      </c>
      <c r="P159" s="675"/>
      <c r="Q159" s="24">
        <f t="shared" si="41"/>
        <v>0</v>
      </c>
      <c r="R159" s="671">
        <f t="shared" si="42"/>
        <v>0</v>
      </c>
      <c r="S159" s="322">
        <f t="shared" si="33"/>
        <v>0</v>
      </c>
    </row>
    <row r="160" spans="1:19">
      <c r="A160" s="155"/>
      <c r="B160" s="57"/>
      <c r="C160" s="24">
        <f t="shared" si="34"/>
        <v>1</v>
      </c>
      <c r="D160" s="675"/>
      <c r="E160" s="24">
        <f t="shared" si="35"/>
        <v>1</v>
      </c>
      <c r="F160" s="675"/>
      <c r="G160" s="24">
        <f t="shared" si="36"/>
        <v>1</v>
      </c>
      <c r="H160" s="675"/>
      <c r="I160" s="24">
        <f t="shared" si="37"/>
        <v>1</v>
      </c>
      <c r="J160" s="675"/>
      <c r="K160" s="24">
        <f t="shared" si="38"/>
        <v>1</v>
      </c>
      <c r="L160" s="675"/>
      <c r="M160" s="24">
        <f t="shared" si="39"/>
        <v>1</v>
      </c>
      <c r="N160" s="675"/>
      <c r="O160" s="24">
        <f t="shared" si="40"/>
        <v>1</v>
      </c>
      <c r="P160" s="675"/>
      <c r="Q160" s="24">
        <f t="shared" si="41"/>
        <v>0</v>
      </c>
      <c r="R160" s="671">
        <f t="shared" si="42"/>
        <v>0</v>
      </c>
      <c r="S160" s="322">
        <f t="shared" si="33"/>
        <v>0</v>
      </c>
    </row>
    <row r="161" spans="1:19">
      <c r="A161" s="155"/>
      <c r="B161" s="57"/>
      <c r="C161" s="24">
        <f t="shared" si="34"/>
        <v>1</v>
      </c>
      <c r="D161" s="675"/>
      <c r="E161" s="24">
        <f t="shared" si="35"/>
        <v>1</v>
      </c>
      <c r="F161" s="675"/>
      <c r="G161" s="24">
        <f t="shared" si="36"/>
        <v>1</v>
      </c>
      <c r="H161" s="675"/>
      <c r="I161" s="24">
        <f t="shared" si="37"/>
        <v>1</v>
      </c>
      <c r="J161" s="675"/>
      <c r="K161" s="24">
        <f t="shared" si="38"/>
        <v>1</v>
      </c>
      <c r="L161" s="675"/>
      <c r="M161" s="24">
        <f t="shared" si="39"/>
        <v>1</v>
      </c>
      <c r="N161" s="675"/>
      <c r="O161" s="24">
        <f t="shared" si="40"/>
        <v>1</v>
      </c>
      <c r="P161" s="675"/>
      <c r="Q161" s="24">
        <f t="shared" si="41"/>
        <v>0</v>
      </c>
      <c r="R161" s="671">
        <f t="shared" si="42"/>
        <v>0</v>
      </c>
      <c r="S161" s="322">
        <f t="shared" si="33"/>
        <v>0</v>
      </c>
    </row>
    <row r="162" spans="1:19">
      <c r="A162" s="155"/>
      <c r="B162" s="57"/>
      <c r="C162" s="24">
        <f t="shared" si="34"/>
        <v>1</v>
      </c>
      <c r="D162" s="675"/>
      <c r="E162" s="24">
        <f t="shared" si="35"/>
        <v>1</v>
      </c>
      <c r="F162" s="675"/>
      <c r="G162" s="24">
        <f t="shared" si="36"/>
        <v>1</v>
      </c>
      <c r="H162" s="675"/>
      <c r="I162" s="24">
        <f t="shared" si="37"/>
        <v>1</v>
      </c>
      <c r="J162" s="675"/>
      <c r="K162" s="24">
        <f t="shared" si="38"/>
        <v>1</v>
      </c>
      <c r="L162" s="675"/>
      <c r="M162" s="24">
        <f t="shared" si="39"/>
        <v>1</v>
      </c>
      <c r="N162" s="675"/>
      <c r="O162" s="24">
        <f t="shared" si="40"/>
        <v>1</v>
      </c>
      <c r="P162" s="675"/>
      <c r="Q162" s="24">
        <f t="shared" si="41"/>
        <v>0</v>
      </c>
      <c r="R162" s="671">
        <f t="shared" si="42"/>
        <v>0</v>
      </c>
      <c r="S162" s="322">
        <f t="shared" si="33"/>
        <v>0</v>
      </c>
    </row>
    <row r="163" spans="1:19">
      <c r="A163" s="155"/>
      <c r="B163" s="57"/>
      <c r="C163" s="24">
        <f t="shared" si="34"/>
        <v>1</v>
      </c>
      <c r="D163" s="675"/>
      <c r="E163" s="24">
        <f t="shared" si="35"/>
        <v>1</v>
      </c>
      <c r="F163" s="675"/>
      <c r="G163" s="24">
        <f t="shared" si="36"/>
        <v>1</v>
      </c>
      <c r="H163" s="675"/>
      <c r="I163" s="24">
        <f t="shared" si="37"/>
        <v>1</v>
      </c>
      <c r="J163" s="675"/>
      <c r="K163" s="24">
        <f t="shared" si="38"/>
        <v>1</v>
      </c>
      <c r="L163" s="675"/>
      <c r="M163" s="24">
        <f t="shared" si="39"/>
        <v>1</v>
      </c>
      <c r="N163" s="675"/>
      <c r="O163" s="24">
        <f t="shared" si="40"/>
        <v>1</v>
      </c>
      <c r="P163" s="675"/>
      <c r="Q163" s="24">
        <f t="shared" si="41"/>
        <v>0</v>
      </c>
      <c r="R163" s="671">
        <f t="shared" si="42"/>
        <v>0</v>
      </c>
      <c r="S163" s="322">
        <f t="shared" si="33"/>
        <v>0</v>
      </c>
    </row>
    <row r="164" spans="1:19">
      <c r="A164" s="155"/>
      <c r="B164" s="57"/>
      <c r="C164" s="24">
        <f t="shared" si="34"/>
        <v>1</v>
      </c>
      <c r="D164" s="675"/>
      <c r="E164" s="24">
        <f t="shared" si="35"/>
        <v>1</v>
      </c>
      <c r="F164" s="675"/>
      <c r="G164" s="24">
        <f t="shared" si="36"/>
        <v>1</v>
      </c>
      <c r="H164" s="675"/>
      <c r="I164" s="24">
        <f t="shared" si="37"/>
        <v>1</v>
      </c>
      <c r="J164" s="675"/>
      <c r="K164" s="24">
        <f t="shared" si="38"/>
        <v>1</v>
      </c>
      <c r="L164" s="675"/>
      <c r="M164" s="24">
        <f t="shared" si="39"/>
        <v>1</v>
      </c>
      <c r="N164" s="675"/>
      <c r="O164" s="24">
        <f t="shared" si="40"/>
        <v>1</v>
      </c>
      <c r="P164" s="675"/>
      <c r="Q164" s="24">
        <f t="shared" si="41"/>
        <v>0</v>
      </c>
      <c r="R164" s="671">
        <f t="shared" si="42"/>
        <v>0</v>
      </c>
      <c r="S164" s="322">
        <f t="shared" si="33"/>
        <v>0</v>
      </c>
    </row>
    <row r="165" spans="1:19">
      <c r="A165" s="155"/>
      <c r="B165" s="57"/>
      <c r="C165" s="24">
        <f t="shared" si="34"/>
        <v>1</v>
      </c>
      <c r="D165" s="675"/>
      <c r="E165" s="24">
        <f t="shared" si="35"/>
        <v>1</v>
      </c>
      <c r="F165" s="675"/>
      <c r="G165" s="24">
        <f t="shared" si="36"/>
        <v>1</v>
      </c>
      <c r="H165" s="675"/>
      <c r="I165" s="24">
        <f t="shared" si="37"/>
        <v>1</v>
      </c>
      <c r="J165" s="675"/>
      <c r="K165" s="24">
        <f t="shared" si="38"/>
        <v>1</v>
      </c>
      <c r="L165" s="675"/>
      <c r="M165" s="24">
        <f t="shared" si="39"/>
        <v>1</v>
      </c>
      <c r="N165" s="675"/>
      <c r="O165" s="24">
        <f t="shared" si="40"/>
        <v>1</v>
      </c>
      <c r="P165" s="675"/>
      <c r="Q165" s="24">
        <f t="shared" si="41"/>
        <v>0</v>
      </c>
      <c r="R165" s="671">
        <f t="shared" si="42"/>
        <v>0</v>
      </c>
      <c r="S165" s="322">
        <f t="shared" si="33"/>
        <v>0</v>
      </c>
    </row>
    <row r="166" spans="1:19">
      <c r="A166" s="155"/>
      <c r="B166" s="57"/>
      <c r="C166" s="24">
        <f t="shared" si="34"/>
        <v>1</v>
      </c>
      <c r="D166" s="675"/>
      <c r="E166" s="24">
        <f t="shared" si="35"/>
        <v>1</v>
      </c>
      <c r="F166" s="675"/>
      <c r="G166" s="24">
        <f t="shared" si="36"/>
        <v>1</v>
      </c>
      <c r="H166" s="675"/>
      <c r="I166" s="24">
        <f t="shared" si="37"/>
        <v>1</v>
      </c>
      <c r="J166" s="675"/>
      <c r="K166" s="24">
        <f t="shared" si="38"/>
        <v>1</v>
      </c>
      <c r="L166" s="675"/>
      <c r="M166" s="24">
        <f t="shared" si="39"/>
        <v>1</v>
      </c>
      <c r="N166" s="675"/>
      <c r="O166" s="24">
        <f t="shared" si="40"/>
        <v>1</v>
      </c>
      <c r="P166" s="675"/>
      <c r="Q166" s="24">
        <f t="shared" si="41"/>
        <v>0</v>
      </c>
      <c r="R166" s="671">
        <f t="shared" si="42"/>
        <v>0</v>
      </c>
      <c r="S166" s="322">
        <f t="shared" si="33"/>
        <v>0</v>
      </c>
    </row>
    <row r="167" spans="1:19">
      <c r="A167" s="155"/>
      <c r="B167" s="57"/>
      <c r="C167" s="24">
        <f t="shared" si="34"/>
        <v>1</v>
      </c>
      <c r="D167" s="675"/>
      <c r="E167" s="24">
        <f t="shared" si="35"/>
        <v>1</v>
      </c>
      <c r="F167" s="675"/>
      <c r="G167" s="24">
        <f t="shared" si="36"/>
        <v>1</v>
      </c>
      <c r="H167" s="675"/>
      <c r="I167" s="24">
        <f t="shared" si="37"/>
        <v>1</v>
      </c>
      <c r="J167" s="675"/>
      <c r="K167" s="24">
        <f t="shared" si="38"/>
        <v>1</v>
      </c>
      <c r="L167" s="675"/>
      <c r="M167" s="24">
        <f t="shared" si="39"/>
        <v>1</v>
      </c>
      <c r="N167" s="675"/>
      <c r="O167" s="24">
        <f t="shared" si="40"/>
        <v>1</v>
      </c>
      <c r="P167" s="675"/>
      <c r="Q167" s="24">
        <f t="shared" si="41"/>
        <v>0</v>
      </c>
      <c r="R167" s="671">
        <f t="shared" si="42"/>
        <v>0</v>
      </c>
      <c r="S167" s="322">
        <f t="shared" si="33"/>
        <v>0</v>
      </c>
    </row>
    <row r="168" spans="1:19">
      <c r="A168" s="155"/>
      <c r="B168" s="57"/>
      <c r="C168" s="24">
        <f t="shared" si="34"/>
        <v>1</v>
      </c>
      <c r="D168" s="675"/>
      <c r="E168" s="24">
        <f t="shared" si="35"/>
        <v>1</v>
      </c>
      <c r="F168" s="675"/>
      <c r="G168" s="24">
        <f t="shared" si="36"/>
        <v>1</v>
      </c>
      <c r="H168" s="675"/>
      <c r="I168" s="24">
        <f t="shared" si="37"/>
        <v>1</v>
      </c>
      <c r="J168" s="675"/>
      <c r="K168" s="24">
        <f t="shared" si="38"/>
        <v>1</v>
      </c>
      <c r="L168" s="675"/>
      <c r="M168" s="24">
        <f t="shared" si="39"/>
        <v>1</v>
      </c>
      <c r="N168" s="675"/>
      <c r="O168" s="24">
        <f t="shared" si="40"/>
        <v>1</v>
      </c>
      <c r="P168" s="675"/>
      <c r="Q168" s="24">
        <f t="shared" si="41"/>
        <v>0</v>
      </c>
      <c r="R168" s="671">
        <f t="shared" si="42"/>
        <v>0</v>
      </c>
      <c r="S168" s="322">
        <f t="shared" si="33"/>
        <v>0</v>
      </c>
    </row>
    <row r="169" spans="1:19">
      <c r="A169" s="155"/>
      <c r="B169" s="57"/>
      <c r="C169" s="24">
        <f t="shared" si="34"/>
        <v>1</v>
      </c>
      <c r="D169" s="675"/>
      <c r="E169" s="24">
        <f t="shared" si="35"/>
        <v>1</v>
      </c>
      <c r="F169" s="675"/>
      <c r="G169" s="24">
        <f t="shared" si="36"/>
        <v>1</v>
      </c>
      <c r="H169" s="675"/>
      <c r="I169" s="24">
        <f t="shared" si="37"/>
        <v>1</v>
      </c>
      <c r="J169" s="675"/>
      <c r="K169" s="24">
        <f t="shared" si="38"/>
        <v>1</v>
      </c>
      <c r="L169" s="675"/>
      <c r="M169" s="24">
        <f t="shared" si="39"/>
        <v>1</v>
      </c>
      <c r="N169" s="675"/>
      <c r="O169" s="24">
        <f t="shared" si="40"/>
        <v>1</v>
      </c>
      <c r="P169" s="675"/>
      <c r="Q169" s="24">
        <f t="shared" si="41"/>
        <v>0</v>
      </c>
      <c r="R169" s="671">
        <f t="shared" si="42"/>
        <v>0</v>
      </c>
      <c r="S169" s="322">
        <f t="shared" si="33"/>
        <v>0</v>
      </c>
    </row>
    <row r="170" spans="1:19">
      <c r="A170" s="155"/>
      <c r="B170" s="57"/>
      <c r="C170" s="24">
        <f t="shared" si="34"/>
        <v>1</v>
      </c>
      <c r="D170" s="675"/>
      <c r="E170" s="24">
        <f t="shared" si="35"/>
        <v>1</v>
      </c>
      <c r="F170" s="675"/>
      <c r="G170" s="24">
        <f t="shared" si="36"/>
        <v>1</v>
      </c>
      <c r="H170" s="675"/>
      <c r="I170" s="24">
        <f t="shared" si="37"/>
        <v>1</v>
      </c>
      <c r="J170" s="675"/>
      <c r="K170" s="24">
        <f t="shared" si="38"/>
        <v>1</v>
      </c>
      <c r="L170" s="675"/>
      <c r="M170" s="24">
        <f t="shared" si="39"/>
        <v>1</v>
      </c>
      <c r="N170" s="675"/>
      <c r="O170" s="24">
        <f t="shared" si="40"/>
        <v>1</v>
      </c>
      <c r="P170" s="675"/>
      <c r="Q170" s="24">
        <f t="shared" si="41"/>
        <v>0</v>
      </c>
      <c r="R170" s="671">
        <f t="shared" si="42"/>
        <v>0</v>
      </c>
      <c r="S170" s="322">
        <f t="shared" si="33"/>
        <v>0</v>
      </c>
    </row>
    <row r="171" spans="1:19">
      <c r="A171" s="155"/>
      <c r="B171" s="57"/>
      <c r="C171" s="24">
        <f t="shared" si="34"/>
        <v>1</v>
      </c>
      <c r="D171" s="675"/>
      <c r="E171" s="24">
        <f t="shared" si="35"/>
        <v>1</v>
      </c>
      <c r="F171" s="675"/>
      <c r="G171" s="24">
        <f t="shared" si="36"/>
        <v>1</v>
      </c>
      <c r="H171" s="675"/>
      <c r="I171" s="24">
        <f t="shared" si="37"/>
        <v>1</v>
      </c>
      <c r="J171" s="675"/>
      <c r="K171" s="24">
        <f t="shared" si="38"/>
        <v>1</v>
      </c>
      <c r="L171" s="675"/>
      <c r="M171" s="24">
        <f t="shared" si="39"/>
        <v>1</v>
      </c>
      <c r="N171" s="675"/>
      <c r="O171" s="24">
        <f t="shared" si="40"/>
        <v>1</v>
      </c>
      <c r="P171" s="675"/>
      <c r="Q171" s="24">
        <f t="shared" si="41"/>
        <v>0</v>
      </c>
      <c r="R171" s="671">
        <f t="shared" si="42"/>
        <v>0</v>
      </c>
      <c r="S171" s="322">
        <f t="shared" si="33"/>
        <v>0</v>
      </c>
    </row>
    <row r="172" spans="1:19">
      <c r="A172" s="155"/>
      <c r="B172" s="57"/>
      <c r="C172" s="24">
        <f t="shared" si="34"/>
        <v>1</v>
      </c>
      <c r="D172" s="675"/>
      <c r="E172" s="24">
        <f t="shared" si="35"/>
        <v>1</v>
      </c>
      <c r="F172" s="675"/>
      <c r="G172" s="24">
        <f t="shared" si="36"/>
        <v>1</v>
      </c>
      <c r="H172" s="675"/>
      <c r="I172" s="24">
        <f t="shared" si="37"/>
        <v>1</v>
      </c>
      <c r="J172" s="675"/>
      <c r="K172" s="24">
        <f t="shared" si="38"/>
        <v>1</v>
      </c>
      <c r="L172" s="675"/>
      <c r="M172" s="24">
        <f t="shared" si="39"/>
        <v>1</v>
      </c>
      <c r="N172" s="675"/>
      <c r="O172" s="24">
        <f t="shared" si="40"/>
        <v>1</v>
      </c>
      <c r="P172" s="675"/>
      <c r="Q172" s="24">
        <f t="shared" si="41"/>
        <v>0</v>
      </c>
      <c r="R172" s="671">
        <f t="shared" si="42"/>
        <v>0</v>
      </c>
      <c r="S172" s="322">
        <f t="shared" si="33"/>
        <v>0</v>
      </c>
    </row>
    <row r="173" spans="1:19">
      <c r="A173" s="155"/>
      <c r="B173" s="57"/>
      <c r="C173" s="24">
        <f t="shared" si="34"/>
        <v>1</v>
      </c>
      <c r="D173" s="675"/>
      <c r="E173" s="24">
        <f t="shared" si="35"/>
        <v>1</v>
      </c>
      <c r="F173" s="675"/>
      <c r="G173" s="24">
        <f t="shared" si="36"/>
        <v>1</v>
      </c>
      <c r="H173" s="675"/>
      <c r="I173" s="24">
        <f t="shared" si="37"/>
        <v>1</v>
      </c>
      <c r="J173" s="675"/>
      <c r="K173" s="24">
        <f t="shared" si="38"/>
        <v>1</v>
      </c>
      <c r="L173" s="675"/>
      <c r="M173" s="24">
        <f t="shared" si="39"/>
        <v>1</v>
      </c>
      <c r="N173" s="675"/>
      <c r="O173" s="24">
        <f t="shared" si="40"/>
        <v>1</v>
      </c>
      <c r="P173" s="675"/>
      <c r="Q173" s="24">
        <f t="shared" si="41"/>
        <v>0</v>
      </c>
      <c r="R173" s="671">
        <f t="shared" si="42"/>
        <v>0</v>
      </c>
      <c r="S173" s="322">
        <f t="shared" si="33"/>
        <v>0</v>
      </c>
    </row>
    <row r="174" spans="1:19">
      <c r="A174" s="155"/>
      <c r="B174" s="57"/>
      <c r="C174" s="24">
        <f t="shared" si="34"/>
        <v>1</v>
      </c>
      <c r="D174" s="675"/>
      <c r="E174" s="24">
        <f t="shared" si="35"/>
        <v>1</v>
      </c>
      <c r="F174" s="675"/>
      <c r="G174" s="24">
        <f t="shared" si="36"/>
        <v>1</v>
      </c>
      <c r="H174" s="675"/>
      <c r="I174" s="24">
        <f t="shared" si="37"/>
        <v>1</v>
      </c>
      <c r="J174" s="675"/>
      <c r="K174" s="24">
        <f t="shared" si="38"/>
        <v>1</v>
      </c>
      <c r="L174" s="675"/>
      <c r="M174" s="24">
        <f t="shared" si="39"/>
        <v>1</v>
      </c>
      <c r="N174" s="675"/>
      <c r="O174" s="24">
        <f t="shared" si="40"/>
        <v>1</v>
      </c>
      <c r="P174" s="675"/>
      <c r="Q174" s="24">
        <f t="shared" si="41"/>
        <v>0</v>
      </c>
      <c r="R174" s="671">
        <f t="shared" si="42"/>
        <v>0</v>
      </c>
      <c r="S174" s="322">
        <f t="shared" si="33"/>
        <v>0</v>
      </c>
    </row>
    <row r="175" spans="1:19">
      <c r="A175" s="155"/>
      <c r="B175" s="57"/>
      <c r="C175" s="24">
        <f t="shared" si="34"/>
        <v>1</v>
      </c>
      <c r="D175" s="675"/>
      <c r="E175" s="24">
        <f t="shared" si="35"/>
        <v>1</v>
      </c>
      <c r="F175" s="675"/>
      <c r="G175" s="24">
        <f t="shared" si="36"/>
        <v>1</v>
      </c>
      <c r="H175" s="675"/>
      <c r="I175" s="24">
        <f t="shared" si="37"/>
        <v>1</v>
      </c>
      <c r="J175" s="675"/>
      <c r="K175" s="24">
        <f t="shared" si="38"/>
        <v>1</v>
      </c>
      <c r="L175" s="675"/>
      <c r="M175" s="24">
        <f t="shared" si="39"/>
        <v>1</v>
      </c>
      <c r="N175" s="675"/>
      <c r="O175" s="24">
        <f t="shared" si="40"/>
        <v>1</v>
      </c>
      <c r="P175" s="675"/>
      <c r="Q175" s="24">
        <f t="shared" si="41"/>
        <v>0</v>
      </c>
      <c r="R175" s="671">
        <f t="shared" si="42"/>
        <v>0</v>
      </c>
      <c r="S175" s="322">
        <f t="shared" si="33"/>
        <v>0</v>
      </c>
    </row>
    <row r="176" spans="1:19">
      <c r="A176" s="155"/>
      <c r="B176" s="57"/>
      <c r="C176" s="24">
        <f t="shared" si="34"/>
        <v>1</v>
      </c>
      <c r="D176" s="675"/>
      <c r="E176" s="24">
        <f t="shared" si="35"/>
        <v>1</v>
      </c>
      <c r="F176" s="675"/>
      <c r="G176" s="24">
        <f t="shared" si="36"/>
        <v>1</v>
      </c>
      <c r="H176" s="675"/>
      <c r="I176" s="24">
        <f t="shared" si="37"/>
        <v>1</v>
      </c>
      <c r="J176" s="675"/>
      <c r="K176" s="24">
        <f t="shared" si="38"/>
        <v>1</v>
      </c>
      <c r="L176" s="675"/>
      <c r="M176" s="24">
        <f t="shared" si="39"/>
        <v>1</v>
      </c>
      <c r="N176" s="675"/>
      <c r="O176" s="24">
        <f t="shared" si="40"/>
        <v>1</v>
      </c>
      <c r="P176" s="675"/>
      <c r="Q176" s="24">
        <f t="shared" si="41"/>
        <v>0</v>
      </c>
      <c r="R176" s="671">
        <f t="shared" si="42"/>
        <v>0</v>
      </c>
      <c r="S176" s="322">
        <f t="shared" si="33"/>
        <v>0</v>
      </c>
    </row>
    <row r="177" spans="1:19">
      <c r="A177" s="155"/>
      <c r="B177" s="57"/>
      <c r="C177" s="24">
        <f t="shared" si="34"/>
        <v>1</v>
      </c>
      <c r="D177" s="675"/>
      <c r="E177" s="24">
        <f t="shared" si="35"/>
        <v>1</v>
      </c>
      <c r="F177" s="675"/>
      <c r="G177" s="24">
        <f t="shared" si="36"/>
        <v>1</v>
      </c>
      <c r="H177" s="675"/>
      <c r="I177" s="24">
        <f t="shared" si="37"/>
        <v>1</v>
      </c>
      <c r="J177" s="675"/>
      <c r="K177" s="24">
        <f t="shared" si="38"/>
        <v>1</v>
      </c>
      <c r="L177" s="675"/>
      <c r="M177" s="24">
        <f t="shared" si="39"/>
        <v>1</v>
      </c>
      <c r="N177" s="675"/>
      <c r="O177" s="24">
        <f t="shared" si="40"/>
        <v>1</v>
      </c>
      <c r="P177" s="675"/>
      <c r="Q177" s="24">
        <f t="shared" si="41"/>
        <v>0</v>
      </c>
      <c r="R177" s="671">
        <f t="shared" si="42"/>
        <v>0</v>
      </c>
      <c r="S177" s="322">
        <f t="shared" si="33"/>
        <v>0</v>
      </c>
    </row>
    <row r="178" spans="1:19">
      <c r="A178" s="155"/>
      <c r="B178" s="57"/>
      <c r="C178" s="24">
        <f t="shared" si="34"/>
        <v>1</v>
      </c>
      <c r="D178" s="675"/>
      <c r="E178" s="24">
        <f t="shared" si="35"/>
        <v>1</v>
      </c>
      <c r="F178" s="675"/>
      <c r="G178" s="24">
        <f t="shared" si="36"/>
        <v>1</v>
      </c>
      <c r="H178" s="675"/>
      <c r="I178" s="24">
        <f t="shared" si="37"/>
        <v>1</v>
      </c>
      <c r="J178" s="675"/>
      <c r="K178" s="24">
        <f t="shared" si="38"/>
        <v>1</v>
      </c>
      <c r="L178" s="675"/>
      <c r="M178" s="24">
        <f t="shared" si="39"/>
        <v>1</v>
      </c>
      <c r="N178" s="675"/>
      <c r="O178" s="24">
        <f t="shared" si="40"/>
        <v>1</v>
      </c>
      <c r="P178" s="675"/>
      <c r="Q178" s="24">
        <f t="shared" si="41"/>
        <v>0</v>
      </c>
      <c r="R178" s="671">
        <f t="shared" si="42"/>
        <v>0</v>
      </c>
      <c r="S178" s="322">
        <f t="shared" si="33"/>
        <v>0</v>
      </c>
    </row>
    <row r="179" spans="1:19">
      <c r="A179" s="155"/>
      <c r="B179" s="57"/>
      <c r="C179" s="24">
        <f t="shared" si="34"/>
        <v>1</v>
      </c>
      <c r="D179" s="675"/>
      <c r="E179" s="24">
        <f t="shared" si="35"/>
        <v>1</v>
      </c>
      <c r="F179" s="675"/>
      <c r="G179" s="24">
        <f t="shared" si="36"/>
        <v>1</v>
      </c>
      <c r="H179" s="675"/>
      <c r="I179" s="24">
        <f t="shared" si="37"/>
        <v>1</v>
      </c>
      <c r="J179" s="675"/>
      <c r="K179" s="24">
        <f t="shared" si="38"/>
        <v>1</v>
      </c>
      <c r="L179" s="675"/>
      <c r="M179" s="24">
        <f t="shared" si="39"/>
        <v>1</v>
      </c>
      <c r="N179" s="675"/>
      <c r="O179" s="24">
        <f t="shared" si="40"/>
        <v>1</v>
      </c>
      <c r="P179" s="675"/>
      <c r="Q179" s="24">
        <f t="shared" si="41"/>
        <v>0</v>
      </c>
      <c r="R179" s="671">
        <f t="shared" si="42"/>
        <v>0</v>
      </c>
      <c r="S179" s="322">
        <f t="shared" si="33"/>
        <v>0</v>
      </c>
    </row>
    <row r="180" spans="1:19">
      <c r="A180" s="155"/>
      <c r="B180" s="57"/>
      <c r="C180" s="24">
        <f t="shared" si="34"/>
        <v>1</v>
      </c>
      <c r="D180" s="675"/>
      <c r="E180" s="24">
        <f t="shared" si="35"/>
        <v>1</v>
      </c>
      <c r="F180" s="675"/>
      <c r="G180" s="24">
        <f t="shared" si="36"/>
        <v>1</v>
      </c>
      <c r="H180" s="675"/>
      <c r="I180" s="24">
        <f t="shared" si="37"/>
        <v>1</v>
      </c>
      <c r="J180" s="675"/>
      <c r="K180" s="24">
        <f t="shared" si="38"/>
        <v>1</v>
      </c>
      <c r="L180" s="675"/>
      <c r="M180" s="24">
        <f t="shared" si="39"/>
        <v>1</v>
      </c>
      <c r="N180" s="675"/>
      <c r="O180" s="24">
        <f t="shared" si="40"/>
        <v>1</v>
      </c>
      <c r="P180" s="675"/>
      <c r="Q180" s="24">
        <f t="shared" si="41"/>
        <v>0</v>
      </c>
      <c r="R180" s="671">
        <f t="shared" si="42"/>
        <v>0</v>
      </c>
      <c r="S180" s="322">
        <f t="shared" si="33"/>
        <v>0</v>
      </c>
    </row>
    <row r="181" spans="1:19">
      <c r="A181" s="155"/>
      <c r="B181" s="57"/>
      <c r="C181" s="24">
        <f t="shared" si="34"/>
        <v>1</v>
      </c>
      <c r="D181" s="675"/>
      <c r="E181" s="24">
        <f t="shared" si="35"/>
        <v>1</v>
      </c>
      <c r="F181" s="675"/>
      <c r="G181" s="24">
        <f t="shared" si="36"/>
        <v>1</v>
      </c>
      <c r="H181" s="675"/>
      <c r="I181" s="24">
        <f t="shared" si="37"/>
        <v>1</v>
      </c>
      <c r="J181" s="675"/>
      <c r="K181" s="24">
        <f t="shared" si="38"/>
        <v>1</v>
      </c>
      <c r="L181" s="675"/>
      <c r="M181" s="24">
        <f t="shared" si="39"/>
        <v>1</v>
      </c>
      <c r="N181" s="675"/>
      <c r="O181" s="24">
        <f t="shared" si="40"/>
        <v>1</v>
      </c>
      <c r="P181" s="675"/>
      <c r="Q181" s="24">
        <f t="shared" si="41"/>
        <v>0</v>
      </c>
      <c r="R181" s="671">
        <f t="shared" si="42"/>
        <v>0</v>
      </c>
      <c r="S181" s="322">
        <f t="shared" si="33"/>
        <v>0</v>
      </c>
    </row>
    <row r="182" spans="1:19">
      <c r="A182" s="155"/>
      <c r="B182" s="57"/>
      <c r="C182" s="24">
        <f t="shared" si="34"/>
        <v>1</v>
      </c>
      <c r="D182" s="675"/>
      <c r="E182" s="24">
        <f t="shared" si="35"/>
        <v>1</v>
      </c>
      <c r="F182" s="675"/>
      <c r="G182" s="24">
        <f t="shared" si="36"/>
        <v>1</v>
      </c>
      <c r="H182" s="675"/>
      <c r="I182" s="24">
        <f t="shared" si="37"/>
        <v>1</v>
      </c>
      <c r="J182" s="675"/>
      <c r="K182" s="24">
        <f t="shared" si="38"/>
        <v>1</v>
      </c>
      <c r="L182" s="675"/>
      <c r="M182" s="24">
        <f t="shared" si="39"/>
        <v>1</v>
      </c>
      <c r="N182" s="675"/>
      <c r="O182" s="24">
        <f t="shared" si="40"/>
        <v>1</v>
      </c>
      <c r="P182" s="675"/>
      <c r="Q182" s="24">
        <f t="shared" si="41"/>
        <v>0</v>
      </c>
      <c r="R182" s="671">
        <f t="shared" si="42"/>
        <v>0</v>
      </c>
      <c r="S182" s="322">
        <f t="shared" si="33"/>
        <v>0</v>
      </c>
    </row>
    <row r="183" spans="1:19">
      <c r="A183" s="155"/>
      <c r="B183" s="57"/>
      <c r="C183" s="24">
        <f t="shared" si="34"/>
        <v>1</v>
      </c>
      <c r="D183" s="675"/>
      <c r="E183" s="24">
        <f t="shared" si="35"/>
        <v>1</v>
      </c>
      <c r="F183" s="675"/>
      <c r="G183" s="24">
        <f t="shared" si="36"/>
        <v>1</v>
      </c>
      <c r="H183" s="675"/>
      <c r="I183" s="24">
        <f t="shared" si="37"/>
        <v>1</v>
      </c>
      <c r="J183" s="675"/>
      <c r="K183" s="24">
        <f t="shared" si="38"/>
        <v>1</v>
      </c>
      <c r="L183" s="675"/>
      <c r="M183" s="24">
        <f t="shared" si="39"/>
        <v>1</v>
      </c>
      <c r="N183" s="675"/>
      <c r="O183" s="24">
        <f t="shared" si="40"/>
        <v>1</v>
      </c>
      <c r="P183" s="675"/>
      <c r="Q183" s="24">
        <f t="shared" si="41"/>
        <v>0</v>
      </c>
      <c r="R183" s="671">
        <f t="shared" si="42"/>
        <v>0</v>
      </c>
      <c r="S183" s="322">
        <f t="shared" si="33"/>
        <v>0</v>
      </c>
    </row>
    <row r="184" spans="1:19">
      <c r="A184" s="155"/>
      <c r="B184" s="57"/>
      <c r="C184" s="24">
        <f t="shared" si="34"/>
        <v>1</v>
      </c>
      <c r="D184" s="675"/>
      <c r="E184" s="24">
        <f t="shared" si="35"/>
        <v>1</v>
      </c>
      <c r="F184" s="675"/>
      <c r="G184" s="24">
        <f t="shared" si="36"/>
        <v>1</v>
      </c>
      <c r="H184" s="675"/>
      <c r="I184" s="24">
        <f t="shared" si="37"/>
        <v>1</v>
      </c>
      <c r="J184" s="675"/>
      <c r="K184" s="24">
        <f t="shared" si="38"/>
        <v>1</v>
      </c>
      <c r="L184" s="675"/>
      <c r="M184" s="24">
        <f t="shared" si="39"/>
        <v>1</v>
      </c>
      <c r="N184" s="675"/>
      <c r="O184" s="24">
        <f t="shared" si="40"/>
        <v>1</v>
      </c>
      <c r="P184" s="675"/>
      <c r="Q184" s="24">
        <f t="shared" si="41"/>
        <v>0</v>
      </c>
      <c r="R184" s="671">
        <f t="shared" si="42"/>
        <v>0</v>
      </c>
      <c r="S184" s="322">
        <f t="shared" si="33"/>
        <v>0</v>
      </c>
    </row>
    <row r="185" spans="1:19">
      <c r="A185" s="155"/>
      <c r="B185" s="57"/>
      <c r="C185" s="24">
        <f t="shared" si="34"/>
        <v>1</v>
      </c>
      <c r="D185" s="675"/>
      <c r="E185" s="24">
        <f t="shared" si="35"/>
        <v>1</v>
      </c>
      <c r="F185" s="675"/>
      <c r="G185" s="24">
        <f t="shared" si="36"/>
        <v>1</v>
      </c>
      <c r="H185" s="675"/>
      <c r="I185" s="24">
        <f t="shared" si="37"/>
        <v>1</v>
      </c>
      <c r="J185" s="675"/>
      <c r="K185" s="24">
        <f t="shared" si="38"/>
        <v>1</v>
      </c>
      <c r="L185" s="675"/>
      <c r="M185" s="24">
        <f t="shared" si="39"/>
        <v>1</v>
      </c>
      <c r="N185" s="675"/>
      <c r="O185" s="24">
        <f t="shared" si="40"/>
        <v>1</v>
      </c>
      <c r="P185" s="675"/>
      <c r="Q185" s="24">
        <f t="shared" si="41"/>
        <v>0</v>
      </c>
      <c r="R185" s="671">
        <f t="shared" si="42"/>
        <v>0</v>
      </c>
      <c r="S185" s="322">
        <f t="shared" si="33"/>
        <v>0</v>
      </c>
    </row>
    <row r="186" spans="1:19">
      <c r="A186" s="155"/>
      <c r="B186" s="57"/>
      <c r="C186" s="24">
        <f t="shared" si="34"/>
        <v>1</v>
      </c>
      <c r="D186" s="675"/>
      <c r="E186" s="24">
        <f t="shared" si="35"/>
        <v>1</v>
      </c>
      <c r="F186" s="675"/>
      <c r="G186" s="24">
        <f t="shared" si="36"/>
        <v>1</v>
      </c>
      <c r="H186" s="675"/>
      <c r="I186" s="24">
        <f t="shared" si="37"/>
        <v>1</v>
      </c>
      <c r="J186" s="675"/>
      <c r="K186" s="24">
        <f t="shared" si="38"/>
        <v>1</v>
      </c>
      <c r="L186" s="675"/>
      <c r="M186" s="24">
        <f t="shared" si="39"/>
        <v>1</v>
      </c>
      <c r="N186" s="675"/>
      <c r="O186" s="24">
        <f t="shared" si="40"/>
        <v>1</v>
      </c>
      <c r="P186" s="675"/>
      <c r="Q186" s="24">
        <f t="shared" si="41"/>
        <v>0</v>
      </c>
      <c r="R186" s="671">
        <f t="shared" si="42"/>
        <v>0</v>
      </c>
      <c r="S186" s="322">
        <f t="shared" si="33"/>
        <v>0</v>
      </c>
    </row>
    <row r="187" spans="1:19">
      <c r="A187" s="155"/>
      <c r="B187" s="57"/>
      <c r="C187" s="24">
        <f t="shared" si="34"/>
        <v>1</v>
      </c>
      <c r="D187" s="675"/>
      <c r="E187" s="24">
        <f t="shared" si="35"/>
        <v>1</v>
      </c>
      <c r="F187" s="675"/>
      <c r="G187" s="24">
        <f t="shared" si="36"/>
        <v>1</v>
      </c>
      <c r="H187" s="675"/>
      <c r="I187" s="24">
        <f t="shared" si="37"/>
        <v>1</v>
      </c>
      <c r="J187" s="675"/>
      <c r="K187" s="24">
        <f t="shared" si="38"/>
        <v>1</v>
      </c>
      <c r="L187" s="675"/>
      <c r="M187" s="24">
        <f t="shared" si="39"/>
        <v>1</v>
      </c>
      <c r="N187" s="675"/>
      <c r="O187" s="24">
        <f t="shared" si="40"/>
        <v>1</v>
      </c>
      <c r="P187" s="675"/>
      <c r="Q187" s="24">
        <f t="shared" si="41"/>
        <v>0</v>
      </c>
      <c r="R187" s="671">
        <f t="shared" si="42"/>
        <v>0</v>
      </c>
      <c r="S187" s="322">
        <f t="shared" ref="S187:S222" si="43">ROUND(R187*B187/10000,0)</f>
        <v>0</v>
      </c>
    </row>
    <row r="188" spans="1:19">
      <c r="A188" s="155"/>
      <c r="B188" s="57"/>
      <c r="C188" s="24">
        <f t="shared" si="34"/>
        <v>1</v>
      </c>
      <c r="D188" s="675"/>
      <c r="E188" s="24">
        <f t="shared" si="35"/>
        <v>1</v>
      </c>
      <c r="F188" s="675"/>
      <c r="G188" s="24">
        <f t="shared" si="36"/>
        <v>1</v>
      </c>
      <c r="H188" s="675"/>
      <c r="I188" s="24">
        <f t="shared" si="37"/>
        <v>1</v>
      </c>
      <c r="J188" s="675"/>
      <c r="K188" s="24">
        <f t="shared" si="38"/>
        <v>1</v>
      </c>
      <c r="L188" s="675"/>
      <c r="M188" s="24">
        <f t="shared" si="39"/>
        <v>1</v>
      </c>
      <c r="N188" s="675"/>
      <c r="O188" s="24">
        <f t="shared" si="40"/>
        <v>1</v>
      </c>
      <c r="P188" s="675"/>
      <c r="Q188" s="24">
        <f t="shared" si="41"/>
        <v>0</v>
      </c>
      <c r="R188" s="671">
        <f t="shared" si="42"/>
        <v>0</v>
      </c>
      <c r="S188" s="322">
        <f t="shared" si="43"/>
        <v>0</v>
      </c>
    </row>
    <row r="189" spans="1:19">
      <c r="A189" s="155"/>
      <c r="B189" s="57"/>
      <c r="C189" s="24">
        <f t="shared" si="34"/>
        <v>1</v>
      </c>
      <c r="D189" s="675"/>
      <c r="E189" s="24">
        <f t="shared" si="35"/>
        <v>1</v>
      </c>
      <c r="F189" s="675"/>
      <c r="G189" s="24">
        <f t="shared" si="36"/>
        <v>1</v>
      </c>
      <c r="H189" s="675"/>
      <c r="I189" s="24">
        <f t="shared" si="37"/>
        <v>1</v>
      </c>
      <c r="J189" s="675"/>
      <c r="K189" s="24">
        <f t="shared" si="38"/>
        <v>1</v>
      </c>
      <c r="L189" s="675"/>
      <c r="M189" s="24">
        <f t="shared" si="39"/>
        <v>1</v>
      </c>
      <c r="N189" s="675"/>
      <c r="O189" s="24">
        <f t="shared" si="40"/>
        <v>1</v>
      </c>
      <c r="P189" s="675"/>
      <c r="Q189" s="24">
        <f t="shared" si="41"/>
        <v>0</v>
      </c>
      <c r="R189" s="671">
        <f t="shared" si="42"/>
        <v>0</v>
      </c>
      <c r="S189" s="322">
        <f t="shared" si="43"/>
        <v>0</v>
      </c>
    </row>
    <row r="190" spans="1:19">
      <c r="A190" s="155"/>
      <c r="B190" s="57"/>
      <c r="C190" s="24">
        <f t="shared" si="34"/>
        <v>1</v>
      </c>
      <c r="D190" s="675"/>
      <c r="E190" s="24">
        <f t="shared" si="35"/>
        <v>1</v>
      </c>
      <c r="F190" s="675"/>
      <c r="G190" s="24">
        <f t="shared" si="36"/>
        <v>1</v>
      </c>
      <c r="H190" s="675"/>
      <c r="I190" s="24">
        <f t="shared" si="37"/>
        <v>1</v>
      </c>
      <c r="J190" s="675"/>
      <c r="K190" s="24">
        <f t="shared" si="38"/>
        <v>1</v>
      </c>
      <c r="L190" s="675"/>
      <c r="M190" s="24">
        <f t="shared" si="39"/>
        <v>1</v>
      </c>
      <c r="N190" s="675"/>
      <c r="O190" s="24">
        <f t="shared" si="40"/>
        <v>1</v>
      </c>
      <c r="P190" s="675"/>
      <c r="Q190" s="24">
        <f t="shared" si="41"/>
        <v>0</v>
      </c>
      <c r="R190" s="671">
        <f t="shared" si="42"/>
        <v>0</v>
      </c>
      <c r="S190" s="322">
        <f t="shared" si="43"/>
        <v>0</v>
      </c>
    </row>
    <row r="191" spans="1:19">
      <c r="A191" s="155"/>
      <c r="B191" s="57"/>
      <c r="C191" s="24">
        <f t="shared" si="34"/>
        <v>1</v>
      </c>
      <c r="D191" s="675"/>
      <c r="E191" s="24">
        <f t="shared" si="35"/>
        <v>1</v>
      </c>
      <c r="F191" s="675"/>
      <c r="G191" s="24">
        <f t="shared" si="36"/>
        <v>1</v>
      </c>
      <c r="H191" s="675"/>
      <c r="I191" s="24">
        <f t="shared" si="37"/>
        <v>1</v>
      </c>
      <c r="J191" s="675"/>
      <c r="K191" s="24">
        <f t="shared" si="38"/>
        <v>1</v>
      </c>
      <c r="L191" s="675"/>
      <c r="M191" s="24">
        <f t="shared" si="39"/>
        <v>1</v>
      </c>
      <c r="N191" s="675"/>
      <c r="O191" s="24">
        <f t="shared" si="40"/>
        <v>1</v>
      </c>
      <c r="P191" s="675"/>
      <c r="Q191" s="24">
        <f t="shared" si="41"/>
        <v>0</v>
      </c>
      <c r="R191" s="671">
        <f t="shared" si="42"/>
        <v>0</v>
      </c>
      <c r="S191" s="322">
        <f t="shared" si="43"/>
        <v>0</v>
      </c>
    </row>
    <row r="192" spans="1:19">
      <c r="A192" s="155"/>
      <c r="B192" s="57"/>
      <c r="C192" s="24">
        <f t="shared" si="34"/>
        <v>1</v>
      </c>
      <c r="D192" s="675"/>
      <c r="E192" s="24">
        <f t="shared" si="35"/>
        <v>1</v>
      </c>
      <c r="F192" s="675"/>
      <c r="G192" s="24">
        <f t="shared" si="36"/>
        <v>1</v>
      </c>
      <c r="H192" s="675"/>
      <c r="I192" s="24">
        <f t="shared" si="37"/>
        <v>1</v>
      </c>
      <c r="J192" s="675"/>
      <c r="K192" s="24">
        <f t="shared" si="38"/>
        <v>1</v>
      </c>
      <c r="L192" s="675"/>
      <c r="M192" s="24">
        <f t="shared" si="39"/>
        <v>1</v>
      </c>
      <c r="N192" s="675"/>
      <c r="O192" s="24">
        <f t="shared" si="40"/>
        <v>1</v>
      </c>
      <c r="P192" s="675"/>
      <c r="Q192" s="24">
        <f t="shared" si="41"/>
        <v>0</v>
      </c>
      <c r="R192" s="671">
        <f t="shared" si="42"/>
        <v>0</v>
      </c>
      <c r="S192" s="322">
        <f t="shared" si="43"/>
        <v>0</v>
      </c>
    </row>
    <row r="193" spans="1:19">
      <c r="A193" s="155"/>
      <c r="B193" s="57"/>
      <c r="C193" s="24">
        <f t="shared" si="34"/>
        <v>1</v>
      </c>
      <c r="D193" s="675"/>
      <c r="E193" s="24">
        <f t="shared" si="35"/>
        <v>1</v>
      </c>
      <c r="F193" s="675"/>
      <c r="G193" s="24">
        <f t="shared" si="36"/>
        <v>1</v>
      </c>
      <c r="H193" s="675"/>
      <c r="I193" s="24">
        <f t="shared" si="37"/>
        <v>1</v>
      </c>
      <c r="J193" s="675"/>
      <c r="K193" s="24">
        <f t="shared" si="38"/>
        <v>1</v>
      </c>
      <c r="L193" s="675"/>
      <c r="M193" s="24">
        <f t="shared" si="39"/>
        <v>1</v>
      </c>
      <c r="N193" s="675"/>
      <c r="O193" s="24">
        <f t="shared" si="40"/>
        <v>1</v>
      </c>
      <c r="P193" s="675"/>
      <c r="Q193" s="24">
        <f t="shared" si="41"/>
        <v>0</v>
      </c>
      <c r="R193" s="671">
        <f t="shared" si="42"/>
        <v>0</v>
      </c>
      <c r="S193" s="322">
        <f t="shared" si="43"/>
        <v>0</v>
      </c>
    </row>
    <row r="194" spans="1:19">
      <c r="A194" s="155"/>
      <c r="B194" s="57"/>
      <c r="C194" s="24">
        <f t="shared" si="34"/>
        <v>1</v>
      </c>
      <c r="D194" s="675"/>
      <c r="E194" s="24">
        <f t="shared" si="35"/>
        <v>1</v>
      </c>
      <c r="F194" s="675"/>
      <c r="G194" s="24">
        <f t="shared" si="36"/>
        <v>1</v>
      </c>
      <c r="H194" s="675"/>
      <c r="I194" s="24">
        <f t="shared" si="37"/>
        <v>1</v>
      </c>
      <c r="J194" s="675"/>
      <c r="K194" s="24">
        <f t="shared" si="38"/>
        <v>1</v>
      </c>
      <c r="L194" s="675"/>
      <c r="M194" s="24">
        <f t="shared" si="39"/>
        <v>1</v>
      </c>
      <c r="N194" s="675"/>
      <c r="O194" s="24">
        <f t="shared" si="40"/>
        <v>1</v>
      </c>
      <c r="P194" s="675"/>
      <c r="Q194" s="24">
        <f t="shared" si="41"/>
        <v>0</v>
      </c>
      <c r="R194" s="671">
        <f t="shared" si="42"/>
        <v>0</v>
      </c>
      <c r="S194" s="322">
        <f t="shared" si="43"/>
        <v>0</v>
      </c>
    </row>
    <row r="195" spans="1:19">
      <c r="A195" s="155"/>
      <c r="B195" s="57"/>
      <c r="C195" s="24">
        <f t="shared" si="34"/>
        <v>1</v>
      </c>
      <c r="D195" s="675"/>
      <c r="E195" s="24">
        <f t="shared" si="35"/>
        <v>1</v>
      </c>
      <c r="F195" s="675"/>
      <c r="G195" s="24">
        <f t="shared" si="36"/>
        <v>1</v>
      </c>
      <c r="H195" s="675"/>
      <c r="I195" s="24">
        <f t="shared" si="37"/>
        <v>1</v>
      </c>
      <c r="J195" s="675"/>
      <c r="K195" s="24">
        <f t="shared" si="38"/>
        <v>1</v>
      </c>
      <c r="L195" s="675"/>
      <c r="M195" s="24">
        <f t="shared" si="39"/>
        <v>1</v>
      </c>
      <c r="N195" s="675"/>
      <c r="O195" s="24">
        <f t="shared" si="40"/>
        <v>1</v>
      </c>
      <c r="P195" s="675"/>
      <c r="Q195" s="24">
        <f t="shared" si="41"/>
        <v>0</v>
      </c>
      <c r="R195" s="671">
        <f t="shared" si="42"/>
        <v>0</v>
      </c>
      <c r="S195" s="322">
        <f t="shared" si="43"/>
        <v>0</v>
      </c>
    </row>
    <row r="196" spans="1:19">
      <c r="A196" s="155"/>
      <c r="B196" s="57"/>
      <c r="C196" s="24">
        <f t="shared" si="34"/>
        <v>1</v>
      </c>
      <c r="D196" s="675"/>
      <c r="E196" s="24">
        <f t="shared" si="35"/>
        <v>1</v>
      </c>
      <c r="F196" s="675"/>
      <c r="G196" s="24">
        <f t="shared" si="36"/>
        <v>1</v>
      </c>
      <c r="H196" s="675"/>
      <c r="I196" s="24">
        <f t="shared" si="37"/>
        <v>1</v>
      </c>
      <c r="J196" s="675"/>
      <c r="K196" s="24">
        <f t="shared" si="38"/>
        <v>1</v>
      </c>
      <c r="L196" s="675"/>
      <c r="M196" s="24">
        <f t="shared" si="39"/>
        <v>1</v>
      </c>
      <c r="N196" s="675"/>
      <c r="O196" s="24">
        <f t="shared" si="40"/>
        <v>1</v>
      </c>
      <c r="P196" s="675"/>
      <c r="Q196" s="24">
        <f t="shared" si="41"/>
        <v>0</v>
      </c>
      <c r="R196" s="671">
        <f t="shared" si="42"/>
        <v>0</v>
      </c>
      <c r="S196" s="322">
        <f t="shared" si="43"/>
        <v>0</v>
      </c>
    </row>
    <row r="197" spans="1:19">
      <c r="A197" s="155"/>
      <c r="B197" s="57"/>
      <c r="C197" s="24">
        <f t="shared" si="34"/>
        <v>1</v>
      </c>
      <c r="D197" s="675"/>
      <c r="E197" s="24">
        <f t="shared" si="35"/>
        <v>1</v>
      </c>
      <c r="F197" s="675"/>
      <c r="G197" s="24">
        <f t="shared" si="36"/>
        <v>1</v>
      </c>
      <c r="H197" s="675"/>
      <c r="I197" s="24">
        <f t="shared" si="37"/>
        <v>1</v>
      </c>
      <c r="J197" s="675"/>
      <c r="K197" s="24">
        <f t="shared" si="38"/>
        <v>1</v>
      </c>
      <c r="L197" s="675"/>
      <c r="M197" s="24">
        <f t="shared" si="39"/>
        <v>1</v>
      </c>
      <c r="N197" s="675"/>
      <c r="O197" s="24">
        <f t="shared" si="40"/>
        <v>1</v>
      </c>
      <c r="P197" s="675"/>
      <c r="Q197" s="24">
        <f t="shared" si="41"/>
        <v>0</v>
      </c>
      <c r="R197" s="671">
        <f t="shared" si="42"/>
        <v>0</v>
      </c>
      <c r="S197" s="322">
        <f t="shared" si="43"/>
        <v>0</v>
      </c>
    </row>
    <row r="198" spans="1:19">
      <c r="A198" s="155"/>
      <c r="B198" s="57"/>
      <c r="C198" s="24">
        <f t="shared" si="34"/>
        <v>1</v>
      </c>
      <c r="D198" s="675"/>
      <c r="E198" s="24">
        <f t="shared" si="35"/>
        <v>1</v>
      </c>
      <c r="F198" s="675"/>
      <c r="G198" s="24">
        <f t="shared" si="36"/>
        <v>1</v>
      </c>
      <c r="H198" s="675"/>
      <c r="I198" s="24">
        <f t="shared" si="37"/>
        <v>1</v>
      </c>
      <c r="J198" s="675"/>
      <c r="K198" s="24">
        <f t="shared" si="38"/>
        <v>1</v>
      </c>
      <c r="L198" s="675"/>
      <c r="M198" s="24">
        <f t="shared" si="39"/>
        <v>1</v>
      </c>
      <c r="N198" s="675"/>
      <c r="O198" s="24">
        <f t="shared" si="40"/>
        <v>1</v>
      </c>
      <c r="P198" s="675"/>
      <c r="Q198" s="24">
        <f t="shared" si="41"/>
        <v>0</v>
      </c>
      <c r="R198" s="671">
        <f t="shared" si="42"/>
        <v>0</v>
      </c>
      <c r="S198" s="322">
        <f t="shared" si="43"/>
        <v>0</v>
      </c>
    </row>
    <row r="199" spans="1:19">
      <c r="A199" s="155"/>
      <c r="B199" s="57"/>
      <c r="C199" s="24">
        <f t="shared" si="34"/>
        <v>1</v>
      </c>
      <c r="D199" s="675"/>
      <c r="E199" s="24">
        <f t="shared" si="35"/>
        <v>1</v>
      </c>
      <c r="F199" s="675"/>
      <c r="G199" s="24">
        <f t="shared" si="36"/>
        <v>1</v>
      </c>
      <c r="H199" s="675"/>
      <c r="I199" s="24">
        <f t="shared" si="37"/>
        <v>1</v>
      </c>
      <c r="J199" s="675"/>
      <c r="K199" s="24">
        <f t="shared" si="38"/>
        <v>1</v>
      </c>
      <c r="L199" s="675"/>
      <c r="M199" s="24">
        <f t="shared" si="39"/>
        <v>1</v>
      </c>
      <c r="N199" s="675"/>
      <c r="O199" s="24">
        <f t="shared" si="40"/>
        <v>1</v>
      </c>
      <c r="P199" s="675"/>
      <c r="Q199" s="24">
        <f t="shared" si="41"/>
        <v>0</v>
      </c>
      <c r="R199" s="671">
        <f t="shared" si="42"/>
        <v>0</v>
      </c>
      <c r="S199" s="322">
        <f t="shared" si="43"/>
        <v>0</v>
      </c>
    </row>
    <row r="200" spans="1:19">
      <c r="A200" s="155"/>
      <c r="B200" s="57"/>
      <c r="C200" s="24">
        <f t="shared" si="34"/>
        <v>1</v>
      </c>
      <c r="D200" s="675"/>
      <c r="E200" s="24">
        <f t="shared" si="35"/>
        <v>1</v>
      </c>
      <c r="F200" s="675"/>
      <c r="G200" s="24">
        <f t="shared" si="36"/>
        <v>1</v>
      </c>
      <c r="H200" s="675"/>
      <c r="I200" s="24">
        <f t="shared" si="37"/>
        <v>1</v>
      </c>
      <c r="J200" s="675"/>
      <c r="K200" s="24">
        <f t="shared" si="38"/>
        <v>1</v>
      </c>
      <c r="L200" s="675"/>
      <c r="M200" s="24">
        <f t="shared" si="39"/>
        <v>1</v>
      </c>
      <c r="N200" s="675"/>
      <c r="O200" s="24">
        <f t="shared" si="40"/>
        <v>1</v>
      </c>
      <c r="P200" s="675"/>
      <c r="Q200" s="24">
        <f t="shared" si="41"/>
        <v>0</v>
      </c>
      <c r="R200" s="671">
        <f t="shared" si="42"/>
        <v>0</v>
      </c>
      <c r="S200" s="322">
        <f t="shared" si="43"/>
        <v>0</v>
      </c>
    </row>
    <row r="201" spans="1:19">
      <c r="A201" s="155"/>
      <c r="B201" s="57"/>
      <c r="C201" s="24">
        <f t="shared" si="34"/>
        <v>1</v>
      </c>
      <c r="D201" s="675"/>
      <c r="E201" s="24">
        <f t="shared" si="35"/>
        <v>1</v>
      </c>
      <c r="F201" s="675"/>
      <c r="G201" s="24">
        <f t="shared" si="36"/>
        <v>1</v>
      </c>
      <c r="H201" s="675"/>
      <c r="I201" s="24">
        <f t="shared" si="37"/>
        <v>1</v>
      </c>
      <c r="J201" s="675"/>
      <c r="K201" s="24">
        <f t="shared" si="38"/>
        <v>1</v>
      </c>
      <c r="L201" s="675"/>
      <c r="M201" s="24">
        <f t="shared" si="39"/>
        <v>1</v>
      </c>
      <c r="N201" s="675"/>
      <c r="O201" s="24">
        <f t="shared" si="40"/>
        <v>1</v>
      </c>
      <c r="P201" s="675"/>
      <c r="Q201" s="24">
        <f t="shared" si="41"/>
        <v>0</v>
      </c>
      <c r="R201" s="671">
        <f t="shared" si="42"/>
        <v>0</v>
      </c>
      <c r="S201" s="322">
        <f t="shared" si="43"/>
        <v>0</v>
      </c>
    </row>
    <row r="202" spans="1:19">
      <c r="A202" s="155"/>
      <c r="B202" s="57"/>
      <c r="C202" s="24">
        <f t="shared" si="34"/>
        <v>1</v>
      </c>
      <c r="D202" s="675"/>
      <c r="E202" s="24">
        <f t="shared" si="35"/>
        <v>1</v>
      </c>
      <c r="F202" s="675"/>
      <c r="G202" s="24">
        <f t="shared" si="36"/>
        <v>1</v>
      </c>
      <c r="H202" s="675"/>
      <c r="I202" s="24">
        <f t="shared" si="37"/>
        <v>1</v>
      </c>
      <c r="J202" s="675"/>
      <c r="K202" s="24">
        <f t="shared" si="38"/>
        <v>1</v>
      </c>
      <c r="L202" s="675"/>
      <c r="M202" s="24">
        <f t="shared" si="39"/>
        <v>1</v>
      </c>
      <c r="N202" s="675"/>
      <c r="O202" s="24">
        <f t="shared" si="40"/>
        <v>1</v>
      </c>
      <c r="P202" s="675"/>
      <c r="Q202" s="24">
        <f t="shared" si="41"/>
        <v>0</v>
      </c>
      <c r="R202" s="671">
        <f t="shared" si="42"/>
        <v>0</v>
      </c>
      <c r="S202" s="322">
        <f t="shared" si="43"/>
        <v>0</v>
      </c>
    </row>
    <row r="203" spans="1:19">
      <c r="A203" s="155"/>
      <c r="B203" s="57"/>
      <c r="C203" s="24">
        <f t="shared" si="34"/>
        <v>1</v>
      </c>
      <c r="D203" s="675"/>
      <c r="E203" s="24">
        <f t="shared" si="35"/>
        <v>1</v>
      </c>
      <c r="F203" s="675"/>
      <c r="G203" s="24">
        <f t="shared" si="36"/>
        <v>1</v>
      </c>
      <c r="H203" s="675"/>
      <c r="I203" s="24">
        <f t="shared" si="37"/>
        <v>1</v>
      </c>
      <c r="J203" s="675"/>
      <c r="K203" s="24">
        <f t="shared" si="38"/>
        <v>1</v>
      </c>
      <c r="L203" s="675"/>
      <c r="M203" s="24">
        <f t="shared" si="39"/>
        <v>1</v>
      </c>
      <c r="N203" s="675"/>
      <c r="O203" s="24">
        <f t="shared" si="40"/>
        <v>1</v>
      </c>
      <c r="P203" s="675"/>
      <c r="Q203" s="24">
        <f t="shared" si="41"/>
        <v>0</v>
      </c>
      <c r="R203" s="671">
        <f t="shared" si="42"/>
        <v>0</v>
      </c>
      <c r="S203" s="322">
        <f t="shared" si="43"/>
        <v>0</v>
      </c>
    </row>
    <row r="204" spans="1:19">
      <c r="A204" s="155"/>
      <c r="B204" s="57"/>
      <c r="C204" s="24">
        <f t="shared" si="34"/>
        <v>1</v>
      </c>
      <c r="D204" s="675"/>
      <c r="E204" s="24">
        <f t="shared" si="35"/>
        <v>1</v>
      </c>
      <c r="F204" s="675"/>
      <c r="G204" s="24">
        <f t="shared" si="36"/>
        <v>1</v>
      </c>
      <c r="H204" s="675"/>
      <c r="I204" s="24">
        <f t="shared" si="37"/>
        <v>1</v>
      </c>
      <c r="J204" s="675"/>
      <c r="K204" s="24">
        <f t="shared" si="38"/>
        <v>1</v>
      </c>
      <c r="L204" s="675"/>
      <c r="M204" s="24">
        <f t="shared" si="39"/>
        <v>1</v>
      </c>
      <c r="N204" s="675"/>
      <c r="O204" s="24">
        <f t="shared" si="40"/>
        <v>1</v>
      </c>
      <c r="P204" s="675"/>
      <c r="Q204" s="24">
        <f t="shared" si="41"/>
        <v>0</v>
      </c>
      <c r="R204" s="671">
        <f t="shared" si="42"/>
        <v>0</v>
      </c>
      <c r="S204" s="322">
        <f t="shared" si="43"/>
        <v>0</v>
      </c>
    </row>
    <row r="205" spans="1:19">
      <c r="A205" s="155"/>
      <c r="B205" s="57"/>
      <c r="C205" s="24">
        <f t="shared" si="34"/>
        <v>1</v>
      </c>
      <c r="D205" s="675"/>
      <c r="E205" s="24">
        <f t="shared" si="35"/>
        <v>1</v>
      </c>
      <c r="F205" s="675"/>
      <c r="G205" s="24">
        <f t="shared" si="36"/>
        <v>1</v>
      </c>
      <c r="H205" s="675"/>
      <c r="I205" s="24">
        <f t="shared" si="37"/>
        <v>1</v>
      </c>
      <c r="J205" s="675"/>
      <c r="K205" s="24">
        <f t="shared" si="38"/>
        <v>1</v>
      </c>
      <c r="L205" s="675"/>
      <c r="M205" s="24">
        <f t="shared" si="39"/>
        <v>1</v>
      </c>
      <c r="N205" s="675"/>
      <c r="O205" s="24">
        <f t="shared" si="40"/>
        <v>1</v>
      </c>
      <c r="P205" s="675"/>
      <c r="Q205" s="24">
        <f t="shared" si="41"/>
        <v>0</v>
      </c>
      <c r="R205" s="671">
        <f t="shared" si="42"/>
        <v>0</v>
      </c>
      <c r="S205" s="322">
        <f t="shared" si="43"/>
        <v>0</v>
      </c>
    </row>
    <row r="206" spans="1:19">
      <c r="A206" s="155"/>
      <c r="B206" s="57"/>
      <c r="C206" s="24">
        <f t="shared" si="34"/>
        <v>1</v>
      </c>
      <c r="D206" s="675"/>
      <c r="E206" s="24">
        <f t="shared" si="35"/>
        <v>1</v>
      </c>
      <c r="F206" s="675"/>
      <c r="G206" s="24">
        <f t="shared" si="36"/>
        <v>1</v>
      </c>
      <c r="H206" s="675"/>
      <c r="I206" s="24">
        <f t="shared" si="37"/>
        <v>1</v>
      </c>
      <c r="J206" s="675"/>
      <c r="K206" s="24">
        <f t="shared" si="38"/>
        <v>1</v>
      </c>
      <c r="L206" s="675"/>
      <c r="M206" s="24">
        <f t="shared" si="39"/>
        <v>1</v>
      </c>
      <c r="N206" s="675"/>
      <c r="O206" s="24">
        <f t="shared" si="40"/>
        <v>1</v>
      </c>
      <c r="P206" s="675"/>
      <c r="Q206" s="24">
        <f t="shared" si="41"/>
        <v>0</v>
      </c>
      <c r="R206" s="671">
        <f t="shared" si="42"/>
        <v>0</v>
      </c>
      <c r="S206" s="322">
        <f t="shared" si="43"/>
        <v>0</v>
      </c>
    </row>
    <row r="207" spans="1:19">
      <c r="A207" s="155"/>
      <c r="B207" s="57"/>
      <c r="C207" s="24">
        <f t="shared" si="34"/>
        <v>1</v>
      </c>
      <c r="D207" s="675"/>
      <c r="E207" s="24">
        <f t="shared" si="35"/>
        <v>1</v>
      </c>
      <c r="F207" s="675"/>
      <c r="G207" s="24">
        <f t="shared" si="36"/>
        <v>1</v>
      </c>
      <c r="H207" s="675"/>
      <c r="I207" s="24">
        <f t="shared" si="37"/>
        <v>1</v>
      </c>
      <c r="J207" s="675"/>
      <c r="K207" s="24">
        <f t="shared" si="38"/>
        <v>1</v>
      </c>
      <c r="L207" s="675"/>
      <c r="M207" s="24">
        <f t="shared" si="39"/>
        <v>1</v>
      </c>
      <c r="N207" s="675"/>
      <c r="O207" s="24">
        <f t="shared" si="40"/>
        <v>1</v>
      </c>
      <c r="P207" s="675"/>
      <c r="Q207" s="24">
        <f t="shared" si="41"/>
        <v>0</v>
      </c>
      <c r="R207" s="671">
        <f t="shared" si="42"/>
        <v>0</v>
      </c>
      <c r="S207" s="322">
        <f t="shared" si="43"/>
        <v>0</v>
      </c>
    </row>
    <row r="208" spans="1:19">
      <c r="A208" s="155"/>
      <c r="B208" s="57"/>
      <c r="C208" s="24">
        <f t="shared" si="34"/>
        <v>1</v>
      </c>
      <c r="D208" s="675"/>
      <c r="E208" s="24">
        <f t="shared" si="35"/>
        <v>1</v>
      </c>
      <c r="F208" s="675"/>
      <c r="G208" s="24">
        <f t="shared" si="36"/>
        <v>1</v>
      </c>
      <c r="H208" s="675"/>
      <c r="I208" s="24">
        <f t="shared" si="37"/>
        <v>1</v>
      </c>
      <c r="J208" s="675"/>
      <c r="K208" s="24">
        <f t="shared" si="38"/>
        <v>1</v>
      </c>
      <c r="L208" s="675"/>
      <c r="M208" s="24">
        <f t="shared" si="39"/>
        <v>1</v>
      </c>
      <c r="N208" s="675"/>
      <c r="O208" s="24">
        <f t="shared" si="40"/>
        <v>1</v>
      </c>
      <c r="P208" s="675"/>
      <c r="Q208" s="24">
        <f t="shared" si="41"/>
        <v>0</v>
      </c>
      <c r="R208" s="671">
        <f t="shared" si="42"/>
        <v>0</v>
      </c>
      <c r="S208" s="322">
        <f t="shared" si="43"/>
        <v>0</v>
      </c>
    </row>
    <row r="209" spans="1:19">
      <c r="A209" s="155"/>
      <c r="B209" s="57"/>
      <c r="C209" s="24">
        <f t="shared" si="34"/>
        <v>1</v>
      </c>
      <c r="D209" s="675"/>
      <c r="E209" s="24">
        <f t="shared" si="35"/>
        <v>1</v>
      </c>
      <c r="F209" s="675"/>
      <c r="G209" s="24">
        <f t="shared" si="36"/>
        <v>1</v>
      </c>
      <c r="H209" s="675"/>
      <c r="I209" s="24">
        <f t="shared" si="37"/>
        <v>1</v>
      </c>
      <c r="J209" s="675"/>
      <c r="K209" s="24">
        <f t="shared" si="38"/>
        <v>1</v>
      </c>
      <c r="L209" s="675"/>
      <c r="M209" s="24">
        <f t="shared" si="39"/>
        <v>1</v>
      </c>
      <c r="N209" s="675"/>
      <c r="O209" s="24">
        <f t="shared" si="40"/>
        <v>1</v>
      </c>
      <c r="P209" s="675"/>
      <c r="Q209" s="24">
        <f t="shared" si="41"/>
        <v>0</v>
      </c>
      <c r="R209" s="671">
        <f t="shared" si="42"/>
        <v>0</v>
      </c>
      <c r="S209" s="322">
        <f t="shared" si="43"/>
        <v>0</v>
      </c>
    </row>
    <row r="210" spans="1:19">
      <c r="A210" s="155"/>
      <c r="B210" s="57"/>
      <c r="C210" s="24">
        <f t="shared" si="34"/>
        <v>1</v>
      </c>
      <c r="D210" s="675"/>
      <c r="E210" s="24">
        <f t="shared" si="35"/>
        <v>1</v>
      </c>
      <c r="F210" s="675"/>
      <c r="G210" s="24">
        <f t="shared" si="36"/>
        <v>1</v>
      </c>
      <c r="H210" s="675"/>
      <c r="I210" s="24">
        <f t="shared" si="37"/>
        <v>1</v>
      </c>
      <c r="J210" s="675"/>
      <c r="K210" s="24">
        <f t="shared" si="38"/>
        <v>1</v>
      </c>
      <c r="L210" s="675"/>
      <c r="M210" s="24">
        <f t="shared" si="39"/>
        <v>1</v>
      </c>
      <c r="N210" s="675"/>
      <c r="O210" s="24">
        <f t="shared" si="40"/>
        <v>1</v>
      </c>
      <c r="P210" s="675"/>
      <c r="Q210" s="24">
        <f t="shared" si="41"/>
        <v>0</v>
      </c>
      <c r="R210" s="671">
        <f t="shared" si="42"/>
        <v>0</v>
      </c>
      <c r="S210" s="322">
        <f t="shared" si="43"/>
        <v>0</v>
      </c>
    </row>
    <row r="211" spans="1:19">
      <c r="A211" s="155"/>
      <c r="B211" s="57"/>
      <c r="C211" s="24">
        <f t="shared" si="34"/>
        <v>1</v>
      </c>
      <c r="D211" s="675"/>
      <c r="E211" s="24">
        <f t="shared" si="35"/>
        <v>1</v>
      </c>
      <c r="F211" s="675"/>
      <c r="G211" s="24">
        <f t="shared" si="36"/>
        <v>1</v>
      </c>
      <c r="H211" s="675"/>
      <c r="I211" s="24">
        <f t="shared" si="37"/>
        <v>1</v>
      </c>
      <c r="J211" s="675"/>
      <c r="K211" s="24">
        <f t="shared" si="38"/>
        <v>1</v>
      </c>
      <c r="L211" s="675"/>
      <c r="M211" s="24">
        <f t="shared" si="39"/>
        <v>1</v>
      </c>
      <c r="N211" s="675"/>
      <c r="O211" s="24">
        <f t="shared" si="40"/>
        <v>1</v>
      </c>
      <c r="P211" s="675"/>
      <c r="Q211" s="24">
        <f t="shared" si="41"/>
        <v>0</v>
      </c>
      <c r="R211" s="671">
        <f t="shared" si="42"/>
        <v>0</v>
      </c>
      <c r="S211" s="322">
        <f t="shared" si="43"/>
        <v>0</v>
      </c>
    </row>
    <row r="212" spans="1:19">
      <c r="A212" s="155"/>
      <c r="B212" s="57"/>
      <c r="C212" s="24">
        <f t="shared" si="34"/>
        <v>1</v>
      </c>
      <c r="D212" s="675"/>
      <c r="E212" s="24">
        <f t="shared" si="35"/>
        <v>1</v>
      </c>
      <c r="F212" s="675"/>
      <c r="G212" s="24">
        <f t="shared" si="36"/>
        <v>1</v>
      </c>
      <c r="H212" s="675"/>
      <c r="I212" s="24">
        <f t="shared" si="37"/>
        <v>1</v>
      </c>
      <c r="J212" s="675"/>
      <c r="K212" s="24">
        <f t="shared" si="38"/>
        <v>1</v>
      </c>
      <c r="L212" s="675"/>
      <c r="M212" s="24">
        <f t="shared" si="39"/>
        <v>1</v>
      </c>
      <c r="N212" s="675"/>
      <c r="O212" s="24">
        <f t="shared" si="40"/>
        <v>1</v>
      </c>
      <c r="P212" s="675"/>
      <c r="Q212" s="24">
        <f t="shared" si="41"/>
        <v>0</v>
      </c>
      <c r="R212" s="671">
        <f t="shared" si="42"/>
        <v>0</v>
      </c>
      <c r="S212" s="322">
        <f t="shared" si="43"/>
        <v>0</v>
      </c>
    </row>
    <row r="213" spans="1:19">
      <c r="A213" s="155"/>
      <c r="B213" s="57"/>
      <c r="C213" s="24">
        <f t="shared" si="34"/>
        <v>1</v>
      </c>
      <c r="D213" s="675"/>
      <c r="E213" s="24">
        <f t="shared" si="35"/>
        <v>1</v>
      </c>
      <c r="F213" s="675"/>
      <c r="G213" s="24">
        <f t="shared" si="36"/>
        <v>1</v>
      </c>
      <c r="H213" s="675"/>
      <c r="I213" s="24">
        <f t="shared" si="37"/>
        <v>1</v>
      </c>
      <c r="J213" s="675"/>
      <c r="K213" s="24">
        <f t="shared" si="38"/>
        <v>1</v>
      </c>
      <c r="L213" s="675"/>
      <c r="M213" s="24">
        <f t="shared" si="39"/>
        <v>1</v>
      </c>
      <c r="N213" s="675"/>
      <c r="O213" s="24">
        <f t="shared" si="40"/>
        <v>1</v>
      </c>
      <c r="P213" s="675"/>
      <c r="Q213" s="24">
        <f t="shared" si="41"/>
        <v>0</v>
      </c>
      <c r="R213" s="671">
        <f t="shared" si="42"/>
        <v>0</v>
      </c>
      <c r="S213" s="322">
        <f t="shared" si="43"/>
        <v>0</v>
      </c>
    </row>
    <row r="214" spans="1:19">
      <c r="A214" s="155"/>
      <c r="B214" s="57"/>
      <c r="C214" s="24">
        <f t="shared" si="34"/>
        <v>1</v>
      </c>
      <c r="D214" s="675"/>
      <c r="E214" s="24">
        <f t="shared" si="35"/>
        <v>1</v>
      </c>
      <c r="F214" s="675"/>
      <c r="G214" s="24">
        <f t="shared" si="36"/>
        <v>1</v>
      </c>
      <c r="H214" s="675"/>
      <c r="I214" s="24">
        <f t="shared" si="37"/>
        <v>1</v>
      </c>
      <c r="J214" s="675"/>
      <c r="K214" s="24">
        <f t="shared" si="38"/>
        <v>1</v>
      </c>
      <c r="L214" s="675"/>
      <c r="M214" s="24">
        <f t="shared" si="39"/>
        <v>1</v>
      </c>
      <c r="N214" s="675"/>
      <c r="O214" s="24">
        <f t="shared" si="40"/>
        <v>1</v>
      </c>
      <c r="P214" s="675"/>
      <c r="Q214" s="24">
        <f t="shared" si="41"/>
        <v>0</v>
      </c>
      <c r="R214" s="671">
        <f t="shared" si="42"/>
        <v>0</v>
      </c>
      <c r="S214" s="322">
        <f t="shared" si="43"/>
        <v>0</v>
      </c>
    </row>
    <row r="215" spans="1:19">
      <c r="A215" s="155"/>
      <c r="B215" s="57"/>
      <c r="C215" s="24">
        <f t="shared" si="34"/>
        <v>1</v>
      </c>
      <c r="D215" s="675"/>
      <c r="E215" s="24">
        <f t="shared" si="35"/>
        <v>1</v>
      </c>
      <c r="F215" s="675"/>
      <c r="G215" s="24">
        <f t="shared" si="36"/>
        <v>1</v>
      </c>
      <c r="H215" s="675"/>
      <c r="I215" s="24">
        <f t="shared" si="37"/>
        <v>1</v>
      </c>
      <c r="J215" s="675"/>
      <c r="K215" s="24">
        <f t="shared" si="38"/>
        <v>1</v>
      </c>
      <c r="L215" s="675"/>
      <c r="M215" s="24">
        <f t="shared" si="39"/>
        <v>1</v>
      </c>
      <c r="N215" s="675"/>
      <c r="O215" s="24">
        <f t="shared" si="40"/>
        <v>1</v>
      </c>
      <c r="P215" s="675"/>
      <c r="Q215" s="24">
        <f t="shared" si="41"/>
        <v>0</v>
      </c>
      <c r="R215" s="671">
        <f t="shared" si="42"/>
        <v>0</v>
      </c>
      <c r="S215" s="322">
        <f t="shared" si="43"/>
        <v>0</v>
      </c>
    </row>
    <row r="216" spans="1:19">
      <c r="A216" s="155"/>
      <c r="B216" s="57"/>
      <c r="C216" s="24">
        <f t="shared" si="34"/>
        <v>1</v>
      </c>
      <c r="D216" s="675"/>
      <c r="E216" s="24">
        <f t="shared" si="35"/>
        <v>1</v>
      </c>
      <c r="F216" s="675"/>
      <c r="G216" s="24">
        <f t="shared" si="36"/>
        <v>1</v>
      </c>
      <c r="H216" s="675"/>
      <c r="I216" s="24">
        <f t="shared" si="37"/>
        <v>1</v>
      </c>
      <c r="J216" s="675"/>
      <c r="K216" s="24">
        <f t="shared" si="38"/>
        <v>1</v>
      </c>
      <c r="L216" s="675"/>
      <c r="M216" s="24">
        <f t="shared" si="39"/>
        <v>1</v>
      </c>
      <c r="N216" s="675"/>
      <c r="O216" s="24">
        <f t="shared" si="40"/>
        <v>1</v>
      </c>
      <c r="P216" s="675"/>
      <c r="Q216" s="24">
        <f t="shared" si="41"/>
        <v>0</v>
      </c>
      <c r="R216" s="671">
        <f t="shared" si="42"/>
        <v>0</v>
      </c>
      <c r="S216" s="322">
        <f t="shared" si="43"/>
        <v>0</v>
      </c>
    </row>
    <row r="217" spans="1:19">
      <c r="A217" s="155"/>
      <c r="B217" s="57"/>
      <c r="C217" s="24">
        <f t="shared" si="34"/>
        <v>1</v>
      </c>
      <c r="D217" s="675"/>
      <c r="E217" s="24">
        <f t="shared" si="35"/>
        <v>1</v>
      </c>
      <c r="F217" s="675"/>
      <c r="G217" s="24">
        <f t="shared" si="36"/>
        <v>1</v>
      </c>
      <c r="H217" s="675"/>
      <c r="I217" s="24">
        <f t="shared" si="37"/>
        <v>1</v>
      </c>
      <c r="J217" s="675"/>
      <c r="K217" s="24">
        <f t="shared" si="38"/>
        <v>1</v>
      </c>
      <c r="L217" s="675"/>
      <c r="M217" s="24">
        <f t="shared" si="39"/>
        <v>1</v>
      </c>
      <c r="N217" s="675"/>
      <c r="O217" s="24">
        <f t="shared" si="40"/>
        <v>1</v>
      </c>
      <c r="P217" s="675"/>
      <c r="Q217" s="24">
        <f t="shared" si="41"/>
        <v>0</v>
      </c>
      <c r="R217" s="671">
        <f t="shared" si="42"/>
        <v>0</v>
      </c>
      <c r="S217" s="322">
        <f t="shared" si="43"/>
        <v>0</v>
      </c>
    </row>
    <row r="218" spans="1:19">
      <c r="A218" s="155"/>
      <c r="B218" s="57"/>
      <c r="C218" s="24">
        <f t="shared" ref="C218:C281" si="44">IF(B218="",1,(LOOKUP(B218,$3:$3,$4:$4)-LOOKUP($B$24,$3:$3,$4:$4)+100)/100)</f>
        <v>1</v>
      </c>
      <c r="D218" s="675"/>
      <c r="E218" s="24">
        <f t="shared" ref="E218:E281" si="45">(SUMIF($5:$5,D218,$6:$6)-SUMIF($5:$5,$D$24,$6:$6)+100)/100</f>
        <v>1</v>
      </c>
      <c r="F218" s="675"/>
      <c r="G218" s="24">
        <f t="shared" ref="G218:G281" si="46">(SUMIF($7:$7,F218,$8:$8)-SUMIF($7:$7,$F$24,$8:$8)+100)/100</f>
        <v>1</v>
      </c>
      <c r="H218" s="675"/>
      <c r="I218" s="24">
        <f t="shared" ref="I218:I281" si="47">(SUMIF($9:$9,H218,$10:$10)-SUMIF($9:$9,$H$24,$10:$10)+100)/100</f>
        <v>1</v>
      </c>
      <c r="J218" s="675"/>
      <c r="K218" s="24">
        <f t="shared" ref="K218:K281" si="48">(SUMIF($11:$11,J218,$12:$12)-SUMIF($11:$11,$J$24,$12:$12)+100)/100</f>
        <v>1</v>
      </c>
      <c r="L218" s="675"/>
      <c r="M218" s="24">
        <f t="shared" ref="M218:M281" si="49">(SUMIF($13:$13,L218,$14:$14)-SUMIF($13:$13,$L$24,$14:$14)+100)/100</f>
        <v>1</v>
      </c>
      <c r="N218" s="675"/>
      <c r="O218" s="24">
        <f t="shared" ref="O218:O281" si="50">(SUMIF($15:$15,N218,$16:$16)-SUMIF($15:$15,$N$24,$16:$16)+100)/100</f>
        <v>1</v>
      </c>
      <c r="P218" s="675"/>
      <c r="Q218" s="24">
        <f t="shared" ref="Q218:Q281" si="51">(SUMIF($17:$17,P218,$18:$18)-SUMIF($17:$17,$P$24,$18:$18)+100)/100</f>
        <v>0</v>
      </c>
      <c r="R218" s="671">
        <f t="shared" ref="R218:R281" si="52">IF(B218="",0,ROUND($R$24*C218*E218*G218*I218*K218*M218*O218*Q218,0))</f>
        <v>0</v>
      </c>
      <c r="S218" s="322">
        <f t="shared" si="43"/>
        <v>0</v>
      </c>
    </row>
    <row r="219" spans="1:19">
      <c r="A219" s="155"/>
      <c r="B219" s="57"/>
      <c r="C219" s="24">
        <f t="shared" si="44"/>
        <v>1</v>
      </c>
      <c r="D219" s="675"/>
      <c r="E219" s="24">
        <f t="shared" si="45"/>
        <v>1</v>
      </c>
      <c r="F219" s="675"/>
      <c r="G219" s="24">
        <f t="shared" si="46"/>
        <v>1</v>
      </c>
      <c r="H219" s="675"/>
      <c r="I219" s="24">
        <f t="shared" si="47"/>
        <v>1</v>
      </c>
      <c r="J219" s="675"/>
      <c r="K219" s="24">
        <f t="shared" si="48"/>
        <v>1</v>
      </c>
      <c r="L219" s="675"/>
      <c r="M219" s="24">
        <f t="shared" si="49"/>
        <v>1</v>
      </c>
      <c r="N219" s="675"/>
      <c r="O219" s="24">
        <f t="shared" si="50"/>
        <v>1</v>
      </c>
      <c r="P219" s="675"/>
      <c r="Q219" s="24">
        <f t="shared" si="51"/>
        <v>0</v>
      </c>
      <c r="R219" s="671">
        <f t="shared" si="52"/>
        <v>0</v>
      </c>
      <c r="S219" s="322">
        <f t="shared" si="43"/>
        <v>0</v>
      </c>
    </row>
    <row r="220" spans="1:19">
      <c r="A220" s="155"/>
      <c r="B220" s="57"/>
      <c r="C220" s="24">
        <f t="shared" si="44"/>
        <v>1</v>
      </c>
      <c r="D220" s="675"/>
      <c r="E220" s="24">
        <f t="shared" si="45"/>
        <v>1</v>
      </c>
      <c r="F220" s="675"/>
      <c r="G220" s="24">
        <f t="shared" si="46"/>
        <v>1</v>
      </c>
      <c r="H220" s="675"/>
      <c r="I220" s="24">
        <f t="shared" si="47"/>
        <v>1</v>
      </c>
      <c r="J220" s="675"/>
      <c r="K220" s="24">
        <f t="shared" si="48"/>
        <v>1</v>
      </c>
      <c r="L220" s="675"/>
      <c r="M220" s="24">
        <f t="shared" si="49"/>
        <v>1</v>
      </c>
      <c r="N220" s="675"/>
      <c r="O220" s="24">
        <f t="shared" si="50"/>
        <v>1</v>
      </c>
      <c r="P220" s="675"/>
      <c r="Q220" s="24">
        <f t="shared" si="51"/>
        <v>0</v>
      </c>
      <c r="R220" s="671">
        <f t="shared" si="52"/>
        <v>0</v>
      </c>
      <c r="S220" s="322">
        <f t="shared" si="43"/>
        <v>0</v>
      </c>
    </row>
    <row r="221" spans="1:19">
      <c r="A221" s="155"/>
      <c r="B221" s="57"/>
      <c r="C221" s="24">
        <f t="shared" si="44"/>
        <v>1</v>
      </c>
      <c r="D221" s="675"/>
      <c r="E221" s="24">
        <f t="shared" si="45"/>
        <v>1</v>
      </c>
      <c r="F221" s="675"/>
      <c r="G221" s="24">
        <f t="shared" si="46"/>
        <v>1</v>
      </c>
      <c r="H221" s="675"/>
      <c r="I221" s="24">
        <f t="shared" si="47"/>
        <v>1</v>
      </c>
      <c r="J221" s="675"/>
      <c r="K221" s="24">
        <f t="shared" si="48"/>
        <v>1</v>
      </c>
      <c r="L221" s="675"/>
      <c r="M221" s="24">
        <f t="shared" si="49"/>
        <v>1</v>
      </c>
      <c r="N221" s="675"/>
      <c r="O221" s="24">
        <f t="shared" si="50"/>
        <v>1</v>
      </c>
      <c r="P221" s="675"/>
      <c r="Q221" s="24">
        <f t="shared" si="51"/>
        <v>0</v>
      </c>
      <c r="R221" s="671">
        <f t="shared" si="52"/>
        <v>0</v>
      </c>
      <c r="S221" s="322">
        <f t="shared" si="43"/>
        <v>0</v>
      </c>
    </row>
    <row r="222" spans="1:19">
      <c r="A222" s="155"/>
      <c r="B222" s="57"/>
      <c r="C222" s="24">
        <f t="shared" si="44"/>
        <v>1</v>
      </c>
      <c r="D222" s="675"/>
      <c r="E222" s="24">
        <f t="shared" si="45"/>
        <v>1</v>
      </c>
      <c r="F222" s="675"/>
      <c r="G222" s="24">
        <f t="shared" si="46"/>
        <v>1</v>
      </c>
      <c r="H222" s="675"/>
      <c r="I222" s="24">
        <f t="shared" si="47"/>
        <v>1</v>
      </c>
      <c r="J222" s="675"/>
      <c r="K222" s="24">
        <f t="shared" si="48"/>
        <v>1</v>
      </c>
      <c r="L222" s="675"/>
      <c r="M222" s="24">
        <f t="shared" si="49"/>
        <v>1</v>
      </c>
      <c r="N222" s="675"/>
      <c r="O222" s="24">
        <f t="shared" si="50"/>
        <v>1</v>
      </c>
      <c r="P222" s="675"/>
      <c r="Q222" s="24">
        <f t="shared" si="51"/>
        <v>0</v>
      </c>
      <c r="R222" s="671">
        <f t="shared" si="52"/>
        <v>0</v>
      </c>
      <c r="S222" s="322">
        <f t="shared" si="43"/>
        <v>0</v>
      </c>
    </row>
    <row r="223" spans="1:19">
      <c r="A223" s="155"/>
      <c r="B223" s="57"/>
      <c r="C223" s="24">
        <f t="shared" si="44"/>
        <v>1</v>
      </c>
      <c r="D223" s="675"/>
      <c r="E223" s="24">
        <f t="shared" si="45"/>
        <v>1</v>
      </c>
      <c r="F223" s="675"/>
      <c r="G223" s="24">
        <f t="shared" si="46"/>
        <v>1</v>
      </c>
      <c r="H223" s="675"/>
      <c r="I223" s="24">
        <f t="shared" si="47"/>
        <v>1</v>
      </c>
      <c r="J223" s="675"/>
      <c r="K223" s="24">
        <f t="shared" si="48"/>
        <v>1</v>
      </c>
      <c r="L223" s="675"/>
      <c r="M223" s="24">
        <f t="shared" si="49"/>
        <v>1</v>
      </c>
      <c r="N223" s="675"/>
      <c r="O223" s="24">
        <f t="shared" si="50"/>
        <v>1</v>
      </c>
      <c r="P223" s="675"/>
      <c r="Q223" s="24">
        <f t="shared" si="51"/>
        <v>0</v>
      </c>
      <c r="R223" s="671">
        <f t="shared" si="52"/>
        <v>0</v>
      </c>
      <c r="S223" s="322">
        <f t="shared" ref="S223:S286" si="53">ROUND(R223*B223/10000,0)</f>
        <v>0</v>
      </c>
    </row>
    <row r="224" spans="1:19">
      <c r="A224" s="155"/>
      <c r="B224" s="57"/>
      <c r="C224" s="24">
        <f t="shared" si="44"/>
        <v>1</v>
      </c>
      <c r="D224" s="675"/>
      <c r="E224" s="24">
        <f t="shared" si="45"/>
        <v>1</v>
      </c>
      <c r="F224" s="675"/>
      <c r="G224" s="24">
        <f t="shared" si="46"/>
        <v>1</v>
      </c>
      <c r="H224" s="675"/>
      <c r="I224" s="24">
        <f t="shared" si="47"/>
        <v>1</v>
      </c>
      <c r="J224" s="675"/>
      <c r="K224" s="24">
        <f t="shared" si="48"/>
        <v>1</v>
      </c>
      <c r="L224" s="675"/>
      <c r="M224" s="24">
        <f t="shared" si="49"/>
        <v>1</v>
      </c>
      <c r="N224" s="675"/>
      <c r="O224" s="24">
        <f t="shared" si="50"/>
        <v>1</v>
      </c>
      <c r="P224" s="675"/>
      <c r="Q224" s="24">
        <f t="shared" si="51"/>
        <v>0</v>
      </c>
      <c r="R224" s="671">
        <f t="shared" si="52"/>
        <v>0</v>
      </c>
      <c r="S224" s="322">
        <f t="shared" si="53"/>
        <v>0</v>
      </c>
    </row>
    <row r="225" spans="1:19">
      <c r="A225" s="155"/>
      <c r="B225" s="57"/>
      <c r="C225" s="24">
        <f t="shared" si="44"/>
        <v>1</v>
      </c>
      <c r="D225" s="675"/>
      <c r="E225" s="24">
        <f t="shared" si="45"/>
        <v>1</v>
      </c>
      <c r="F225" s="675"/>
      <c r="G225" s="24">
        <f t="shared" si="46"/>
        <v>1</v>
      </c>
      <c r="H225" s="675"/>
      <c r="I225" s="24">
        <f t="shared" si="47"/>
        <v>1</v>
      </c>
      <c r="J225" s="675"/>
      <c r="K225" s="24">
        <f t="shared" si="48"/>
        <v>1</v>
      </c>
      <c r="L225" s="675"/>
      <c r="M225" s="24">
        <f t="shared" si="49"/>
        <v>1</v>
      </c>
      <c r="N225" s="675"/>
      <c r="O225" s="24">
        <f t="shared" si="50"/>
        <v>1</v>
      </c>
      <c r="P225" s="675"/>
      <c r="Q225" s="24">
        <f t="shared" si="51"/>
        <v>0</v>
      </c>
      <c r="R225" s="671">
        <f t="shared" si="52"/>
        <v>0</v>
      </c>
      <c r="S225" s="322">
        <f t="shared" si="53"/>
        <v>0</v>
      </c>
    </row>
    <row r="226" spans="1:19">
      <c r="A226" s="155"/>
      <c r="B226" s="57"/>
      <c r="C226" s="24">
        <f t="shared" si="44"/>
        <v>1</v>
      </c>
      <c r="D226" s="675"/>
      <c r="E226" s="24">
        <f t="shared" si="45"/>
        <v>1</v>
      </c>
      <c r="F226" s="675"/>
      <c r="G226" s="24">
        <f t="shared" si="46"/>
        <v>1</v>
      </c>
      <c r="H226" s="675"/>
      <c r="I226" s="24">
        <f t="shared" si="47"/>
        <v>1</v>
      </c>
      <c r="J226" s="675"/>
      <c r="K226" s="24">
        <f t="shared" si="48"/>
        <v>1</v>
      </c>
      <c r="L226" s="675"/>
      <c r="M226" s="24">
        <f t="shared" si="49"/>
        <v>1</v>
      </c>
      <c r="N226" s="675"/>
      <c r="O226" s="24">
        <f t="shared" si="50"/>
        <v>1</v>
      </c>
      <c r="P226" s="675"/>
      <c r="Q226" s="24">
        <f t="shared" si="51"/>
        <v>0</v>
      </c>
      <c r="R226" s="671">
        <f t="shared" si="52"/>
        <v>0</v>
      </c>
      <c r="S226" s="322">
        <f t="shared" si="53"/>
        <v>0</v>
      </c>
    </row>
    <row r="227" spans="1:19">
      <c r="A227" s="155"/>
      <c r="B227" s="57"/>
      <c r="C227" s="24">
        <f t="shared" si="44"/>
        <v>1</v>
      </c>
      <c r="D227" s="675"/>
      <c r="E227" s="24">
        <f t="shared" si="45"/>
        <v>1</v>
      </c>
      <c r="F227" s="675"/>
      <c r="G227" s="24">
        <f t="shared" si="46"/>
        <v>1</v>
      </c>
      <c r="H227" s="675"/>
      <c r="I227" s="24">
        <f t="shared" si="47"/>
        <v>1</v>
      </c>
      <c r="J227" s="675"/>
      <c r="K227" s="24">
        <f t="shared" si="48"/>
        <v>1</v>
      </c>
      <c r="L227" s="675"/>
      <c r="M227" s="24">
        <f t="shared" si="49"/>
        <v>1</v>
      </c>
      <c r="N227" s="675"/>
      <c r="O227" s="24">
        <f t="shared" si="50"/>
        <v>1</v>
      </c>
      <c r="P227" s="675"/>
      <c r="Q227" s="24">
        <f t="shared" si="51"/>
        <v>0</v>
      </c>
      <c r="R227" s="671">
        <f t="shared" si="52"/>
        <v>0</v>
      </c>
      <c r="S227" s="322">
        <f t="shared" si="53"/>
        <v>0</v>
      </c>
    </row>
    <row r="228" spans="1:19">
      <c r="A228" s="155"/>
      <c r="B228" s="57"/>
      <c r="C228" s="24">
        <f t="shared" si="44"/>
        <v>1</v>
      </c>
      <c r="D228" s="675"/>
      <c r="E228" s="24">
        <f t="shared" si="45"/>
        <v>1</v>
      </c>
      <c r="F228" s="675"/>
      <c r="G228" s="24">
        <f t="shared" si="46"/>
        <v>1</v>
      </c>
      <c r="H228" s="675"/>
      <c r="I228" s="24">
        <f t="shared" si="47"/>
        <v>1</v>
      </c>
      <c r="J228" s="675"/>
      <c r="K228" s="24">
        <f t="shared" si="48"/>
        <v>1</v>
      </c>
      <c r="L228" s="675"/>
      <c r="M228" s="24">
        <f t="shared" si="49"/>
        <v>1</v>
      </c>
      <c r="N228" s="675"/>
      <c r="O228" s="24">
        <f t="shared" si="50"/>
        <v>1</v>
      </c>
      <c r="P228" s="675"/>
      <c r="Q228" s="24">
        <f t="shared" si="51"/>
        <v>0</v>
      </c>
      <c r="R228" s="671">
        <f t="shared" si="52"/>
        <v>0</v>
      </c>
      <c r="S228" s="322">
        <f t="shared" si="53"/>
        <v>0</v>
      </c>
    </row>
    <row r="229" spans="1:19">
      <c r="A229" s="155"/>
      <c r="B229" s="57"/>
      <c r="C229" s="24">
        <f t="shared" si="44"/>
        <v>1</v>
      </c>
      <c r="D229" s="675"/>
      <c r="E229" s="24">
        <f t="shared" si="45"/>
        <v>1</v>
      </c>
      <c r="F229" s="675"/>
      <c r="G229" s="24">
        <f t="shared" si="46"/>
        <v>1</v>
      </c>
      <c r="H229" s="675"/>
      <c r="I229" s="24">
        <f t="shared" si="47"/>
        <v>1</v>
      </c>
      <c r="J229" s="675"/>
      <c r="K229" s="24">
        <f t="shared" si="48"/>
        <v>1</v>
      </c>
      <c r="L229" s="675"/>
      <c r="M229" s="24">
        <f t="shared" si="49"/>
        <v>1</v>
      </c>
      <c r="N229" s="675"/>
      <c r="O229" s="24">
        <f t="shared" si="50"/>
        <v>1</v>
      </c>
      <c r="P229" s="675"/>
      <c r="Q229" s="24">
        <f t="shared" si="51"/>
        <v>0</v>
      </c>
      <c r="R229" s="671">
        <f t="shared" si="52"/>
        <v>0</v>
      </c>
      <c r="S229" s="322">
        <f t="shared" si="53"/>
        <v>0</v>
      </c>
    </row>
    <row r="230" spans="1:19">
      <c r="A230" s="155"/>
      <c r="B230" s="57"/>
      <c r="C230" s="24">
        <f t="shared" si="44"/>
        <v>1</v>
      </c>
      <c r="D230" s="675"/>
      <c r="E230" s="24">
        <f t="shared" si="45"/>
        <v>1</v>
      </c>
      <c r="F230" s="675"/>
      <c r="G230" s="24">
        <f t="shared" si="46"/>
        <v>1</v>
      </c>
      <c r="H230" s="675"/>
      <c r="I230" s="24">
        <f t="shared" si="47"/>
        <v>1</v>
      </c>
      <c r="J230" s="675"/>
      <c r="K230" s="24">
        <f t="shared" si="48"/>
        <v>1</v>
      </c>
      <c r="L230" s="675"/>
      <c r="M230" s="24">
        <f t="shared" si="49"/>
        <v>1</v>
      </c>
      <c r="N230" s="675"/>
      <c r="O230" s="24">
        <f t="shared" si="50"/>
        <v>1</v>
      </c>
      <c r="P230" s="675"/>
      <c r="Q230" s="24">
        <f t="shared" si="51"/>
        <v>0</v>
      </c>
      <c r="R230" s="671">
        <f t="shared" si="52"/>
        <v>0</v>
      </c>
      <c r="S230" s="322">
        <f t="shared" si="53"/>
        <v>0</v>
      </c>
    </row>
    <row r="231" spans="1:19">
      <c r="A231" s="155"/>
      <c r="B231" s="57"/>
      <c r="C231" s="24">
        <f t="shared" si="44"/>
        <v>1</v>
      </c>
      <c r="D231" s="675"/>
      <c r="E231" s="24">
        <f t="shared" si="45"/>
        <v>1</v>
      </c>
      <c r="F231" s="675"/>
      <c r="G231" s="24">
        <f t="shared" si="46"/>
        <v>1</v>
      </c>
      <c r="H231" s="675"/>
      <c r="I231" s="24">
        <f t="shared" si="47"/>
        <v>1</v>
      </c>
      <c r="J231" s="675"/>
      <c r="K231" s="24">
        <f t="shared" si="48"/>
        <v>1</v>
      </c>
      <c r="L231" s="675"/>
      <c r="M231" s="24">
        <f t="shared" si="49"/>
        <v>1</v>
      </c>
      <c r="N231" s="675"/>
      <c r="O231" s="24">
        <f t="shared" si="50"/>
        <v>1</v>
      </c>
      <c r="P231" s="675"/>
      <c r="Q231" s="24">
        <f t="shared" si="51"/>
        <v>0</v>
      </c>
      <c r="R231" s="671">
        <f t="shared" si="52"/>
        <v>0</v>
      </c>
      <c r="S231" s="322">
        <f t="shared" si="53"/>
        <v>0</v>
      </c>
    </row>
    <row r="232" spans="1:19">
      <c r="A232" s="155"/>
      <c r="B232" s="57"/>
      <c r="C232" s="24">
        <f t="shared" si="44"/>
        <v>1</v>
      </c>
      <c r="D232" s="675"/>
      <c r="E232" s="24">
        <f t="shared" si="45"/>
        <v>1</v>
      </c>
      <c r="F232" s="675"/>
      <c r="G232" s="24">
        <f t="shared" si="46"/>
        <v>1</v>
      </c>
      <c r="H232" s="675"/>
      <c r="I232" s="24">
        <f t="shared" si="47"/>
        <v>1</v>
      </c>
      <c r="J232" s="675"/>
      <c r="K232" s="24">
        <f t="shared" si="48"/>
        <v>1</v>
      </c>
      <c r="L232" s="675"/>
      <c r="M232" s="24">
        <f t="shared" si="49"/>
        <v>1</v>
      </c>
      <c r="N232" s="675"/>
      <c r="O232" s="24">
        <f t="shared" si="50"/>
        <v>1</v>
      </c>
      <c r="P232" s="675"/>
      <c r="Q232" s="24">
        <f t="shared" si="51"/>
        <v>0</v>
      </c>
      <c r="R232" s="671">
        <f t="shared" si="52"/>
        <v>0</v>
      </c>
      <c r="S232" s="322">
        <f t="shared" si="53"/>
        <v>0</v>
      </c>
    </row>
    <row r="233" spans="1:19">
      <c r="A233" s="155"/>
      <c r="B233" s="57"/>
      <c r="C233" s="24">
        <f t="shared" si="44"/>
        <v>1</v>
      </c>
      <c r="D233" s="675"/>
      <c r="E233" s="24">
        <f t="shared" si="45"/>
        <v>1</v>
      </c>
      <c r="F233" s="675"/>
      <c r="G233" s="24">
        <f t="shared" si="46"/>
        <v>1</v>
      </c>
      <c r="H233" s="675"/>
      <c r="I233" s="24">
        <f t="shared" si="47"/>
        <v>1</v>
      </c>
      <c r="J233" s="675"/>
      <c r="K233" s="24">
        <f t="shared" si="48"/>
        <v>1</v>
      </c>
      <c r="L233" s="675"/>
      <c r="M233" s="24">
        <f t="shared" si="49"/>
        <v>1</v>
      </c>
      <c r="N233" s="675"/>
      <c r="O233" s="24">
        <f t="shared" si="50"/>
        <v>1</v>
      </c>
      <c r="P233" s="675"/>
      <c r="Q233" s="24">
        <f t="shared" si="51"/>
        <v>0</v>
      </c>
      <c r="R233" s="671">
        <f t="shared" si="52"/>
        <v>0</v>
      </c>
      <c r="S233" s="322">
        <f t="shared" si="53"/>
        <v>0</v>
      </c>
    </row>
    <row r="234" spans="1:19">
      <c r="A234" s="155"/>
      <c r="B234" s="57"/>
      <c r="C234" s="24">
        <f t="shared" si="44"/>
        <v>1</v>
      </c>
      <c r="D234" s="675"/>
      <c r="E234" s="24">
        <f t="shared" si="45"/>
        <v>1</v>
      </c>
      <c r="F234" s="675"/>
      <c r="G234" s="24">
        <f t="shared" si="46"/>
        <v>1</v>
      </c>
      <c r="H234" s="675"/>
      <c r="I234" s="24">
        <f t="shared" si="47"/>
        <v>1</v>
      </c>
      <c r="J234" s="675"/>
      <c r="K234" s="24">
        <f t="shared" si="48"/>
        <v>1</v>
      </c>
      <c r="L234" s="675"/>
      <c r="M234" s="24">
        <f t="shared" si="49"/>
        <v>1</v>
      </c>
      <c r="N234" s="675"/>
      <c r="O234" s="24">
        <f t="shared" si="50"/>
        <v>1</v>
      </c>
      <c r="P234" s="675"/>
      <c r="Q234" s="24">
        <f t="shared" si="51"/>
        <v>0</v>
      </c>
      <c r="R234" s="671">
        <f t="shared" si="52"/>
        <v>0</v>
      </c>
      <c r="S234" s="322">
        <f t="shared" si="53"/>
        <v>0</v>
      </c>
    </row>
    <row r="235" spans="1:19">
      <c r="A235" s="155"/>
      <c r="B235" s="57"/>
      <c r="C235" s="24">
        <f t="shared" si="44"/>
        <v>1</v>
      </c>
      <c r="D235" s="675"/>
      <c r="E235" s="24">
        <f t="shared" si="45"/>
        <v>1</v>
      </c>
      <c r="F235" s="675"/>
      <c r="G235" s="24">
        <f t="shared" si="46"/>
        <v>1</v>
      </c>
      <c r="H235" s="675"/>
      <c r="I235" s="24">
        <f t="shared" si="47"/>
        <v>1</v>
      </c>
      <c r="J235" s="675"/>
      <c r="K235" s="24">
        <f t="shared" si="48"/>
        <v>1</v>
      </c>
      <c r="L235" s="675"/>
      <c r="M235" s="24">
        <f t="shared" si="49"/>
        <v>1</v>
      </c>
      <c r="N235" s="675"/>
      <c r="O235" s="24">
        <f t="shared" si="50"/>
        <v>1</v>
      </c>
      <c r="P235" s="675"/>
      <c r="Q235" s="24">
        <f t="shared" si="51"/>
        <v>0</v>
      </c>
      <c r="R235" s="671">
        <f t="shared" si="52"/>
        <v>0</v>
      </c>
      <c r="S235" s="322">
        <f t="shared" si="53"/>
        <v>0</v>
      </c>
    </row>
    <row r="236" spans="1:19">
      <c r="A236" s="155"/>
      <c r="B236" s="57"/>
      <c r="C236" s="24">
        <f t="shared" si="44"/>
        <v>1</v>
      </c>
      <c r="D236" s="675"/>
      <c r="E236" s="24">
        <f t="shared" si="45"/>
        <v>1</v>
      </c>
      <c r="F236" s="675"/>
      <c r="G236" s="24">
        <f t="shared" si="46"/>
        <v>1</v>
      </c>
      <c r="H236" s="675"/>
      <c r="I236" s="24">
        <f t="shared" si="47"/>
        <v>1</v>
      </c>
      <c r="J236" s="675"/>
      <c r="K236" s="24">
        <f t="shared" si="48"/>
        <v>1</v>
      </c>
      <c r="L236" s="675"/>
      <c r="M236" s="24">
        <f t="shared" si="49"/>
        <v>1</v>
      </c>
      <c r="N236" s="675"/>
      <c r="O236" s="24">
        <f t="shared" si="50"/>
        <v>1</v>
      </c>
      <c r="P236" s="675"/>
      <c r="Q236" s="24">
        <f t="shared" si="51"/>
        <v>0</v>
      </c>
      <c r="R236" s="671">
        <f t="shared" si="52"/>
        <v>0</v>
      </c>
      <c r="S236" s="322">
        <f t="shared" si="53"/>
        <v>0</v>
      </c>
    </row>
    <row r="237" spans="1:19">
      <c r="A237" s="155"/>
      <c r="B237" s="57"/>
      <c r="C237" s="24">
        <f t="shared" si="44"/>
        <v>1</v>
      </c>
      <c r="D237" s="675"/>
      <c r="E237" s="24">
        <f t="shared" si="45"/>
        <v>1</v>
      </c>
      <c r="F237" s="675"/>
      <c r="G237" s="24">
        <f t="shared" si="46"/>
        <v>1</v>
      </c>
      <c r="H237" s="675"/>
      <c r="I237" s="24">
        <f t="shared" si="47"/>
        <v>1</v>
      </c>
      <c r="J237" s="675"/>
      <c r="K237" s="24">
        <f t="shared" si="48"/>
        <v>1</v>
      </c>
      <c r="L237" s="675"/>
      <c r="M237" s="24">
        <f t="shared" si="49"/>
        <v>1</v>
      </c>
      <c r="N237" s="675"/>
      <c r="O237" s="24">
        <f t="shared" si="50"/>
        <v>1</v>
      </c>
      <c r="P237" s="675"/>
      <c r="Q237" s="24">
        <f t="shared" si="51"/>
        <v>0</v>
      </c>
      <c r="R237" s="671">
        <f t="shared" si="52"/>
        <v>0</v>
      </c>
      <c r="S237" s="322">
        <f t="shared" si="53"/>
        <v>0</v>
      </c>
    </row>
    <row r="238" spans="1:19">
      <c r="A238" s="155"/>
      <c r="B238" s="57"/>
      <c r="C238" s="24">
        <f t="shared" si="44"/>
        <v>1</v>
      </c>
      <c r="D238" s="675"/>
      <c r="E238" s="24">
        <f t="shared" si="45"/>
        <v>1</v>
      </c>
      <c r="F238" s="675"/>
      <c r="G238" s="24">
        <f t="shared" si="46"/>
        <v>1</v>
      </c>
      <c r="H238" s="675"/>
      <c r="I238" s="24">
        <f t="shared" si="47"/>
        <v>1</v>
      </c>
      <c r="J238" s="675"/>
      <c r="K238" s="24">
        <f t="shared" si="48"/>
        <v>1</v>
      </c>
      <c r="L238" s="675"/>
      <c r="M238" s="24">
        <f t="shared" si="49"/>
        <v>1</v>
      </c>
      <c r="N238" s="675"/>
      <c r="O238" s="24">
        <f t="shared" si="50"/>
        <v>1</v>
      </c>
      <c r="P238" s="675"/>
      <c r="Q238" s="24">
        <f t="shared" si="51"/>
        <v>0</v>
      </c>
      <c r="R238" s="671">
        <f t="shared" si="52"/>
        <v>0</v>
      </c>
      <c r="S238" s="322">
        <f t="shared" si="53"/>
        <v>0</v>
      </c>
    </row>
    <row r="239" spans="1:19">
      <c r="A239" s="155"/>
      <c r="B239" s="57"/>
      <c r="C239" s="24">
        <f t="shared" si="44"/>
        <v>1</v>
      </c>
      <c r="D239" s="675"/>
      <c r="E239" s="24">
        <f t="shared" si="45"/>
        <v>1</v>
      </c>
      <c r="F239" s="675"/>
      <c r="G239" s="24">
        <f t="shared" si="46"/>
        <v>1</v>
      </c>
      <c r="H239" s="675"/>
      <c r="I239" s="24">
        <f t="shared" si="47"/>
        <v>1</v>
      </c>
      <c r="J239" s="675"/>
      <c r="K239" s="24">
        <f t="shared" si="48"/>
        <v>1</v>
      </c>
      <c r="L239" s="675"/>
      <c r="M239" s="24">
        <f t="shared" si="49"/>
        <v>1</v>
      </c>
      <c r="N239" s="675"/>
      <c r="O239" s="24">
        <f t="shared" si="50"/>
        <v>1</v>
      </c>
      <c r="P239" s="675"/>
      <c r="Q239" s="24">
        <f t="shared" si="51"/>
        <v>0</v>
      </c>
      <c r="R239" s="671">
        <f t="shared" si="52"/>
        <v>0</v>
      </c>
      <c r="S239" s="322">
        <f t="shared" si="53"/>
        <v>0</v>
      </c>
    </row>
    <row r="240" spans="1:19">
      <c r="A240" s="155"/>
      <c r="B240" s="57"/>
      <c r="C240" s="24">
        <f t="shared" si="44"/>
        <v>1</v>
      </c>
      <c r="D240" s="675"/>
      <c r="E240" s="24">
        <f t="shared" si="45"/>
        <v>1</v>
      </c>
      <c r="F240" s="675"/>
      <c r="G240" s="24">
        <f t="shared" si="46"/>
        <v>1</v>
      </c>
      <c r="H240" s="675"/>
      <c r="I240" s="24">
        <f t="shared" si="47"/>
        <v>1</v>
      </c>
      <c r="J240" s="675"/>
      <c r="K240" s="24">
        <f t="shared" si="48"/>
        <v>1</v>
      </c>
      <c r="L240" s="675"/>
      <c r="M240" s="24">
        <f t="shared" si="49"/>
        <v>1</v>
      </c>
      <c r="N240" s="675"/>
      <c r="O240" s="24">
        <f t="shared" si="50"/>
        <v>1</v>
      </c>
      <c r="P240" s="675"/>
      <c r="Q240" s="24">
        <f t="shared" si="51"/>
        <v>0</v>
      </c>
      <c r="R240" s="671">
        <f t="shared" si="52"/>
        <v>0</v>
      </c>
      <c r="S240" s="322">
        <f t="shared" si="53"/>
        <v>0</v>
      </c>
    </row>
    <row r="241" spans="1:19">
      <c r="A241" s="155"/>
      <c r="B241" s="57"/>
      <c r="C241" s="24">
        <f t="shared" si="44"/>
        <v>1</v>
      </c>
      <c r="D241" s="675"/>
      <c r="E241" s="24">
        <f t="shared" si="45"/>
        <v>1</v>
      </c>
      <c r="F241" s="675"/>
      <c r="G241" s="24">
        <f t="shared" si="46"/>
        <v>1</v>
      </c>
      <c r="H241" s="675"/>
      <c r="I241" s="24">
        <f t="shared" si="47"/>
        <v>1</v>
      </c>
      <c r="J241" s="675"/>
      <c r="K241" s="24">
        <f t="shared" si="48"/>
        <v>1</v>
      </c>
      <c r="L241" s="675"/>
      <c r="M241" s="24">
        <f t="shared" si="49"/>
        <v>1</v>
      </c>
      <c r="N241" s="675"/>
      <c r="O241" s="24">
        <f t="shared" si="50"/>
        <v>1</v>
      </c>
      <c r="P241" s="675"/>
      <c r="Q241" s="24">
        <f t="shared" si="51"/>
        <v>0</v>
      </c>
      <c r="R241" s="671">
        <f t="shared" si="52"/>
        <v>0</v>
      </c>
      <c r="S241" s="322">
        <f t="shared" si="53"/>
        <v>0</v>
      </c>
    </row>
    <row r="242" spans="1:19">
      <c r="A242" s="155"/>
      <c r="B242" s="57"/>
      <c r="C242" s="24">
        <f t="shared" si="44"/>
        <v>1</v>
      </c>
      <c r="D242" s="675"/>
      <c r="E242" s="24">
        <f t="shared" si="45"/>
        <v>1</v>
      </c>
      <c r="F242" s="675"/>
      <c r="G242" s="24">
        <f t="shared" si="46"/>
        <v>1</v>
      </c>
      <c r="H242" s="675"/>
      <c r="I242" s="24">
        <f t="shared" si="47"/>
        <v>1</v>
      </c>
      <c r="J242" s="675"/>
      <c r="K242" s="24">
        <f t="shared" si="48"/>
        <v>1</v>
      </c>
      <c r="L242" s="675"/>
      <c r="M242" s="24">
        <f t="shared" si="49"/>
        <v>1</v>
      </c>
      <c r="N242" s="675"/>
      <c r="O242" s="24">
        <f t="shared" si="50"/>
        <v>1</v>
      </c>
      <c r="P242" s="675"/>
      <c r="Q242" s="24">
        <f t="shared" si="51"/>
        <v>0</v>
      </c>
      <c r="R242" s="671">
        <f t="shared" si="52"/>
        <v>0</v>
      </c>
      <c r="S242" s="322">
        <f t="shared" si="53"/>
        <v>0</v>
      </c>
    </row>
    <row r="243" spans="1:19">
      <c r="A243" s="155"/>
      <c r="B243" s="57"/>
      <c r="C243" s="24">
        <f t="shared" si="44"/>
        <v>1</v>
      </c>
      <c r="D243" s="675"/>
      <c r="E243" s="24">
        <f t="shared" si="45"/>
        <v>1</v>
      </c>
      <c r="F243" s="675"/>
      <c r="G243" s="24">
        <f t="shared" si="46"/>
        <v>1</v>
      </c>
      <c r="H243" s="675"/>
      <c r="I243" s="24">
        <f t="shared" si="47"/>
        <v>1</v>
      </c>
      <c r="J243" s="675"/>
      <c r="K243" s="24">
        <f t="shared" si="48"/>
        <v>1</v>
      </c>
      <c r="L243" s="675"/>
      <c r="M243" s="24">
        <f t="shared" si="49"/>
        <v>1</v>
      </c>
      <c r="N243" s="675"/>
      <c r="O243" s="24">
        <f t="shared" si="50"/>
        <v>1</v>
      </c>
      <c r="P243" s="675"/>
      <c r="Q243" s="24">
        <f t="shared" si="51"/>
        <v>0</v>
      </c>
      <c r="R243" s="671">
        <f t="shared" si="52"/>
        <v>0</v>
      </c>
      <c r="S243" s="322">
        <f t="shared" si="53"/>
        <v>0</v>
      </c>
    </row>
    <row r="244" spans="1:19">
      <c r="A244" s="155"/>
      <c r="B244" s="57"/>
      <c r="C244" s="24">
        <f t="shared" si="44"/>
        <v>1</v>
      </c>
      <c r="D244" s="675"/>
      <c r="E244" s="24">
        <f t="shared" si="45"/>
        <v>1</v>
      </c>
      <c r="F244" s="675"/>
      <c r="G244" s="24">
        <f t="shared" si="46"/>
        <v>1</v>
      </c>
      <c r="H244" s="675"/>
      <c r="I244" s="24">
        <f t="shared" si="47"/>
        <v>1</v>
      </c>
      <c r="J244" s="675"/>
      <c r="K244" s="24">
        <f t="shared" si="48"/>
        <v>1</v>
      </c>
      <c r="L244" s="675"/>
      <c r="M244" s="24">
        <f t="shared" si="49"/>
        <v>1</v>
      </c>
      <c r="N244" s="675"/>
      <c r="O244" s="24">
        <f t="shared" si="50"/>
        <v>1</v>
      </c>
      <c r="P244" s="675"/>
      <c r="Q244" s="24">
        <f t="shared" si="51"/>
        <v>0</v>
      </c>
      <c r="R244" s="671">
        <f t="shared" si="52"/>
        <v>0</v>
      </c>
      <c r="S244" s="322">
        <f t="shared" si="53"/>
        <v>0</v>
      </c>
    </row>
    <row r="245" spans="1:19">
      <c r="A245" s="155"/>
      <c r="B245" s="57"/>
      <c r="C245" s="24">
        <f t="shared" si="44"/>
        <v>1</v>
      </c>
      <c r="D245" s="675"/>
      <c r="E245" s="24">
        <f t="shared" si="45"/>
        <v>1</v>
      </c>
      <c r="F245" s="675"/>
      <c r="G245" s="24">
        <f t="shared" si="46"/>
        <v>1</v>
      </c>
      <c r="H245" s="675"/>
      <c r="I245" s="24">
        <f t="shared" si="47"/>
        <v>1</v>
      </c>
      <c r="J245" s="675"/>
      <c r="K245" s="24">
        <f t="shared" si="48"/>
        <v>1</v>
      </c>
      <c r="L245" s="675"/>
      <c r="M245" s="24">
        <f t="shared" si="49"/>
        <v>1</v>
      </c>
      <c r="N245" s="675"/>
      <c r="O245" s="24">
        <f t="shared" si="50"/>
        <v>1</v>
      </c>
      <c r="P245" s="675"/>
      <c r="Q245" s="24">
        <f t="shared" si="51"/>
        <v>0</v>
      </c>
      <c r="R245" s="671">
        <f t="shared" si="52"/>
        <v>0</v>
      </c>
      <c r="S245" s="322">
        <f t="shared" si="53"/>
        <v>0</v>
      </c>
    </row>
    <row r="246" spans="1:19">
      <c r="A246" s="155"/>
      <c r="B246" s="57"/>
      <c r="C246" s="24">
        <f t="shared" si="44"/>
        <v>1</v>
      </c>
      <c r="D246" s="675"/>
      <c r="E246" s="24">
        <f t="shared" si="45"/>
        <v>1</v>
      </c>
      <c r="F246" s="675"/>
      <c r="G246" s="24">
        <f t="shared" si="46"/>
        <v>1</v>
      </c>
      <c r="H246" s="675"/>
      <c r="I246" s="24">
        <f t="shared" si="47"/>
        <v>1</v>
      </c>
      <c r="J246" s="675"/>
      <c r="K246" s="24">
        <f t="shared" si="48"/>
        <v>1</v>
      </c>
      <c r="L246" s="675"/>
      <c r="M246" s="24">
        <f t="shared" si="49"/>
        <v>1</v>
      </c>
      <c r="N246" s="675"/>
      <c r="O246" s="24">
        <f t="shared" si="50"/>
        <v>1</v>
      </c>
      <c r="P246" s="675"/>
      <c r="Q246" s="24">
        <f t="shared" si="51"/>
        <v>0</v>
      </c>
      <c r="R246" s="671">
        <f t="shared" si="52"/>
        <v>0</v>
      </c>
      <c r="S246" s="322">
        <f t="shared" si="53"/>
        <v>0</v>
      </c>
    </row>
    <row r="247" spans="1:19">
      <c r="A247" s="155"/>
      <c r="B247" s="57"/>
      <c r="C247" s="24">
        <f t="shared" si="44"/>
        <v>1</v>
      </c>
      <c r="D247" s="675"/>
      <c r="E247" s="24">
        <f t="shared" si="45"/>
        <v>1</v>
      </c>
      <c r="F247" s="675"/>
      <c r="G247" s="24">
        <f t="shared" si="46"/>
        <v>1</v>
      </c>
      <c r="H247" s="675"/>
      <c r="I247" s="24">
        <f t="shared" si="47"/>
        <v>1</v>
      </c>
      <c r="J247" s="675"/>
      <c r="K247" s="24">
        <f t="shared" si="48"/>
        <v>1</v>
      </c>
      <c r="L247" s="675"/>
      <c r="M247" s="24">
        <f t="shared" si="49"/>
        <v>1</v>
      </c>
      <c r="N247" s="675"/>
      <c r="O247" s="24">
        <f t="shared" si="50"/>
        <v>1</v>
      </c>
      <c r="P247" s="675"/>
      <c r="Q247" s="24">
        <f t="shared" si="51"/>
        <v>0</v>
      </c>
      <c r="R247" s="671">
        <f t="shared" si="52"/>
        <v>0</v>
      </c>
      <c r="S247" s="322">
        <f t="shared" si="53"/>
        <v>0</v>
      </c>
    </row>
    <row r="248" spans="1:19">
      <c r="A248" s="155"/>
      <c r="B248" s="57"/>
      <c r="C248" s="24">
        <f t="shared" si="44"/>
        <v>1</v>
      </c>
      <c r="D248" s="675"/>
      <c r="E248" s="24">
        <f t="shared" si="45"/>
        <v>1</v>
      </c>
      <c r="F248" s="675"/>
      <c r="G248" s="24">
        <f t="shared" si="46"/>
        <v>1</v>
      </c>
      <c r="H248" s="675"/>
      <c r="I248" s="24">
        <f t="shared" si="47"/>
        <v>1</v>
      </c>
      <c r="J248" s="675"/>
      <c r="K248" s="24">
        <f t="shared" si="48"/>
        <v>1</v>
      </c>
      <c r="L248" s="675"/>
      <c r="M248" s="24">
        <f t="shared" si="49"/>
        <v>1</v>
      </c>
      <c r="N248" s="675"/>
      <c r="O248" s="24">
        <f t="shared" si="50"/>
        <v>1</v>
      </c>
      <c r="P248" s="675"/>
      <c r="Q248" s="24">
        <f t="shared" si="51"/>
        <v>0</v>
      </c>
      <c r="R248" s="671">
        <f t="shared" si="52"/>
        <v>0</v>
      </c>
      <c r="S248" s="322">
        <f t="shared" si="53"/>
        <v>0</v>
      </c>
    </row>
    <row r="249" spans="1:19">
      <c r="A249" s="155"/>
      <c r="B249" s="57"/>
      <c r="C249" s="24">
        <f t="shared" si="44"/>
        <v>1</v>
      </c>
      <c r="D249" s="675"/>
      <c r="E249" s="24">
        <f t="shared" si="45"/>
        <v>1</v>
      </c>
      <c r="F249" s="675"/>
      <c r="G249" s="24">
        <f t="shared" si="46"/>
        <v>1</v>
      </c>
      <c r="H249" s="675"/>
      <c r="I249" s="24">
        <f t="shared" si="47"/>
        <v>1</v>
      </c>
      <c r="J249" s="675"/>
      <c r="K249" s="24">
        <f t="shared" si="48"/>
        <v>1</v>
      </c>
      <c r="L249" s="675"/>
      <c r="M249" s="24">
        <f t="shared" si="49"/>
        <v>1</v>
      </c>
      <c r="N249" s="675"/>
      <c r="O249" s="24">
        <f t="shared" si="50"/>
        <v>1</v>
      </c>
      <c r="P249" s="675"/>
      <c r="Q249" s="24">
        <f t="shared" si="51"/>
        <v>0</v>
      </c>
      <c r="R249" s="671">
        <f t="shared" si="52"/>
        <v>0</v>
      </c>
      <c r="S249" s="322">
        <f t="shared" si="53"/>
        <v>0</v>
      </c>
    </row>
    <row r="250" spans="1:19">
      <c r="A250" s="155"/>
      <c r="B250" s="57"/>
      <c r="C250" s="24">
        <f t="shared" si="44"/>
        <v>1</v>
      </c>
      <c r="D250" s="675"/>
      <c r="E250" s="24">
        <f t="shared" si="45"/>
        <v>1</v>
      </c>
      <c r="F250" s="675"/>
      <c r="G250" s="24">
        <f t="shared" si="46"/>
        <v>1</v>
      </c>
      <c r="H250" s="675"/>
      <c r="I250" s="24">
        <f t="shared" si="47"/>
        <v>1</v>
      </c>
      <c r="J250" s="675"/>
      <c r="K250" s="24">
        <f t="shared" si="48"/>
        <v>1</v>
      </c>
      <c r="L250" s="675"/>
      <c r="M250" s="24">
        <f t="shared" si="49"/>
        <v>1</v>
      </c>
      <c r="N250" s="675"/>
      <c r="O250" s="24">
        <f t="shared" si="50"/>
        <v>1</v>
      </c>
      <c r="P250" s="675"/>
      <c r="Q250" s="24">
        <f t="shared" si="51"/>
        <v>0</v>
      </c>
      <c r="R250" s="671">
        <f t="shared" si="52"/>
        <v>0</v>
      </c>
      <c r="S250" s="322">
        <f t="shared" si="53"/>
        <v>0</v>
      </c>
    </row>
    <row r="251" spans="1:19">
      <c r="A251" s="155"/>
      <c r="B251" s="57"/>
      <c r="C251" s="24">
        <f t="shared" si="44"/>
        <v>1</v>
      </c>
      <c r="D251" s="675"/>
      <c r="E251" s="24">
        <f t="shared" si="45"/>
        <v>1</v>
      </c>
      <c r="F251" s="675"/>
      <c r="G251" s="24">
        <f t="shared" si="46"/>
        <v>1</v>
      </c>
      <c r="H251" s="675"/>
      <c r="I251" s="24">
        <f t="shared" si="47"/>
        <v>1</v>
      </c>
      <c r="J251" s="675"/>
      <c r="K251" s="24">
        <f t="shared" si="48"/>
        <v>1</v>
      </c>
      <c r="L251" s="675"/>
      <c r="M251" s="24">
        <f t="shared" si="49"/>
        <v>1</v>
      </c>
      <c r="N251" s="675"/>
      <c r="O251" s="24">
        <f t="shared" si="50"/>
        <v>1</v>
      </c>
      <c r="P251" s="675"/>
      <c r="Q251" s="24">
        <f t="shared" si="51"/>
        <v>0</v>
      </c>
      <c r="R251" s="671">
        <f t="shared" si="52"/>
        <v>0</v>
      </c>
      <c r="S251" s="322">
        <f t="shared" si="53"/>
        <v>0</v>
      </c>
    </row>
    <row r="252" spans="1:19">
      <c r="A252" s="155"/>
      <c r="B252" s="57"/>
      <c r="C252" s="24">
        <f t="shared" si="44"/>
        <v>1</v>
      </c>
      <c r="D252" s="675"/>
      <c r="E252" s="24">
        <f t="shared" si="45"/>
        <v>1</v>
      </c>
      <c r="F252" s="675"/>
      <c r="G252" s="24">
        <f t="shared" si="46"/>
        <v>1</v>
      </c>
      <c r="H252" s="675"/>
      <c r="I252" s="24">
        <f t="shared" si="47"/>
        <v>1</v>
      </c>
      <c r="J252" s="675"/>
      <c r="K252" s="24">
        <f t="shared" si="48"/>
        <v>1</v>
      </c>
      <c r="L252" s="675"/>
      <c r="M252" s="24">
        <f t="shared" si="49"/>
        <v>1</v>
      </c>
      <c r="N252" s="675"/>
      <c r="O252" s="24">
        <f t="shared" si="50"/>
        <v>1</v>
      </c>
      <c r="P252" s="675"/>
      <c r="Q252" s="24">
        <f t="shared" si="51"/>
        <v>0</v>
      </c>
      <c r="R252" s="671">
        <f t="shared" si="52"/>
        <v>0</v>
      </c>
      <c r="S252" s="322">
        <f t="shared" si="53"/>
        <v>0</v>
      </c>
    </row>
    <row r="253" spans="1:19">
      <c r="A253" s="155"/>
      <c r="B253" s="57"/>
      <c r="C253" s="24">
        <f t="shared" si="44"/>
        <v>1</v>
      </c>
      <c r="D253" s="675"/>
      <c r="E253" s="24">
        <f t="shared" si="45"/>
        <v>1</v>
      </c>
      <c r="F253" s="675"/>
      <c r="G253" s="24">
        <f t="shared" si="46"/>
        <v>1</v>
      </c>
      <c r="H253" s="675"/>
      <c r="I253" s="24">
        <f t="shared" si="47"/>
        <v>1</v>
      </c>
      <c r="J253" s="675"/>
      <c r="K253" s="24">
        <f t="shared" si="48"/>
        <v>1</v>
      </c>
      <c r="L253" s="675"/>
      <c r="M253" s="24">
        <f t="shared" si="49"/>
        <v>1</v>
      </c>
      <c r="N253" s="675"/>
      <c r="O253" s="24">
        <f t="shared" si="50"/>
        <v>1</v>
      </c>
      <c r="P253" s="675"/>
      <c r="Q253" s="24">
        <f t="shared" si="51"/>
        <v>0</v>
      </c>
      <c r="R253" s="671">
        <f t="shared" si="52"/>
        <v>0</v>
      </c>
      <c r="S253" s="322">
        <f t="shared" si="53"/>
        <v>0</v>
      </c>
    </row>
    <row r="254" spans="1:19">
      <c r="A254" s="155"/>
      <c r="B254" s="57"/>
      <c r="C254" s="24">
        <f t="shared" si="44"/>
        <v>1</v>
      </c>
      <c r="D254" s="675"/>
      <c r="E254" s="24">
        <f t="shared" si="45"/>
        <v>1</v>
      </c>
      <c r="F254" s="675"/>
      <c r="G254" s="24">
        <f t="shared" si="46"/>
        <v>1</v>
      </c>
      <c r="H254" s="675"/>
      <c r="I254" s="24">
        <f t="shared" si="47"/>
        <v>1</v>
      </c>
      <c r="J254" s="675"/>
      <c r="K254" s="24">
        <f t="shared" si="48"/>
        <v>1</v>
      </c>
      <c r="L254" s="675"/>
      <c r="M254" s="24">
        <f t="shared" si="49"/>
        <v>1</v>
      </c>
      <c r="N254" s="675"/>
      <c r="O254" s="24">
        <f t="shared" si="50"/>
        <v>1</v>
      </c>
      <c r="P254" s="675"/>
      <c r="Q254" s="24">
        <f t="shared" si="51"/>
        <v>0</v>
      </c>
      <c r="R254" s="671">
        <f t="shared" si="52"/>
        <v>0</v>
      </c>
      <c r="S254" s="322">
        <f t="shared" si="53"/>
        <v>0</v>
      </c>
    </row>
    <row r="255" spans="1:19">
      <c r="A255" s="155"/>
      <c r="B255" s="57"/>
      <c r="C255" s="24">
        <f t="shared" si="44"/>
        <v>1</v>
      </c>
      <c r="D255" s="675"/>
      <c r="E255" s="24">
        <f t="shared" si="45"/>
        <v>1</v>
      </c>
      <c r="F255" s="675"/>
      <c r="G255" s="24">
        <f t="shared" si="46"/>
        <v>1</v>
      </c>
      <c r="H255" s="675"/>
      <c r="I255" s="24">
        <f t="shared" si="47"/>
        <v>1</v>
      </c>
      <c r="J255" s="675"/>
      <c r="K255" s="24">
        <f t="shared" si="48"/>
        <v>1</v>
      </c>
      <c r="L255" s="675"/>
      <c r="M255" s="24">
        <f t="shared" si="49"/>
        <v>1</v>
      </c>
      <c r="N255" s="675"/>
      <c r="O255" s="24">
        <f t="shared" si="50"/>
        <v>1</v>
      </c>
      <c r="P255" s="675"/>
      <c r="Q255" s="24">
        <f t="shared" si="51"/>
        <v>0</v>
      </c>
      <c r="R255" s="671">
        <f t="shared" si="52"/>
        <v>0</v>
      </c>
      <c r="S255" s="322">
        <f t="shared" si="53"/>
        <v>0</v>
      </c>
    </row>
    <row r="256" spans="1:19">
      <c r="A256" s="155"/>
      <c r="B256" s="57"/>
      <c r="C256" s="24">
        <f t="shared" si="44"/>
        <v>1</v>
      </c>
      <c r="D256" s="675"/>
      <c r="E256" s="24">
        <f t="shared" si="45"/>
        <v>1</v>
      </c>
      <c r="F256" s="675"/>
      <c r="G256" s="24">
        <f t="shared" si="46"/>
        <v>1</v>
      </c>
      <c r="H256" s="675"/>
      <c r="I256" s="24">
        <f t="shared" si="47"/>
        <v>1</v>
      </c>
      <c r="J256" s="675"/>
      <c r="K256" s="24">
        <f t="shared" si="48"/>
        <v>1</v>
      </c>
      <c r="L256" s="675"/>
      <c r="M256" s="24">
        <f t="shared" si="49"/>
        <v>1</v>
      </c>
      <c r="N256" s="675"/>
      <c r="O256" s="24">
        <f t="shared" si="50"/>
        <v>1</v>
      </c>
      <c r="P256" s="675"/>
      <c r="Q256" s="24">
        <f t="shared" si="51"/>
        <v>0</v>
      </c>
      <c r="R256" s="671">
        <f t="shared" si="52"/>
        <v>0</v>
      </c>
      <c r="S256" s="322">
        <f t="shared" si="53"/>
        <v>0</v>
      </c>
    </row>
    <row r="257" spans="1:19">
      <c r="A257" s="155"/>
      <c r="B257" s="57"/>
      <c r="C257" s="24">
        <f t="shared" si="44"/>
        <v>1</v>
      </c>
      <c r="D257" s="675"/>
      <c r="E257" s="24">
        <f t="shared" si="45"/>
        <v>1</v>
      </c>
      <c r="F257" s="675"/>
      <c r="G257" s="24">
        <f t="shared" si="46"/>
        <v>1</v>
      </c>
      <c r="H257" s="675"/>
      <c r="I257" s="24">
        <f t="shared" si="47"/>
        <v>1</v>
      </c>
      <c r="J257" s="675"/>
      <c r="K257" s="24">
        <f t="shared" si="48"/>
        <v>1</v>
      </c>
      <c r="L257" s="675"/>
      <c r="M257" s="24">
        <f t="shared" si="49"/>
        <v>1</v>
      </c>
      <c r="N257" s="675"/>
      <c r="O257" s="24">
        <f t="shared" si="50"/>
        <v>1</v>
      </c>
      <c r="P257" s="675"/>
      <c r="Q257" s="24">
        <f t="shared" si="51"/>
        <v>0</v>
      </c>
      <c r="R257" s="671">
        <f t="shared" si="52"/>
        <v>0</v>
      </c>
      <c r="S257" s="322">
        <f t="shared" si="53"/>
        <v>0</v>
      </c>
    </row>
    <row r="258" spans="1:19">
      <c r="A258" s="155"/>
      <c r="B258" s="57"/>
      <c r="C258" s="24">
        <f t="shared" si="44"/>
        <v>1</v>
      </c>
      <c r="D258" s="675"/>
      <c r="E258" s="24">
        <f t="shared" si="45"/>
        <v>1</v>
      </c>
      <c r="F258" s="675"/>
      <c r="G258" s="24">
        <f t="shared" si="46"/>
        <v>1</v>
      </c>
      <c r="H258" s="675"/>
      <c r="I258" s="24">
        <f t="shared" si="47"/>
        <v>1</v>
      </c>
      <c r="J258" s="675"/>
      <c r="K258" s="24">
        <f t="shared" si="48"/>
        <v>1</v>
      </c>
      <c r="L258" s="675"/>
      <c r="M258" s="24">
        <f t="shared" si="49"/>
        <v>1</v>
      </c>
      <c r="N258" s="675"/>
      <c r="O258" s="24">
        <f t="shared" si="50"/>
        <v>1</v>
      </c>
      <c r="P258" s="675"/>
      <c r="Q258" s="24">
        <f t="shared" si="51"/>
        <v>0</v>
      </c>
      <c r="R258" s="671">
        <f t="shared" si="52"/>
        <v>0</v>
      </c>
      <c r="S258" s="322">
        <f t="shared" si="53"/>
        <v>0</v>
      </c>
    </row>
    <row r="259" spans="1:19">
      <c r="A259" s="155"/>
      <c r="B259" s="57"/>
      <c r="C259" s="24">
        <f t="shared" si="44"/>
        <v>1</v>
      </c>
      <c r="D259" s="675"/>
      <c r="E259" s="24">
        <f t="shared" si="45"/>
        <v>1</v>
      </c>
      <c r="F259" s="675"/>
      <c r="G259" s="24">
        <f t="shared" si="46"/>
        <v>1</v>
      </c>
      <c r="H259" s="675"/>
      <c r="I259" s="24">
        <f t="shared" si="47"/>
        <v>1</v>
      </c>
      <c r="J259" s="675"/>
      <c r="K259" s="24">
        <f t="shared" si="48"/>
        <v>1</v>
      </c>
      <c r="L259" s="675"/>
      <c r="M259" s="24">
        <f t="shared" si="49"/>
        <v>1</v>
      </c>
      <c r="N259" s="675"/>
      <c r="O259" s="24">
        <f t="shared" si="50"/>
        <v>1</v>
      </c>
      <c r="P259" s="675"/>
      <c r="Q259" s="24">
        <f t="shared" si="51"/>
        <v>0</v>
      </c>
      <c r="R259" s="671">
        <f t="shared" si="52"/>
        <v>0</v>
      </c>
      <c r="S259" s="322">
        <f t="shared" si="53"/>
        <v>0</v>
      </c>
    </row>
    <row r="260" spans="1:19">
      <c r="A260" s="155"/>
      <c r="B260" s="57"/>
      <c r="C260" s="24">
        <f t="shared" si="44"/>
        <v>1</v>
      </c>
      <c r="D260" s="675"/>
      <c r="E260" s="24">
        <f t="shared" si="45"/>
        <v>1</v>
      </c>
      <c r="F260" s="675"/>
      <c r="G260" s="24">
        <f t="shared" si="46"/>
        <v>1</v>
      </c>
      <c r="H260" s="675"/>
      <c r="I260" s="24">
        <f t="shared" si="47"/>
        <v>1</v>
      </c>
      <c r="J260" s="675"/>
      <c r="K260" s="24">
        <f t="shared" si="48"/>
        <v>1</v>
      </c>
      <c r="L260" s="675"/>
      <c r="M260" s="24">
        <f t="shared" si="49"/>
        <v>1</v>
      </c>
      <c r="N260" s="675"/>
      <c r="O260" s="24">
        <f t="shared" si="50"/>
        <v>1</v>
      </c>
      <c r="P260" s="675"/>
      <c r="Q260" s="24">
        <f t="shared" si="51"/>
        <v>0</v>
      </c>
      <c r="R260" s="671">
        <f t="shared" si="52"/>
        <v>0</v>
      </c>
      <c r="S260" s="322">
        <f t="shared" si="53"/>
        <v>0</v>
      </c>
    </row>
    <row r="261" spans="1:19">
      <c r="A261" s="155"/>
      <c r="B261" s="57"/>
      <c r="C261" s="24">
        <f t="shared" si="44"/>
        <v>1</v>
      </c>
      <c r="D261" s="675"/>
      <c r="E261" s="24">
        <f t="shared" si="45"/>
        <v>1</v>
      </c>
      <c r="F261" s="675"/>
      <c r="G261" s="24">
        <f t="shared" si="46"/>
        <v>1</v>
      </c>
      <c r="H261" s="675"/>
      <c r="I261" s="24">
        <f t="shared" si="47"/>
        <v>1</v>
      </c>
      <c r="J261" s="675"/>
      <c r="K261" s="24">
        <f t="shared" si="48"/>
        <v>1</v>
      </c>
      <c r="L261" s="675"/>
      <c r="M261" s="24">
        <f t="shared" si="49"/>
        <v>1</v>
      </c>
      <c r="N261" s="675"/>
      <c r="O261" s="24">
        <f t="shared" si="50"/>
        <v>1</v>
      </c>
      <c r="P261" s="675"/>
      <c r="Q261" s="24">
        <f t="shared" si="51"/>
        <v>0</v>
      </c>
      <c r="R261" s="671">
        <f t="shared" si="52"/>
        <v>0</v>
      </c>
      <c r="S261" s="322">
        <f t="shared" si="53"/>
        <v>0</v>
      </c>
    </row>
    <row r="262" spans="1:19">
      <c r="A262" s="155"/>
      <c r="B262" s="57"/>
      <c r="C262" s="24">
        <f t="shared" si="44"/>
        <v>1</v>
      </c>
      <c r="D262" s="675"/>
      <c r="E262" s="24">
        <f t="shared" si="45"/>
        <v>1</v>
      </c>
      <c r="F262" s="675"/>
      <c r="G262" s="24">
        <f t="shared" si="46"/>
        <v>1</v>
      </c>
      <c r="H262" s="675"/>
      <c r="I262" s="24">
        <f t="shared" si="47"/>
        <v>1</v>
      </c>
      <c r="J262" s="675"/>
      <c r="K262" s="24">
        <f t="shared" si="48"/>
        <v>1</v>
      </c>
      <c r="L262" s="675"/>
      <c r="M262" s="24">
        <f t="shared" si="49"/>
        <v>1</v>
      </c>
      <c r="N262" s="675"/>
      <c r="O262" s="24">
        <f t="shared" si="50"/>
        <v>1</v>
      </c>
      <c r="P262" s="675"/>
      <c r="Q262" s="24">
        <f t="shared" si="51"/>
        <v>0</v>
      </c>
      <c r="R262" s="671">
        <f t="shared" si="52"/>
        <v>0</v>
      </c>
      <c r="S262" s="322">
        <f t="shared" si="53"/>
        <v>0</v>
      </c>
    </row>
    <row r="263" spans="1:19">
      <c r="A263" s="155"/>
      <c r="B263" s="57"/>
      <c r="C263" s="24">
        <f t="shared" si="44"/>
        <v>1</v>
      </c>
      <c r="D263" s="675"/>
      <c r="E263" s="24">
        <f t="shared" si="45"/>
        <v>1</v>
      </c>
      <c r="F263" s="675"/>
      <c r="G263" s="24">
        <f t="shared" si="46"/>
        <v>1</v>
      </c>
      <c r="H263" s="675"/>
      <c r="I263" s="24">
        <f t="shared" si="47"/>
        <v>1</v>
      </c>
      <c r="J263" s="675"/>
      <c r="K263" s="24">
        <f t="shared" si="48"/>
        <v>1</v>
      </c>
      <c r="L263" s="675"/>
      <c r="M263" s="24">
        <f t="shared" si="49"/>
        <v>1</v>
      </c>
      <c r="N263" s="675"/>
      <c r="O263" s="24">
        <f t="shared" si="50"/>
        <v>1</v>
      </c>
      <c r="P263" s="675"/>
      <c r="Q263" s="24">
        <f t="shared" si="51"/>
        <v>0</v>
      </c>
      <c r="R263" s="671">
        <f t="shared" si="52"/>
        <v>0</v>
      </c>
      <c r="S263" s="322">
        <f t="shared" si="53"/>
        <v>0</v>
      </c>
    </row>
    <row r="264" spans="1:19">
      <c r="A264" s="155"/>
      <c r="B264" s="57"/>
      <c r="C264" s="24">
        <f t="shared" si="44"/>
        <v>1</v>
      </c>
      <c r="D264" s="675"/>
      <c r="E264" s="24">
        <f t="shared" si="45"/>
        <v>1</v>
      </c>
      <c r="F264" s="675"/>
      <c r="G264" s="24">
        <f t="shared" si="46"/>
        <v>1</v>
      </c>
      <c r="H264" s="675"/>
      <c r="I264" s="24">
        <f t="shared" si="47"/>
        <v>1</v>
      </c>
      <c r="J264" s="675"/>
      <c r="K264" s="24">
        <f t="shared" si="48"/>
        <v>1</v>
      </c>
      <c r="L264" s="675"/>
      <c r="M264" s="24">
        <f t="shared" si="49"/>
        <v>1</v>
      </c>
      <c r="N264" s="675"/>
      <c r="O264" s="24">
        <f t="shared" si="50"/>
        <v>1</v>
      </c>
      <c r="P264" s="675"/>
      <c r="Q264" s="24">
        <f t="shared" si="51"/>
        <v>0</v>
      </c>
      <c r="R264" s="671">
        <f t="shared" si="52"/>
        <v>0</v>
      </c>
      <c r="S264" s="322">
        <f t="shared" si="53"/>
        <v>0</v>
      </c>
    </row>
    <row r="265" spans="1:19">
      <c r="A265" s="155"/>
      <c r="B265" s="57"/>
      <c r="C265" s="24">
        <f t="shared" si="44"/>
        <v>1</v>
      </c>
      <c r="D265" s="675"/>
      <c r="E265" s="24">
        <f t="shared" si="45"/>
        <v>1</v>
      </c>
      <c r="F265" s="675"/>
      <c r="G265" s="24">
        <f t="shared" si="46"/>
        <v>1</v>
      </c>
      <c r="H265" s="675"/>
      <c r="I265" s="24">
        <f t="shared" si="47"/>
        <v>1</v>
      </c>
      <c r="J265" s="675"/>
      <c r="K265" s="24">
        <f t="shared" si="48"/>
        <v>1</v>
      </c>
      <c r="L265" s="675"/>
      <c r="M265" s="24">
        <f t="shared" si="49"/>
        <v>1</v>
      </c>
      <c r="N265" s="675"/>
      <c r="O265" s="24">
        <f t="shared" si="50"/>
        <v>1</v>
      </c>
      <c r="P265" s="675"/>
      <c r="Q265" s="24">
        <f t="shared" si="51"/>
        <v>0</v>
      </c>
      <c r="R265" s="671">
        <f t="shared" si="52"/>
        <v>0</v>
      </c>
      <c r="S265" s="322">
        <f t="shared" si="53"/>
        <v>0</v>
      </c>
    </row>
    <row r="266" spans="1:19">
      <c r="A266" s="155"/>
      <c r="B266" s="57"/>
      <c r="C266" s="24">
        <f t="shared" si="44"/>
        <v>1</v>
      </c>
      <c r="D266" s="675"/>
      <c r="E266" s="24">
        <f t="shared" si="45"/>
        <v>1</v>
      </c>
      <c r="F266" s="675"/>
      <c r="G266" s="24">
        <f t="shared" si="46"/>
        <v>1</v>
      </c>
      <c r="H266" s="675"/>
      <c r="I266" s="24">
        <f t="shared" si="47"/>
        <v>1</v>
      </c>
      <c r="J266" s="675"/>
      <c r="K266" s="24">
        <f t="shared" si="48"/>
        <v>1</v>
      </c>
      <c r="L266" s="675"/>
      <c r="M266" s="24">
        <f t="shared" si="49"/>
        <v>1</v>
      </c>
      <c r="N266" s="675"/>
      <c r="O266" s="24">
        <f t="shared" si="50"/>
        <v>1</v>
      </c>
      <c r="P266" s="675"/>
      <c r="Q266" s="24">
        <f t="shared" si="51"/>
        <v>0</v>
      </c>
      <c r="R266" s="671">
        <f t="shared" si="52"/>
        <v>0</v>
      </c>
      <c r="S266" s="322">
        <f t="shared" si="53"/>
        <v>0</v>
      </c>
    </row>
    <row r="267" spans="1:19">
      <c r="A267" s="155"/>
      <c r="B267" s="57"/>
      <c r="C267" s="24">
        <f t="shared" si="44"/>
        <v>1</v>
      </c>
      <c r="D267" s="675"/>
      <c r="E267" s="24">
        <f t="shared" si="45"/>
        <v>1</v>
      </c>
      <c r="F267" s="675"/>
      <c r="G267" s="24">
        <f t="shared" si="46"/>
        <v>1</v>
      </c>
      <c r="H267" s="675"/>
      <c r="I267" s="24">
        <f t="shared" si="47"/>
        <v>1</v>
      </c>
      <c r="J267" s="675"/>
      <c r="K267" s="24">
        <f t="shared" si="48"/>
        <v>1</v>
      </c>
      <c r="L267" s="675"/>
      <c r="M267" s="24">
        <f t="shared" si="49"/>
        <v>1</v>
      </c>
      <c r="N267" s="675"/>
      <c r="O267" s="24">
        <f t="shared" si="50"/>
        <v>1</v>
      </c>
      <c r="P267" s="675"/>
      <c r="Q267" s="24">
        <f t="shared" si="51"/>
        <v>0</v>
      </c>
      <c r="R267" s="671">
        <f t="shared" si="52"/>
        <v>0</v>
      </c>
      <c r="S267" s="322">
        <f t="shared" si="53"/>
        <v>0</v>
      </c>
    </row>
    <row r="268" spans="1:19">
      <c r="A268" s="155"/>
      <c r="B268" s="57"/>
      <c r="C268" s="24">
        <f t="shared" si="44"/>
        <v>1</v>
      </c>
      <c r="D268" s="675"/>
      <c r="E268" s="24">
        <f t="shared" si="45"/>
        <v>1</v>
      </c>
      <c r="F268" s="675"/>
      <c r="G268" s="24">
        <f t="shared" si="46"/>
        <v>1</v>
      </c>
      <c r="H268" s="675"/>
      <c r="I268" s="24">
        <f t="shared" si="47"/>
        <v>1</v>
      </c>
      <c r="J268" s="675"/>
      <c r="K268" s="24">
        <f t="shared" si="48"/>
        <v>1</v>
      </c>
      <c r="L268" s="675"/>
      <c r="M268" s="24">
        <f t="shared" si="49"/>
        <v>1</v>
      </c>
      <c r="N268" s="675"/>
      <c r="O268" s="24">
        <f t="shared" si="50"/>
        <v>1</v>
      </c>
      <c r="P268" s="675"/>
      <c r="Q268" s="24">
        <f t="shared" si="51"/>
        <v>0</v>
      </c>
      <c r="R268" s="671">
        <f t="shared" si="52"/>
        <v>0</v>
      </c>
      <c r="S268" s="322">
        <f t="shared" si="53"/>
        <v>0</v>
      </c>
    </row>
    <row r="269" spans="1:19">
      <c r="A269" s="155"/>
      <c r="B269" s="57"/>
      <c r="C269" s="24">
        <f t="shared" si="44"/>
        <v>1</v>
      </c>
      <c r="D269" s="675"/>
      <c r="E269" s="24">
        <f t="shared" si="45"/>
        <v>1</v>
      </c>
      <c r="F269" s="675"/>
      <c r="G269" s="24">
        <f t="shared" si="46"/>
        <v>1</v>
      </c>
      <c r="H269" s="675"/>
      <c r="I269" s="24">
        <f t="shared" si="47"/>
        <v>1</v>
      </c>
      <c r="J269" s="675"/>
      <c r="K269" s="24">
        <f t="shared" si="48"/>
        <v>1</v>
      </c>
      <c r="L269" s="675"/>
      <c r="M269" s="24">
        <f t="shared" si="49"/>
        <v>1</v>
      </c>
      <c r="N269" s="675"/>
      <c r="O269" s="24">
        <f t="shared" si="50"/>
        <v>1</v>
      </c>
      <c r="P269" s="675"/>
      <c r="Q269" s="24">
        <f t="shared" si="51"/>
        <v>0</v>
      </c>
      <c r="R269" s="671">
        <f t="shared" si="52"/>
        <v>0</v>
      </c>
      <c r="S269" s="322">
        <f t="shared" si="53"/>
        <v>0</v>
      </c>
    </row>
    <row r="270" spans="1:19">
      <c r="A270" s="155"/>
      <c r="B270" s="57"/>
      <c r="C270" s="24">
        <f t="shared" si="44"/>
        <v>1</v>
      </c>
      <c r="D270" s="675"/>
      <c r="E270" s="24">
        <f t="shared" si="45"/>
        <v>1</v>
      </c>
      <c r="F270" s="675"/>
      <c r="G270" s="24">
        <f t="shared" si="46"/>
        <v>1</v>
      </c>
      <c r="H270" s="675"/>
      <c r="I270" s="24">
        <f t="shared" si="47"/>
        <v>1</v>
      </c>
      <c r="J270" s="675"/>
      <c r="K270" s="24">
        <f t="shared" si="48"/>
        <v>1</v>
      </c>
      <c r="L270" s="675"/>
      <c r="M270" s="24">
        <f t="shared" si="49"/>
        <v>1</v>
      </c>
      <c r="N270" s="675"/>
      <c r="O270" s="24">
        <f t="shared" si="50"/>
        <v>1</v>
      </c>
      <c r="P270" s="675"/>
      <c r="Q270" s="24">
        <f t="shared" si="51"/>
        <v>0</v>
      </c>
      <c r="R270" s="671">
        <f t="shared" si="52"/>
        <v>0</v>
      </c>
      <c r="S270" s="322">
        <f t="shared" si="53"/>
        <v>0</v>
      </c>
    </row>
    <row r="271" spans="1:19">
      <c r="A271" s="155"/>
      <c r="B271" s="57"/>
      <c r="C271" s="24">
        <f t="shared" si="44"/>
        <v>1</v>
      </c>
      <c r="D271" s="675"/>
      <c r="E271" s="24">
        <f t="shared" si="45"/>
        <v>1</v>
      </c>
      <c r="F271" s="675"/>
      <c r="G271" s="24">
        <f t="shared" si="46"/>
        <v>1</v>
      </c>
      <c r="H271" s="675"/>
      <c r="I271" s="24">
        <f t="shared" si="47"/>
        <v>1</v>
      </c>
      <c r="J271" s="675"/>
      <c r="K271" s="24">
        <f t="shared" si="48"/>
        <v>1</v>
      </c>
      <c r="L271" s="675"/>
      <c r="M271" s="24">
        <f t="shared" si="49"/>
        <v>1</v>
      </c>
      <c r="N271" s="675"/>
      <c r="O271" s="24">
        <f t="shared" si="50"/>
        <v>1</v>
      </c>
      <c r="P271" s="675"/>
      <c r="Q271" s="24">
        <f t="shared" si="51"/>
        <v>0</v>
      </c>
      <c r="R271" s="671">
        <f t="shared" si="52"/>
        <v>0</v>
      </c>
      <c r="S271" s="322">
        <f t="shared" si="53"/>
        <v>0</v>
      </c>
    </row>
    <row r="272" spans="1:19">
      <c r="A272" s="155"/>
      <c r="B272" s="57"/>
      <c r="C272" s="24">
        <f t="shared" si="44"/>
        <v>1</v>
      </c>
      <c r="D272" s="675"/>
      <c r="E272" s="24">
        <f t="shared" si="45"/>
        <v>1</v>
      </c>
      <c r="F272" s="675"/>
      <c r="G272" s="24">
        <f t="shared" si="46"/>
        <v>1</v>
      </c>
      <c r="H272" s="675"/>
      <c r="I272" s="24">
        <f t="shared" si="47"/>
        <v>1</v>
      </c>
      <c r="J272" s="675"/>
      <c r="K272" s="24">
        <f t="shared" si="48"/>
        <v>1</v>
      </c>
      <c r="L272" s="675"/>
      <c r="M272" s="24">
        <f t="shared" si="49"/>
        <v>1</v>
      </c>
      <c r="N272" s="675"/>
      <c r="O272" s="24">
        <f t="shared" si="50"/>
        <v>1</v>
      </c>
      <c r="P272" s="675"/>
      <c r="Q272" s="24">
        <f t="shared" si="51"/>
        <v>0</v>
      </c>
      <c r="R272" s="671">
        <f t="shared" si="52"/>
        <v>0</v>
      </c>
      <c r="S272" s="322">
        <f t="shared" si="53"/>
        <v>0</v>
      </c>
    </row>
    <row r="273" spans="1:19">
      <c r="A273" s="155"/>
      <c r="B273" s="57"/>
      <c r="C273" s="24">
        <f t="shared" si="44"/>
        <v>1</v>
      </c>
      <c r="D273" s="675"/>
      <c r="E273" s="24">
        <f t="shared" si="45"/>
        <v>1</v>
      </c>
      <c r="F273" s="675"/>
      <c r="G273" s="24">
        <f t="shared" si="46"/>
        <v>1</v>
      </c>
      <c r="H273" s="675"/>
      <c r="I273" s="24">
        <f t="shared" si="47"/>
        <v>1</v>
      </c>
      <c r="J273" s="675"/>
      <c r="K273" s="24">
        <f t="shared" si="48"/>
        <v>1</v>
      </c>
      <c r="L273" s="675"/>
      <c r="M273" s="24">
        <f t="shared" si="49"/>
        <v>1</v>
      </c>
      <c r="N273" s="675"/>
      <c r="O273" s="24">
        <f t="shared" si="50"/>
        <v>1</v>
      </c>
      <c r="P273" s="675"/>
      <c r="Q273" s="24">
        <f t="shared" si="51"/>
        <v>0</v>
      </c>
      <c r="R273" s="671">
        <f t="shared" si="52"/>
        <v>0</v>
      </c>
      <c r="S273" s="322">
        <f t="shared" si="53"/>
        <v>0</v>
      </c>
    </row>
    <row r="274" spans="1:19">
      <c r="A274" s="155"/>
      <c r="B274" s="57"/>
      <c r="C274" s="24">
        <f t="shared" si="44"/>
        <v>1</v>
      </c>
      <c r="D274" s="675"/>
      <c r="E274" s="24">
        <f t="shared" si="45"/>
        <v>1</v>
      </c>
      <c r="F274" s="675"/>
      <c r="G274" s="24">
        <f t="shared" si="46"/>
        <v>1</v>
      </c>
      <c r="H274" s="675"/>
      <c r="I274" s="24">
        <f t="shared" si="47"/>
        <v>1</v>
      </c>
      <c r="J274" s="675"/>
      <c r="K274" s="24">
        <f t="shared" si="48"/>
        <v>1</v>
      </c>
      <c r="L274" s="675"/>
      <c r="M274" s="24">
        <f t="shared" si="49"/>
        <v>1</v>
      </c>
      <c r="N274" s="675"/>
      <c r="O274" s="24">
        <f t="shared" si="50"/>
        <v>1</v>
      </c>
      <c r="P274" s="675"/>
      <c r="Q274" s="24">
        <f t="shared" si="51"/>
        <v>0</v>
      </c>
      <c r="R274" s="671">
        <f t="shared" si="52"/>
        <v>0</v>
      </c>
      <c r="S274" s="322">
        <f t="shared" si="53"/>
        <v>0</v>
      </c>
    </row>
    <row r="275" spans="1:19">
      <c r="A275" s="155"/>
      <c r="B275" s="57"/>
      <c r="C275" s="24">
        <f t="shared" si="44"/>
        <v>1</v>
      </c>
      <c r="D275" s="675"/>
      <c r="E275" s="24">
        <f t="shared" si="45"/>
        <v>1</v>
      </c>
      <c r="F275" s="675"/>
      <c r="G275" s="24">
        <f t="shared" si="46"/>
        <v>1</v>
      </c>
      <c r="H275" s="675"/>
      <c r="I275" s="24">
        <f t="shared" si="47"/>
        <v>1</v>
      </c>
      <c r="J275" s="675"/>
      <c r="K275" s="24">
        <f t="shared" si="48"/>
        <v>1</v>
      </c>
      <c r="L275" s="675"/>
      <c r="M275" s="24">
        <f t="shared" si="49"/>
        <v>1</v>
      </c>
      <c r="N275" s="675"/>
      <c r="O275" s="24">
        <f t="shared" si="50"/>
        <v>1</v>
      </c>
      <c r="P275" s="675"/>
      <c r="Q275" s="24">
        <f t="shared" si="51"/>
        <v>0</v>
      </c>
      <c r="R275" s="671">
        <f t="shared" si="52"/>
        <v>0</v>
      </c>
      <c r="S275" s="322">
        <f t="shared" si="53"/>
        <v>0</v>
      </c>
    </row>
    <row r="276" spans="1:19">
      <c r="A276" s="155"/>
      <c r="B276" s="57"/>
      <c r="C276" s="24">
        <f t="shared" si="44"/>
        <v>1</v>
      </c>
      <c r="D276" s="675"/>
      <c r="E276" s="24">
        <f t="shared" si="45"/>
        <v>1</v>
      </c>
      <c r="F276" s="675"/>
      <c r="G276" s="24">
        <f t="shared" si="46"/>
        <v>1</v>
      </c>
      <c r="H276" s="675"/>
      <c r="I276" s="24">
        <f t="shared" si="47"/>
        <v>1</v>
      </c>
      <c r="J276" s="675"/>
      <c r="K276" s="24">
        <f t="shared" si="48"/>
        <v>1</v>
      </c>
      <c r="L276" s="675"/>
      <c r="M276" s="24">
        <f t="shared" si="49"/>
        <v>1</v>
      </c>
      <c r="N276" s="675"/>
      <c r="O276" s="24">
        <f t="shared" si="50"/>
        <v>1</v>
      </c>
      <c r="P276" s="675"/>
      <c r="Q276" s="24">
        <f t="shared" si="51"/>
        <v>0</v>
      </c>
      <c r="R276" s="671">
        <f t="shared" si="52"/>
        <v>0</v>
      </c>
      <c r="S276" s="322">
        <f t="shared" si="53"/>
        <v>0</v>
      </c>
    </row>
    <row r="277" spans="1:19">
      <c r="A277" s="155"/>
      <c r="B277" s="57"/>
      <c r="C277" s="24">
        <f t="shared" si="44"/>
        <v>1</v>
      </c>
      <c r="D277" s="675"/>
      <c r="E277" s="24">
        <f t="shared" si="45"/>
        <v>1</v>
      </c>
      <c r="F277" s="675"/>
      <c r="G277" s="24">
        <f t="shared" si="46"/>
        <v>1</v>
      </c>
      <c r="H277" s="675"/>
      <c r="I277" s="24">
        <f t="shared" si="47"/>
        <v>1</v>
      </c>
      <c r="J277" s="675"/>
      <c r="K277" s="24">
        <f t="shared" si="48"/>
        <v>1</v>
      </c>
      <c r="L277" s="675"/>
      <c r="M277" s="24">
        <f t="shared" si="49"/>
        <v>1</v>
      </c>
      <c r="N277" s="675"/>
      <c r="O277" s="24">
        <f t="shared" si="50"/>
        <v>1</v>
      </c>
      <c r="P277" s="675"/>
      <c r="Q277" s="24">
        <f t="shared" si="51"/>
        <v>0</v>
      </c>
      <c r="R277" s="671">
        <f t="shared" si="52"/>
        <v>0</v>
      </c>
      <c r="S277" s="322">
        <f t="shared" si="53"/>
        <v>0</v>
      </c>
    </row>
    <row r="278" spans="1:19">
      <c r="A278" s="155"/>
      <c r="B278" s="57"/>
      <c r="C278" s="24">
        <f t="shared" si="44"/>
        <v>1</v>
      </c>
      <c r="D278" s="675"/>
      <c r="E278" s="24">
        <f t="shared" si="45"/>
        <v>1</v>
      </c>
      <c r="F278" s="675"/>
      <c r="G278" s="24">
        <f t="shared" si="46"/>
        <v>1</v>
      </c>
      <c r="H278" s="675"/>
      <c r="I278" s="24">
        <f t="shared" si="47"/>
        <v>1</v>
      </c>
      <c r="J278" s="675"/>
      <c r="K278" s="24">
        <f t="shared" si="48"/>
        <v>1</v>
      </c>
      <c r="L278" s="675"/>
      <c r="M278" s="24">
        <f t="shared" si="49"/>
        <v>1</v>
      </c>
      <c r="N278" s="675"/>
      <c r="O278" s="24">
        <f t="shared" si="50"/>
        <v>1</v>
      </c>
      <c r="P278" s="675"/>
      <c r="Q278" s="24">
        <f t="shared" si="51"/>
        <v>0</v>
      </c>
      <c r="R278" s="671">
        <f t="shared" si="52"/>
        <v>0</v>
      </c>
      <c r="S278" s="322">
        <f t="shared" si="53"/>
        <v>0</v>
      </c>
    </row>
    <row r="279" spans="1:19">
      <c r="A279" s="155"/>
      <c r="B279" s="57"/>
      <c r="C279" s="24">
        <f t="shared" si="44"/>
        <v>1</v>
      </c>
      <c r="D279" s="675"/>
      <c r="E279" s="24">
        <f t="shared" si="45"/>
        <v>1</v>
      </c>
      <c r="F279" s="675"/>
      <c r="G279" s="24">
        <f t="shared" si="46"/>
        <v>1</v>
      </c>
      <c r="H279" s="675"/>
      <c r="I279" s="24">
        <f t="shared" si="47"/>
        <v>1</v>
      </c>
      <c r="J279" s="675"/>
      <c r="K279" s="24">
        <f t="shared" si="48"/>
        <v>1</v>
      </c>
      <c r="L279" s="675"/>
      <c r="M279" s="24">
        <f t="shared" si="49"/>
        <v>1</v>
      </c>
      <c r="N279" s="675"/>
      <c r="O279" s="24">
        <f t="shared" si="50"/>
        <v>1</v>
      </c>
      <c r="P279" s="675"/>
      <c r="Q279" s="24">
        <f t="shared" si="51"/>
        <v>0</v>
      </c>
      <c r="R279" s="671">
        <f t="shared" si="52"/>
        <v>0</v>
      </c>
      <c r="S279" s="322">
        <f t="shared" si="53"/>
        <v>0</v>
      </c>
    </row>
    <row r="280" spans="1:19">
      <c r="A280" s="155"/>
      <c r="B280" s="57"/>
      <c r="C280" s="24">
        <f t="shared" si="44"/>
        <v>1</v>
      </c>
      <c r="D280" s="675"/>
      <c r="E280" s="24">
        <f t="shared" si="45"/>
        <v>1</v>
      </c>
      <c r="F280" s="675"/>
      <c r="G280" s="24">
        <f t="shared" si="46"/>
        <v>1</v>
      </c>
      <c r="H280" s="675"/>
      <c r="I280" s="24">
        <f t="shared" si="47"/>
        <v>1</v>
      </c>
      <c r="J280" s="675"/>
      <c r="K280" s="24">
        <f t="shared" si="48"/>
        <v>1</v>
      </c>
      <c r="L280" s="675"/>
      <c r="M280" s="24">
        <f t="shared" si="49"/>
        <v>1</v>
      </c>
      <c r="N280" s="675"/>
      <c r="O280" s="24">
        <f t="shared" si="50"/>
        <v>1</v>
      </c>
      <c r="P280" s="675"/>
      <c r="Q280" s="24">
        <f t="shared" si="51"/>
        <v>0</v>
      </c>
      <c r="R280" s="671">
        <f t="shared" si="52"/>
        <v>0</v>
      </c>
      <c r="S280" s="322">
        <f t="shared" si="53"/>
        <v>0</v>
      </c>
    </row>
    <row r="281" spans="1:19">
      <c r="A281" s="155"/>
      <c r="B281" s="57"/>
      <c r="C281" s="24">
        <f t="shared" si="44"/>
        <v>1</v>
      </c>
      <c r="D281" s="675"/>
      <c r="E281" s="24">
        <f t="shared" si="45"/>
        <v>1</v>
      </c>
      <c r="F281" s="675"/>
      <c r="G281" s="24">
        <f t="shared" si="46"/>
        <v>1</v>
      </c>
      <c r="H281" s="675"/>
      <c r="I281" s="24">
        <f t="shared" si="47"/>
        <v>1</v>
      </c>
      <c r="J281" s="675"/>
      <c r="K281" s="24">
        <f t="shared" si="48"/>
        <v>1</v>
      </c>
      <c r="L281" s="675"/>
      <c r="M281" s="24">
        <f t="shared" si="49"/>
        <v>1</v>
      </c>
      <c r="N281" s="675"/>
      <c r="O281" s="24">
        <f t="shared" si="50"/>
        <v>1</v>
      </c>
      <c r="P281" s="675"/>
      <c r="Q281" s="24">
        <f t="shared" si="51"/>
        <v>0</v>
      </c>
      <c r="R281" s="671">
        <f t="shared" si="52"/>
        <v>0</v>
      </c>
      <c r="S281" s="322">
        <f t="shared" si="53"/>
        <v>0</v>
      </c>
    </row>
    <row r="282" spans="1:19">
      <c r="A282" s="155"/>
      <c r="B282" s="57"/>
      <c r="C282" s="24">
        <f t="shared" ref="C282:C345" si="54">IF(B282="",1,(LOOKUP(B282,$3:$3,$4:$4)-LOOKUP($B$24,$3:$3,$4:$4)+100)/100)</f>
        <v>1</v>
      </c>
      <c r="D282" s="675"/>
      <c r="E282" s="24">
        <f t="shared" ref="E282:E345" si="55">(SUMIF($5:$5,D282,$6:$6)-SUMIF($5:$5,$D$24,$6:$6)+100)/100</f>
        <v>1</v>
      </c>
      <c r="F282" s="675"/>
      <c r="G282" s="24">
        <f t="shared" ref="G282:G345" si="56">(SUMIF($7:$7,F282,$8:$8)-SUMIF($7:$7,$F$24,$8:$8)+100)/100</f>
        <v>1</v>
      </c>
      <c r="H282" s="675"/>
      <c r="I282" s="24">
        <f t="shared" ref="I282:I345" si="57">(SUMIF($9:$9,H282,$10:$10)-SUMIF($9:$9,$H$24,$10:$10)+100)/100</f>
        <v>1</v>
      </c>
      <c r="J282" s="675"/>
      <c r="K282" s="24">
        <f t="shared" ref="K282:K345" si="58">(SUMIF($11:$11,J282,$12:$12)-SUMIF($11:$11,$J$24,$12:$12)+100)/100</f>
        <v>1</v>
      </c>
      <c r="L282" s="675"/>
      <c r="M282" s="24">
        <f t="shared" ref="M282:M345" si="59">(SUMIF($13:$13,L282,$14:$14)-SUMIF($13:$13,$L$24,$14:$14)+100)/100</f>
        <v>1</v>
      </c>
      <c r="N282" s="675"/>
      <c r="O282" s="24">
        <f t="shared" ref="O282:O345" si="60">(SUMIF($15:$15,N282,$16:$16)-SUMIF($15:$15,$N$24,$16:$16)+100)/100</f>
        <v>1</v>
      </c>
      <c r="P282" s="675"/>
      <c r="Q282" s="24">
        <f t="shared" ref="Q282:Q345" si="61">(SUMIF($17:$17,P282,$18:$18)-SUMIF($17:$17,$P$24,$18:$18)+100)/100</f>
        <v>0</v>
      </c>
      <c r="R282" s="671">
        <f t="shared" ref="R282:R345" si="62">IF(B282="",0,ROUND($R$24*C282*E282*G282*I282*K282*M282*O282*Q282,0))</f>
        <v>0</v>
      </c>
      <c r="S282" s="322">
        <f t="shared" si="53"/>
        <v>0</v>
      </c>
    </row>
    <row r="283" spans="1:19">
      <c r="A283" s="155"/>
      <c r="B283" s="57"/>
      <c r="C283" s="24">
        <f t="shared" si="54"/>
        <v>1</v>
      </c>
      <c r="D283" s="675"/>
      <c r="E283" s="24">
        <f t="shared" si="55"/>
        <v>1</v>
      </c>
      <c r="F283" s="675"/>
      <c r="G283" s="24">
        <f t="shared" si="56"/>
        <v>1</v>
      </c>
      <c r="H283" s="675"/>
      <c r="I283" s="24">
        <f t="shared" si="57"/>
        <v>1</v>
      </c>
      <c r="J283" s="675"/>
      <c r="K283" s="24">
        <f t="shared" si="58"/>
        <v>1</v>
      </c>
      <c r="L283" s="675"/>
      <c r="M283" s="24">
        <f t="shared" si="59"/>
        <v>1</v>
      </c>
      <c r="N283" s="675"/>
      <c r="O283" s="24">
        <f t="shared" si="60"/>
        <v>1</v>
      </c>
      <c r="P283" s="675"/>
      <c r="Q283" s="24">
        <f t="shared" si="61"/>
        <v>0</v>
      </c>
      <c r="R283" s="671">
        <f t="shared" si="62"/>
        <v>0</v>
      </c>
      <c r="S283" s="322">
        <f t="shared" si="53"/>
        <v>0</v>
      </c>
    </row>
    <row r="284" spans="1:19">
      <c r="A284" s="155"/>
      <c r="B284" s="57"/>
      <c r="C284" s="24">
        <f t="shared" si="54"/>
        <v>1</v>
      </c>
      <c r="D284" s="675"/>
      <c r="E284" s="24">
        <f t="shared" si="55"/>
        <v>1</v>
      </c>
      <c r="F284" s="675"/>
      <c r="G284" s="24">
        <f t="shared" si="56"/>
        <v>1</v>
      </c>
      <c r="H284" s="675"/>
      <c r="I284" s="24">
        <f t="shared" si="57"/>
        <v>1</v>
      </c>
      <c r="J284" s="675"/>
      <c r="K284" s="24">
        <f t="shared" si="58"/>
        <v>1</v>
      </c>
      <c r="L284" s="675"/>
      <c r="M284" s="24">
        <f t="shared" si="59"/>
        <v>1</v>
      </c>
      <c r="N284" s="675"/>
      <c r="O284" s="24">
        <f t="shared" si="60"/>
        <v>1</v>
      </c>
      <c r="P284" s="675"/>
      <c r="Q284" s="24">
        <f t="shared" si="61"/>
        <v>0</v>
      </c>
      <c r="R284" s="671">
        <f t="shared" si="62"/>
        <v>0</v>
      </c>
      <c r="S284" s="322">
        <f t="shared" si="53"/>
        <v>0</v>
      </c>
    </row>
    <row r="285" spans="1:19">
      <c r="A285" s="155"/>
      <c r="B285" s="57"/>
      <c r="C285" s="24">
        <f t="shared" si="54"/>
        <v>1</v>
      </c>
      <c r="D285" s="675"/>
      <c r="E285" s="24">
        <f t="shared" si="55"/>
        <v>1</v>
      </c>
      <c r="F285" s="675"/>
      <c r="G285" s="24">
        <f t="shared" si="56"/>
        <v>1</v>
      </c>
      <c r="H285" s="675"/>
      <c r="I285" s="24">
        <f t="shared" si="57"/>
        <v>1</v>
      </c>
      <c r="J285" s="675"/>
      <c r="K285" s="24">
        <f t="shared" si="58"/>
        <v>1</v>
      </c>
      <c r="L285" s="675"/>
      <c r="M285" s="24">
        <f t="shared" si="59"/>
        <v>1</v>
      </c>
      <c r="N285" s="675"/>
      <c r="O285" s="24">
        <f t="shared" si="60"/>
        <v>1</v>
      </c>
      <c r="P285" s="675"/>
      <c r="Q285" s="24">
        <f t="shared" si="61"/>
        <v>0</v>
      </c>
      <c r="R285" s="671">
        <f t="shared" si="62"/>
        <v>0</v>
      </c>
      <c r="S285" s="322">
        <f t="shared" si="53"/>
        <v>0</v>
      </c>
    </row>
    <row r="286" spans="1:19">
      <c r="A286" s="155"/>
      <c r="B286" s="57"/>
      <c r="C286" s="24">
        <f t="shared" si="54"/>
        <v>1</v>
      </c>
      <c r="D286" s="675"/>
      <c r="E286" s="24">
        <f t="shared" si="55"/>
        <v>1</v>
      </c>
      <c r="F286" s="675"/>
      <c r="G286" s="24">
        <f t="shared" si="56"/>
        <v>1</v>
      </c>
      <c r="H286" s="675"/>
      <c r="I286" s="24">
        <f t="shared" si="57"/>
        <v>1</v>
      </c>
      <c r="J286" s="675"/>
      <c r="K286" s="24">
        <f t="shared" si="58"/>
        <v>1</v>
      </c>
      <c r="L286" s="675"/>
      <c r="M286" s="24">
        <f t="shared" si="59"/>
        <v>1</v>
      </c>
      <c r="N286" s="675"/>
      <c r="O286" s="24">
        <f t="shared" si="60"/>
        <v>1</v>
      </c>
      <c r="P286" s="675"/>
      <c r="Q286" s="24">
        <f t="shared" si="61"/>
        <v>0</v>
      </c>
      <c r="R286" s="671">
        <f t="shared" si="62"/>
        <v>0</v>
      </c>
      <c r="S286" s="322">
        <f t="shared" si="53"/>
        <v>0</v>
      </c>
    </row>
    <row r="287" spans="1:19">
      <c r="A287" s="155"/>
      <c r="B287" s="57"/>
      <c r="C287" s="24">
        <f t="shared" si="54"/>
        <v>1</v>
      </c>
      <c r="D287" s="675"/>
      <c r="E287" s="24">
        <f t="shared" si="55"/>
        <v>1</v>
      </c>
      <c r="F287" s="675"/>
      <c r="G287" s="24">
        <f t="shared" si="56"/>
        <v>1</v>
      </c>
      <c r="H287" s="675"/>
      <c r="I287" s="24">
        <f t="shared" si="57"/>
        <v>1</v>
      </c>
      <c r="J287" s="675"/>
      <c r="K287" s="24">
        <f t="shared" si="58"/>
        <v>1</v>
      </c>
      <c r="L287" s="675"/>
      <c r="M287" s="24">
        <f t="shared" si="59"/>
        <v>1</v>
      </c>
      <c r="N287" s="675"/>
      <c r="O287" s="24">
        <f t="shared" si="60"/>
        <v>1</v>
      </c>
      <c r="P287" s="675"/>
      <c r="Q287" s="24">
        <f t="shared" si="61"/>
        <v>0</v>
      </c>
      <c r="R287" s="671">
        <f t="shared" si="62"/>
        <v>0</v>
      </c>
      <c r="S287" s="322">
        <f t="shared" ref="S287:S320" si="63">ROUND(R287*B287/10000,0)</f>
        <v>0</v>
      </c>
    </row>
    <row r="288" spans="1:19">
      <c r="A288" s="155"/>
      <c r="B288" s="57"/>
      <c r="C288" s="24">
        <f t="shared" si="54"/>
        <v>1</v>
      </c>
      <c r="D288" s="675"/>
      <c r="E288" s="24">
        <f t="shared" si="55"/>
        <v>1</v>
      </c>
      <c r="F288" s="675"/>
      <c r="G288" s="24">
        <f t="shared" si="56"/>
        <v>1</v>
      </c>
      <c r="H288" s="675"/>
      <c r="I288" s="24">
        <f t="shared" si="57"/>
        <v>1</v>
      </c>
      <c r="J288" s="675"/>
      <c r="K288" s="24">
        <f t="shared" si="58"/>
        <v>1</v>
      </c>
      <c r="L288" s="675"/>
      <c r="M288" s="24">
        <f t="shared" si="59"/>
        <v>1</v>
      </c>
      <c r="N288" s="675"/>
      <c r="O288" s="24">
        <f t="shared" si="60"/>
        <v>1</v>
      </c>
      <c r="P288" s="675"/>
      <c r="Q288" s="24">
        <f t="shared" si="61"/>
        <v>0</v>
      </c>
      <c r="R288" s="671">
        <f t="shared" si="62"/>
        <v>0</v>
      </c>
      <c r="S288" s="322">
        <f t="shared" si="63"/>
        <v>0</v>
      </c>
    </row>
    <row r="289" spans="1:19">
      <c r="A289" s="155"/>
      <c r="B289" s="57"/>
      <c r="C289" s="24">
        <f t="shared" si="54"/>
        <v>1</v>
      </c>
      <c r="D289" s="675"/>
      <c r="E289" s="24">
        <f t="shared" si="55"/>
        <v>1</v>
      </c>
      <c r="F289" s="675"/>
      <c r="G289" s="24">
        <f t="shared" si="56"/>
        <v>1</v>
      </c>
      <c r="H289" s="675"/>
      <c r="I289" s="24">
        <f t="shared" si="57"/>
        <v>1</v>
      </c>
      <c r="J289" s="675"/>
      <c r="K289" s="24">
        <f t="shared" si="58"/>
        <v>1</v>
      </c>
      <c r="L289" s="675"/>
      <c r="M289" s="24">
        <f t="shared" si="59"/>
        <v>1</v>
      </c>
      <c r="N289" s="675"/>
      <c r="O289" s="24">
        <f t="shared" si="60"/>
        <v>1</v>
      </c>
      <c r="P289" s="675"/>
      <c r="Q289" s="24">
        <f t="shared" si="61"/>
        <v>0</v>
      </c>
      <c r="R289" s="671">
        <f t="shared" si="62"/>
        <v>0</v>
      </c>
      <c r="S289" s="322">
        <f t="shared" si="63"/>
        <v>0</v>
      </c>
    </row>
    <row r="290" spans="1:19">
      <c r="A290" s="155"/>
      <c r="B290" s="57"/>
      <c r="C290" s="24">
        <f t="shared" si="54"/>
        <v>1</v>
      </c>
      <c r="D290" s="675"/>
      <c r="E290" s="24">
        <f t="shared" si="55"/>
        <v>1</v>
      </c>
      <c r="F290" s="675"/>
      <c r="G290" s="24">
        <f t="shared" si="56"/>
        <v>1</v>
      </c>
      <c r="H290" s="675"/>
      <c r="I290" s="24">
        <f t="shared" si="57"/>
        <v>1</v>
      </c>
      <c r="J290" s="675"/>
      <c r="K290" s="24">
        <f t="shared" si="58"/>
        <v>1</v>
      </c>
      <c r="L290" s="675"/>
      <c r="M290" s="24">
        <f t="shared" si="59"/>
        <v>1</v>
      </c>
      <c r="N290" s="675"/>
      <c r="O290" s="24">
        <f t="shared" si="60"/>
        <v>1</v>
      </c>
      <c r="P290" s="675"/>
      <c r="Q290" s="24">
        <f t="shared" si="61"/>
        <v>0</v>
      </c>
      <c r="R290" s="671">
        <f t="shared" si="62"/>
        <v>0</v>
      </c>
      <c r="S290" s="322">
        <f t="shared" si="63"/>
        <v>0</v>
      </c>
    </row>
    <row r="291" spans="1:19">
      <c r="A291" s="155"/>
      <c r="B291" s="57"/>
      <c r="C291" s="24">
        <f t="shared" si="54"/>
        <v>1</v>
      </c>
      <c r="D291" s="675"/>
      <c r="E291" s="24">
        <f t="shared" si="55"/>
        <v>1</v>
      </c>
      <c r="F291" s="675"/>
      <c r="G291" s="24">
        <f t="shared" si="56"/>
        <v>1</v>
      </c>
      <c r="H291" s="675"/>
      <c r="I291" s="24">
        <f t="shared" si="57"/>
        <v>1</v>
      </c>
      <c r="J291" s="675"/>
      <c r="K291" s="24">
        <f t="shared" si="58"/>
        <v>1</v>
      </c>
      <c r="L291" s="675"/>
      <c r="M291" s="24">
        <f t="shared" si="59"/>
        <v>1</v>
      </c>
      <c r="N291" s="675"/>
      <c r="O291" s="24">
        <f t="shared" si="60"/>
        <v>1</v>
      </c>
      <c r="P291" s="675"/>
      <c r="Q291" s="24">
        <f t="shared" si="61"/>
        <v>0</v>
      </c>
      <c r="R291" s="671">
        <f t="shared" si="62"/>
        <v>0</v>
      </c>
      <c r="S291" s="322">
        <f t="shared" si="63"/>
        <v>0</v>
      </c>
    </row>
    <row r="292" spans="1:19">
      <c r="A292" s="155"/>
      <c r="B292" s="57"/>
      <c r="C292" s="24">
        <f t="shared" si="54"/>
        <v>1</v>
      </c>
      <c r="D292" s="675"/>
      <c r="E292" s="24">
        <f t="shared" si="55"/>
        <v>1</v>
      </c>
      <c r="F292" s="675"/>
      <c r="G292" s="24">
        <f t="shared" si="56"/>
        <v>1</v>
      </c>
      <c r="H292" s="675"/>
      <c r="I292" s="24">
        <f t="shared" si="57"/>
        <v>1</v>
      </c>
      <c r="J292" s="675"/>
      <c r="K292" s="24">
        <f t="shared" si="58"/>
        <v>1</v>
      </c>
      <c r="L292" s="675"/>
      <c r="M292" s="24">
        <f t="shared" si="59"/>
        <v>1</v>
      </c>
      <c r="N292" s="675"/>
      <c r="O292" s="24">
        <f t="shared" si="60"/>
        <v>1</v>
      </c>
      <c r="P292" s="675"/>
      <c r="Q292" s="24">
        <f t="shared" si="61"/>
        <v>0</v>
      </c>
      <c r="R292" s="671">
        <f t="shared" si="62"/>
        <v>0</v>
      </c>
      <c r="S292" s="322">
        <f t="shared" si="63"/>
        <v>0</v>
      </c>
    </row>
    <row r="293" spans="1:19">
      <c r="A293" s="155"/>
      <c r="B293" s="57"/>
      <c r="C293" s="24">
        <f t="shared" si="54"/>
        <v>1</v>
      </c>
      <c r="D293" s="675"/>
      <c r="E293" s="24">
        <f t="shared" si="55"/>
        <v>1</v>
      </c>
      <c r="F293" s="675"/>
      <c r="G293" s="24">
        <f t="shared" si="56"/>
        <v>1</v>
      </c>
      <c r="H293" s="675"/>
      <c r="I293" s="24">
        <f t="shared" si="57"/>
        <v>1</v>
      </c>
      <c r="J293" s="675"/>
      <c r="K293" s="24">
        <f t="shared" si="58"/>
        <v>1</v>
      </c>
      <c r="L293" s="675"/>
      <c r="M293" s="24">
        <f t="shared" si="59"/>
        <v>1</v>
      </c>
      <c r="N293" s="675"/>
      <c r="O293" s="24">
        <f t="shared" si="60"/>
        <v>1</v>
      </c>
      <c r="P293" s="675"/>
      <c r="Q293" s="24">
        <f t="shared" si="61"/>
        <v>0</v>
      </c>
      <c r="R293" s="671">
        <f t="shared" si="62"/>
        <v>0</v>
      </c>
      <c r="S293" s="322">
        <f t="shared" si="63"/>
        <v>0</v>
      </c>
    </row>
    <row r="294" spans="1:19">
      <c r="A294" s="155"/>
      <c r="B294" s="57"/>
      <c r="C294" s="24">
        <f t="shared" si="54"/>
        <v>1</v>
      </c>
      <c r="D294" s="675"/>
      <c r="E294" s="24">
        <f t="shared" si="55"/>
        <v>1</v>
      </c>
      <c r="F294" s="675"/>
      <c r="G294" s="24">
        <f t="shared" si="56"/>
        <v>1</v>
      </c>
      <c r="H294" s="675"/>
      <c r="I294" s="24">
        <f t="shared" si="57"/>
        <v>1</v>
      </c>
      <c r="J294" s="675"/>
      <c r="K294" s="24">
        <f t="shared" si="58"/>
        <v>1</v>
      </c>
      <c r="L294" s="675"/>
      <c r="M294" s="24">
        <f t="shared" si="59"/>
        <v>1</v>
      </c>
      <c r="N294" s="675"/>
      <c r="O294" s="24">
        <f t="shared" si="60"/>
        <v>1</v>
      </c>
      <c r="P294" s="675"/>
      <c r="Q294" s="24">
        <f t="shared" si="61"/>
        <v>0</v>
      </c>
      <c r="R294" s="671">
        <f t="shared" si="62"/>
        <v>0</v>
      </c>
      <c r="S294" s="322">
        <f t="shared" si="63"/>
        <v>0</v>
      </c>
    </row>
    <row r="295" spans="1:19">
      <c r="A295" s="155"/>
      <c r="B295" s="57"/>
      <c r="C295" s="24">
        <f t="shared" si="54"/>
        <v>1</v>
      </c>
      <c r="D295" s="675"/>
      <c r="E295" s="24">
        <f t="shared" si="55"/>
        <v>1</v>
      </c>
      <c r="F295" s="675"/>
      <c r="G295" s="24">
        <f t="shared" si="56"/>
        <v>1</v>
      </c>
      <c r="H295" s="675"/>
      <c r="I295" s="24">
        <f t="shared" si="57"/>
        <v>1</v>
      </c>
      <c r="J295" s="675"/>
      <c r="K295" s="24">
        <f t="shared" si="58"/>
        <v>1</v>
      </c>
      <c r="L295" s="675"/>
      <c r="M295" s="24">
        <f t="shared" si="59"/>
        <v>1</v>
      </c>
      <c r="N295" s="675"/>
      <c r="O295" s="24">
        <f t="shared" si="60"/>
        <v>1</v>
      </c>
      <c r="P295" s="675"/>
      <c r="Q295" s="24">
        <f t="shared" si="61"/>
        <v>0</v>
      </c>
      <c r="R295" s="671">
        <f t="shared" si="62"/>
        <v>0</v>
      </c>
      <c r="S295" s="322">
        <f t="shared" si="63"/>
        <v>0</v>
      </c>
    </row>
    <row r="296" spans="1:19">
      <c r="A296" s="155"/>
      <c r="B296" s="57"/>
      <c r="C296" s="24">
        <f t="shared" si="54"/>
        <v>1</v>
      </c>
      <c r="D296" s="675"/>
      <c r="E296" s="24">
        <f t="shared" si="55"/>
        <v>1</v>
      </c>
      <c r="F296" s="675"/>
      <c r="G296" s="24">
        <f t="shared" si="56"/>
        <v>1</v>
      </c>
      <c r="H296" s="675"/>
      <c r="I296" s="24">
        <f t="shared" si="57"/>
        <v>1</v>
      </c>
      <c r="J296" s="675"/>
      <c r="K296" s="24">
        <f t="shared" si="58"/>
        <v>1</v>
      </c>
      <c r="L296" s="675"/>
      <c r="M296" s="24">
        <f t="shared" si="59"/>
        <v>1</v>
      </c>
      <c r="N296" s="675"/>
      <c r="O296" s="24">
        <f t="shared" si="60"/>
        <v>1</v>
      </c>
      <c r="P296" s="675"/>
      <c r="Q296" s="24">
        <f t="shared" si="61"/>
        <v>0</v>
      </c>
      <c r="R296" s="671">
        <f t="shared" si="62"/>
        <v>0</v>
      </c>
      <c r="S296" s="322">
        <f t="shared" si="63"/>
        <v>0</v>
      </c>
    </row>
    <row r="297" spans="1:19">
      <c r="A297" s="155"/>
      <c r="B297" s="57"/>
      <c r="C297" s="24">
        <f t="shared" si="54"/>
        <v>1</v>
      </c>
      <c r="D297" s="675"/>
      <c r="E297" s="24">
        <f t="shared" si="55"/>
        <v>1</v>
      </c>
      <c r="F297" s="675"/>
      <c r="G297" s="24">
        <f t="shared" si="56"/>
        <v>1</v>
      </c>
      <c r="H297" s="675"/>
      <c r="I297" s="24">
        <f t="shared" si="57"/>
        <v>1</v>
      </c>
      <c r="J297" s="675"/>
      <c r="K297" s="24">
        <f t="shared" si="58"/>
        <v>1</v>
      </c>
      <c r="L297" s="675"/>
      <c r="M297" s="24">
        <f t="shared" si="59"/>
        <v>1</v>
      </c>
      <c r="N297" s="675"/>
      <c r="O297" s="24">
        <f t="shared" si="60"/>
        <v>1</v>
      </c>
      <c r="P297" s="675"/>
      <c r="Q297" s="24">
        <f t="shared" si="61"/>
        <v>0</v>
      </c>
      <c r="R297" s="671">
        <f t="shared" si="62"/>
        <v>0</v>
      </c>
      <c r="S297" s="322">
        <f t="shared" si="63"/>
        <v>0</v>
      </c>
    </row>
    <row r="298" spans="1:19">
      <c r="A298" s="155"/>
      <c r="B298" s="57"/>
      <c r="C298" s="24">
        <f t="shared" si="54"/>
        <v>1</v>
      </c>
      <c r="D298" s="675"/>
      <c r="E298" s="24">
        <f t="shared" si="55"/>
        <v>1</v>
      </c>
      <c r="F298" s="675"/>
      <c r="G298" s="24">
        <f t="shared" si="56"/>
        <v>1</v>
      </c>
      <c r="H298" s="675"/>
      <c r="I298" s="24">
        <f t="shared" si="57"/>
        <v>1</v>
      </c>
      <c r="J298" s="675"/>
      <c r="K298" s="24">
        <f t="shared" si="58"/>
        <v>1</v>
      </c>
      <c r="L298" s="675"/>
      <c r="M298" s="24">
        <f t="shared" si="59"/>
        <v>1</v>
      </c>
      <c r="N298" s="675"/>
      <c r="O298" s="24">
        <f t="shared" si="60"/>
        <v>1</v>
      </c>
      <c r="P298" s="675"/>
      <c r="Q298" s="24">
        <f t="shared" si="61"/>
        <v>0</v>
      </c>
      <c r="R298" s="671">
        <f t="shared" si="62"/>
        <v>0</v>
      </c>
      <c r="S298" s="322">
        <f t="shared" si="63"/>
        <v>0</v>
      </c>
    </row>
    <row r="299" spans="1:19">
      <c r="A299" s="155"/>
      <c r="B299" s="57"/>
      <c r="C299" s="24">
        <f t="shared" si="54"/>
        <v>1</v>
      </c>
      <c r="D299" s="675"/>
      <c r="E299" s="24">
        <f t="shared" si="55"/>
        <v>1</v>
      </c>
      <c r="F299" s="675"/>
      <c r="G299" s="24">
        <f t="shared" si="56"/>
        <v>1</v>
      </c>
      <c r="H299" s="675"/>
      <c r="I299" s="24">
        <f t="shared" si="57"/>
        <v>1</v>
      </c>
      <c r="J299" s="675"/>
      <c r="K299" s="24">
        <f t="shared" si="58"/>
        <v>1</v>
      </c>
      <c r="L299" s="675"/>
      <c r="M299" s="24">
        <f t="shared" si="59"/>
        <v>1</v>
      </c>
      <c r="N299" s="675"/>
      <c r="O299" s="24">
        <f t="shared" si="60"/>
        <v>1</v>
      </c>
      <c r="P299" s="675"/>
      <c r="Q299" s="24">
        <f t="shared" si="61"/>
        <v>0</v>
      </c>
      <c r="R299" s="671">
        <f t="shared" si="62"/>
        <v>0</v>
      </c>
      <c r="S299" s="322">
        <f t="shared" si="63"/>
        <v>0</v>
      </c>
    </row>
    <row r="300" spans="1:19">
      <c r="A300" s="155"/>
      <c r="B300" s="57"/>
      <c r="C300" s="24">
        <f t="shared" si="54"/>
        <v>1</v>
      </c>
      <c r="D300" s="675"/>
      <c r="E300" s="24">
        <f t="shared" si="55"/>
        <v>1</v>
      </c>
      <c r="F300" s="675"/>
      <c r="G300" s="24">
        <f t="shared" si="56"/>
        <v>1</v>
      </c>
      <c r="H300" s="675"/>
      <c r="I300" s="24">
        <f t="shared" si="57"/>
        <v>1</v>
      </c>
      <c r="J300" s="675"/>
      <c r="K300" s="24">
        <f t="shared" si="58"/>
        <v>1</v>
      </c>
      <c r="L300" s="675"/>
      <c r="M300" s="24">
        <f t="shared" si="59"/>
        <v>1</v>
      </c>
      <c r="N300" s="675"/>
      <c r="O300" s="24">
        <f t="shared" si="60"/>
        <v>1</v>
      </c>
      <c r="P300" s="675"/>
      <c r="Q300" s="24">
        <f t="shared" si="61"/>
        <v>0</v>
      </c>
      <c r="R300" s="671">
        <f t="shared" si="62"/>
        <v>0</v>
      </c>
      <c r="S300" s="322">
        <f t="shared" si="63"/>
        <v>0</v>
      </c>
    </row>
    <row r="301" spans="1:19">
      <c r="A301" s="155"/>
      <c r="B301" s="57"/>
      <c r="C301" s="24">
        <f t="shared" si="54"/>
        <v>1</v>
      </c>
      <c r="D301" s="675"/>
      <c r="E301" s="24">
        <f t="shared" si="55"/>
        <v>1</v>
      </c>
      <c r="F301" s="675"/>
      <c r="G301" s="24">
        <f t="shared" si="56"/>
        <v>1</v>
      </c>
      <c r="H301" s="675"/>
      <c r="I301" s="24">
        <f t="shared" si="57"/>
        <v>1</v>
      </c>
      <c r="J301" s="675"/>
      <c r="K301" s="24">
        <f t="shared" si="58"/>
        <v>1</v>
      </c>
      <c r="L301" s="675"/>
      <c r="M301" s="24">
        <f t="shared" si="59"/>
        <v>1</v>
      </c>
      <c r="N301" s="675"/>
      <c r="O301" s="24">
        <f t="shared" si="60"/>
        <v>1</v>
      </c>
      <c r="P301" s="675"/>
      <c r="Q301" s="24">
        <f t="shared" si="61"/>
        <v>0</v>
      </c>
      <c r="R301" s="671">
        <f t="shared" si="62"/>
        <v>0</v>
      </c>
      <c r="S301" s="322">
        <f t="shared" si="63"/>
        <v>0</v>
      </c>
    </row>
    <row r="302" spans="1:19">
      <c r="A302" s="155"/>
      <c r="B302" s="57"/>
      <c r="C302" s="24">
        <f t="shared" si="54"/>
        <v>1</v>
      </c>
      <c r="D302" s="675"/>
      <c r="E302" s="24">
        <f t="shared" si="55"/>
        <v>1</v>
      </c>
      <c r="F302" s="675"/>
      <c r="G302" s="24">
        <f t="shared" si="56"/>
        <v>1</v>
      </c>
      <c r="H302" s="675"/>
      <c r="I302" s="24">
        <f t="shared" si="57"/>
        <v>1</v>
      </c>
      <c r="J302" s="675"/>
      <c r="K302" s="24">
        <f t="shared" si="58"/>
        <v>1</v>
      </c>
      <c r="L302" s="675"/>
      <c r="M302" s="24">
        <f t="shared" si="59"/>
        <v>1</v>
      </c>
      <c r="N302" s="675"/>
      <c r="O302" s="24">
        <f t="shared" si="60"/>
        <v>1</v>
      </c>
      <c r="P302" s="675"/>
      <c r="Q302" s="24">
        <f t="shared" si="61"/>
        <v>0</v>
      </c>
      <c r="R302" s="671">
        <f t="shared" si="62"/>
        <v>0</v>
      </c>
      <c r="S302" s="322">
        <f t="shared" si="63"/>
        <v>0</v>
      </c>
    </row>
    <row r="303" spans="1:19">
      <c r="A303" s="155"/>
      <c r="B303" s="57"/>
      <c r="C303" s="24">
        <f t="shared" si="54"/>
        <v>1</v>
      </c>
      <c r="D303" s="675"/>
      <c r="E303" s="24">
        <f t="shared" si="55"/>
        <v>1</v>
      </c>
      <c r="F303" s="675"/>
      <c r="G303" s="24">
        <f t="shared" si="56"/>
        <v>1</v>
      </c>
      <c r="H303" s="675"/>
      <c r="I303" s="24">
        <f t="shared" si="57"/>
        <v>1</v>
      </c>
      <c r="J303" s="675"/>
      <c r="K303" s="24">
        <f t="shared" si="58"/>
        <v>1</v>
      </c>
      <c r="L303" s="675"/>
      <c r="M303" s="24">
        <f t="shared" si="59"/>
        <v>1</v>
      </c>
      <c r="N303" s="675"/>
      <c r="O303" s="24">
        <f t="shared" si="60"/>
        <v>1</v>
      </c>
      <c r="P303" s="675"/>
      <c r="Q303" s="24">
        <f t="shared" si="61"/>
        <v>0</v>
      </c>
      <c r="R303" s="671">
        <f t="shared" si="62"/>
        <v>0</v>
      </c>
      <c r="S303" s="322">
        <f t="shared" si="63"/>
        <v>0</v>
      </c>
    </row>
    <row r="304" spans="1:19">
      <c r="A304" s="155"/>
      <c r="B304" s="57"/>
      <c r="C304" s="24">
        <f t="shared" si="54"/>
        <v>1</v>
      </c>
      <c r="D304" s="675"/>
      <c r="E304" s="24">
        <f t="shared" si="55"/>
        <v>1</v>
      </c>
      <c r="F304" s="675"/>
      <c r="G304" s="24">
        <f t="shared" si="56"/>
        <v>1</v>
      </c>
      <c r="H304" s="675"/>
      <c r="I304" s="24">
        <f t="shared" si="57"/>
        <v>1</v>
      </c>
      <c r="J304" s="675"/>
      <c r="K304" s="24">
        <f t="shared" si="58"/>
        <v>1</v>
      </c>
      <c r="L304" s="675"/>
      <c r="M304" s="24">
        <f t="shared" si="59"/>
        <v>1</v>
      </c>
      <c r="N304" s="675"/>
      <c r="O304" s="24">
        <f t="shared" si="60"/>
        <v>1</v>
      </c>
      <c r="P304" s="675"/>
      <c r="Q304" s="24">
        <f t="shared" si="61"/>
        <v>0</v>
      </c>
      <c r="R304" s="671">
        <f t="shared" si="62"/>
        <v>0</v>
      </c>
      <c r="S304" s="322">
        <f t="shared" si="63"/>
        <v>0</v>
      </c>
    </row>
    <row r="305" spans="1:19">
      <c r="A305" s="155"/>
      <c r="B305" s="57"/>
      <c r="C305" s="24">
        <f t="shared" si="54"/>
        <v>1</v>
      </c>
      <c r="D305" s="675"/>
      <c r="E305" s="24">
        <f t="shared" si="55"/>
        <v>1</v>
      </c>
      <c r="F305" s="675"/>
      <c r="G305" s="24">
        <f t="shared" si="56"/>
        <v>1</v>
      </c>
      <c r="H305" s="675"/>
      <c r="I305" s="24">
        <f t="shared" si="57"/>
        <v>1</v>
      </c>
      <c r="J305" s="675"/>
      <c r="K305" s="24">
        <f t="shared" si="58"/>
        <v>1</v>
      </c>
      <c r="L305" s="675"/>
      <c r="M305" s="24">
        <f t="shared" si="59"/>
        <v>1</v>
      </c>
      <c r="N305" s="675"/>
      <c r="O305" s="24">
        <f t="shared" si="60"/>
        <v>1</v>
      </c>
      <c r="P305" s="675"/>
      <c r="Q305" s="24">
        <f t="shared" si="61"/>
        <v>0</v>
      </c>
      <c r="R305" s="671">
        <f t="shared" si="62"/>
        <v>0</v>
      </c>
      <c r="S305" s="322">
        <f t="shared" si="63"/>
        <v>0</v>
      </c>
    </row>
    <row r="306" spans="1:19">
      <c r="A306" s="155"/>
      <c r="B306" s="57"/>
      <c r="C306" s="24">
        <f t="shared" si="54"/>
        <v>1</v>
      </c>
      <c r="D306" s="675"/>
      <c r="E306" s="24">
        <f t="shared" si="55"/>
        <v>1</v>
      </c>
      <c r="F306" s="675"/>
      <c r="G306" s="24">
        <f t="shared" si="56"/>
        <v>1</v>
      </c>
      <c r="H306" s="675"/>
      <c r="I306" s="24">
        <f t="shared" si="57"/>
        <v>1</v>
      </c>
      <c r="J306" s="675"/>
      <c r="K306" s="24">
        <f t="shared" si="58"/>
        <v>1</v>
      </c>
      <c r="L306" s="675"/>
      <c r="M306" s="24">
        <f t="shared" si="59"/>
        <v>1</v>
      </c>
      <c r="N306" s="675"/>
      <c r="O306" s="24">
        <f t="shared" si="60"/>
        <v>1</v>
      </c>
      <c r="P306" s="675"/>
      <c r="Q306" s="24">
        <f t="shared" si="61"/>
        <v>0</v>
      </c>
      <c r="R306" s="671">
        <f t="shared" si="62"/>
        <v>0</v>
      </c>
      <c r="S306" s="322">
        <f t="shared" si="63"/>
        <v>0</v>
      </c>
    </row>
    <row r="307" spans="1:19">
      <c r="A307" s="155"/>
      <c r="B307" s="57"/>
      <c r="C307" s="24">
        <f t="shared" si="54"/>
        <v>1</v>
      </c>
      <c r="D307" s="675"/>
      <c r="E307" s="24">
        <f t="shared" si="55"/>
        <v>1</v>
      </c>
      <c r="F307" s="675"/>
      <c r="G307" s="24">
        <f t="shared" si="56"/>
        <v>1</v>
      </c>
      <c r="H307" s="675"/>
      <c r="I307" s="24">
        <f t="shared" si="57"/>
        <v>1</v>
      </c>
      <c r="J307" s="675"/>
      <c r="K307" s="24">
        <f t="shared" si="58"/>
        <v>1</v>
      </c>
      <c r="L307" s="675"/>
      <c r="M307" s="24">
        <f t="shared" si="59"/>
        <v>1</v>
      </c>
      <c r="N307" s="675"/>
      <c r="O307" s="24">
        <f t="shared" si="60"/>
        <v>1</v>
      </c>
      <c r="P307" s="675"/>
      <c r="Q307" s="24">
        <f t="shared" si="61"/>
        <v>0</v>
      </c>
      <c r="R307" s="671">
        <f t="shared" si="62"/>
        <v>0</v>
      </c>
      <c r="S307" s="322">
        <f t="shared" si="63"/>
        <v>0</v>
      </c>
    </row>
    <row r="308" spans="1:19">
      <c r="A308" s="155"/>
      <c r="B308" s="57"/>
      <c r="C308" s="24">
        <f t="shared" si="54"/>
        <v>1</v>
      </c>
      <c r="D308" s="675"/>
      <c r="E308" s="24">
        <f t="shared" si="55"/>
        <v>1</v>
      </c>
      <c r="F308" s="675"/>
      <c r="G308" s="24">
        <f t="shared" si="56"/>
        <v>1</v>
      </c>
      <c r="H308" s="675"/>
      <c r="I308" s="24">
        <f t="shared" si="57"/>
        <v>1</v>
      </c>
      <c r="J308" s="675"/>
      <c r="K308" s="24">
        <f t="shared" si="58"/>
        <v>1</v>
      </c>
      <c r="L308" s="675"/>
      <c r="M308" s="24">
        <f t="shared" si="59"/>
        <v>1</v>
      </c>
      <c r="N308" s="675"/>
      <c r="O308" s="24">
        <f t="shared" si="60"/>
        <v>1</v>
      </c>
      <c r="P308" s="675"/>
      <c r="Q308" s="24">
        <f t="shared" si="61"/>
        <v>0</v>
      </c>
      <c r="R308" s="671">
        <f t="shared" si="62"/>
        <v>0</v>
      </c>
      <c r="S308" s="322">
        <f t="shared" si="63"/>
        <v>0</v>
      </c>
    </row>
    <row r="309" spans="1:19">
      <c r="A309" s="155"/>
      <c r="B309" s="57"/>
      <c r="C309" s="24">
        <f t="shared" si="54"/>
        <v>1</v>
      </c>
      <c r="D309" s="675"/>
      <c r="E309" s="24">
        <f t="shared" si="55"/>
        <v>1</v>
      </c>
      <c r="F309" s="675"/>
      <c r="G309" s="24">
        <f t="shared" si="56"/>
        <v>1</v>
      </c>
      <c r="H309" s="675"/>
      <c r="I309" s="24">
        <f t="shared" si="57"/>
        <v>1</v>
      </c>
      <c r="J309" s="675"/>
      <c r="K309" s="24">
        <f t="shared" si="58"/>
        <v>1</v>
      </c>
      <c r="L309" s="675"/>
      <c r="M309" s="24">
        <f t="shared" si="59"/>
        <v>1</v>
      </c>
      <c r="N309" s="675"/>
      <c r="O309" s="24">
        <f t="shared" si="60"/>
        <v>1</v>
      </c>
      <c r="P309" s="675"/>
      <c r="Q309" s="24">
        <f t="shared" si="61"/>
        <v>0</v>
      </c>
      <c r="R309" s="671">
        <f t="shared" si="62"/>
        <v>0</v>
      </c>
      <c r="S309" s="322">
        <f t="shared" si="63"/>
        <v>0</v>
      </c>
    </row>
    <row r="310" spans="1:19">
      <c r="A310" s="155"/>
      <c r="B310" s="57"/>
      <c r="C310" s="24">
        <f t="shared" si="54"/>
        <v>1</v>
      </c>
      <c r="D310" s="675"/>
      <c r="E310" s="24">
        <f t="shared" si="55"/>
        <v>1</v>
      </c>
      <c r="F310" s="675"/>
      <c r="G310" s="24">
        <f t="shared" si="56"/>
        <v>1</v>
      </c>
      <c r="H310" s="675"/>
      <c r="I310" s="24">
        <f t="shared" si="57"/>
        <v>1</v>
      </c>
      <c r="J310" s="675"/>
      <c r="K310" s="24">
        <f t="shared" si="58"/>
        <v>1</v>
      </c>
      <c r="L310" s="675"/>
      <c r="M310" s="24">
        <f t="shared" si="59"/>
        <v>1</v>
      </c>
      <c r="N310" s="675"/>
      <c r="O310" s="24">
        <f t="shared" si="60"/>
        <v>1</v>
      </c>
      <c r="P310" s="675"/>
      <c r="Q310" s="24">
        <f t="shared" si="61"/>
        <v>0</v>
      </c>
      <c r="R310" s="671">
        <f t="shared" si="62"/>
        <v>0</v>
      </c>
      <c r="S310" s="322">
        <f t="shared" si="63"/>
        <v>0</v>
      </c>
    </row>
    <row r="311" spans="1:19">
      <c r="A311" s="155"/>
      <c r="B311" s="57"/>
      <c r="C311" s="24">
        <f t="shared" si="54"/>
        <v>1</v>
      </c>
      <c r="D311" s="675"/>
      <c r="E311" s="24">
        <f t="shared" si="55"/>
        <v>1</v>
      </c>
      <c r="F311" s="675"/>
      <c r="G311" s="24">
        <f t="shared" si="56"/>
        <v>1</v>
      </c>
      <c r="H311" s="675"/>
      <c r="I311" s="24">
        <f t="shared" si="57"/>
        <v>1</v>
      </c>
      <c r="J311" s="675"/>
      <c r="K311" s="24">
        <f t="shared" si="58"/>
        <v>1</v>
      </c>
      <c r="L311" s="675"/>
      <c r="M311" s="24">
        <f t="shared" si="59"/>
        <v>1</v>
      </c>
      <c r="N311" s="675"/>
      <c r="O311" s="24">
        <f t="shared" si="60"/>
        <v>1</v>
      </c>
      <c r="P311" s="675"/>
      <c r="Q311" s="24">
        <f t="shared" si="61"/>
        <v>0</v>
      </c>
      <c r="R311" s="671">
        <f t="shared" si="62"/>
        <v>0</v>
      </c>
      <c r="S311" s="322">
        <f t="shared" si="63"/>
        <v>0</v>
      </c>
    </row>
    <row r="312" spans="1:19">
      <c r="A312" s="155"/>
      <c r="B312" s="57"/>
      <c r="C312" s="24">
        <f t="shared" si="54"/>
        <v>1</v>
      </c>
      <c r="D312" s="675"/>
      <c r="E312" s="24">
        <f t="shared" si="55"/>
        <v>1</v>
      </c>
      <c r="F312" s="675"/>
      <c r="G312" s="24">
        <f t="shared" si="56"/>
        <v>1</v>
      </c>
      <c r="H312" s="675"/>
      <c r="I312" s="24">
        <f t="shared" si="57"/>
        <v>1</v>
      </c>
      <c r="J312" s="675"/>
      <c r="K312" s="24">
        <f t="shared" si="58"/>
        <v>1</v>
      </c>
      <c r="L312" s="675"/>
      <c r="M312" s="24">
        <f t="shared" si="59"/>
        <v>1</v>
      </c>
      <c r="N312" s="675"/>
      <c r="O312" s="24">
        <f t="shared" si="60"/>
        <v>1</v>
      </c>
      <c r="P312" s="675"/>
      <c r="Q312" s="24">
        <f t="shared" si="61"/>
        <v>0</v>
      </c>
      <c r="R312" s="671">
        <f t="shared" si="62"/>
        <v>0</v>
      </c>
      <c r="S312" s="322">
        <f t="shared" si="63"/>
        <v>0</v>
      </c>
    </row>
    <row r="313" spans="1:19">
      <c r="A313" s="155"/>
      <c r="B313" s="57"/>
      <c r="C313" s="24">
        <f t="shared" si="54"/>
        <v>1</v>
      </c>
      <c r="D313" s="675"/>
      <c r="E313" s="24">
        <f t="shared" si="55"/>
        <v>1</v>
      </c>
      <c r="F313" s="675"/>
      <c r="G313" s="24">
        <f t="shared" si="56"/>
        <v>1</v>
      </c>
      <c r="H313" s="675"/>
      <c r="I313" s="24">
        <f t="shared" si="57"/>
        <v>1</v>
      </c>
      <c r="J313" s="675"/>
      <c r="K313" s="24">
        <f t="shared" si="58"/>
        <v>1</v>
      </c>
      <c r="L313" s="675"/>
      <c r="M313" s="24">
        <f t="shared" si="59"/>
        <v>1</v>
      </c>
      <c r="N313" s="675"/>
      <c r="O313" s="24">
        <f t="shared" si="60"/>
        <v>1</v>
      </c>
      <c r="P313" s="675"/>
      <c r="Q313" s="24">
        <f t="shared" si="61"/>
        <v>0</v>
      </c>
      <c r="R313" s="671">
        <f t="shared" si="62"/>
        <v>0</v>
      </c>
      <c r="S313" s="322">
        <f t="shared" si="63"/>
        <v>0</v>
      </c>
    </row>
    <row r="314" spans="1:19">
      <c r="A314" s="155"/>
      <c r="B314" s="57"/>
      <c r="C314" s="24">
        <f t="shared" si="54"/>
        <v>1</v>
      </c>
      <c r="D314" s="675"/>
      <c r="E314" s="24">
        <f t="shared" si="55"/>
        <v>1</v>
      </c>
      <c r="F314" s="675"/>
      <c r="G314" s="24">
        <f t="shared" si="56"/>
        <v>1</v>
      </c>
      <c r="H314" s="675"/>
      <c r="I314" s="24">
        <f t="shared" si="57"/>
        <v>1</v>
      </c>
      <c r="J314" s="675"/>
      <c r="K314" s="24">
        <f t="shared" si="58"/>
        <v>1</v>
      </c>
      <c r="L314" s="675"/>
      <c r="M314" s="24">
        <f t="shared" si="59"/>
        <v>1</v>
      </c>
      <c r="N314" s="675"/>
      <c r="O314" s="24">
        <f t="shared" si="60"/>
        <v>1</v>
      </c>
      <c r="P314" s="675"/>
      <c r="Q314" s="24">
        <f t="shared" si="61"/>
        <v>0</v>
      </c>
      <c r="R314" s="671">
        <f t="shared" si="62"/>
        <v>0</v>
      </c>
      <c r="S314" s="322">
        <f t="shared" si="63"/>
        <v>0</v>
      </c>
    </row>
    <row r="315" spans="1:19">
      <c r="A315" s="155"/>
      <c r="B315" s="57"/>
      <c r="C315" s="24">
        <f t="shared" si="54"/>
        <v>1</v>
      </c>
      <c r="D315" s="675"/>
      <c r="E315" s="24">
        <f t="shared" si="55"/>
        <v>1</v>
      </c>
      <c r="F315" s="675"/>
      <c r="G315" s="24">
        <f t="shared" si="56"/>
        <v>1</v>
      </c>
      <c r="H315" s="675"/>
      <c r="I315" s="24">
        <f t="shared" si="57"/>
        <v>1</v>
      </c>
      <c r="J315" s="675"/>
      <c r="K315" s="24">
        <f t="shared" si="58"/>
        <v>1</v>
      </c>
      <c r="L315" s="675"/>
      <c r="M315" s="24">
        <f t="shared" si="59"/>
        <v>1</v>
      </c>
      <c r="N315" s="675"/>
      <c r="O315" s="24">
        <f t="shared" si="60"/>
        <v>1</v>
      </c>
      <c r="P315" s="675"/>
      <c r="Q315" s="24">
        <f t="shared" si="61"/>
        <v>0</v>
      </c>
      <c r="R315" s="671">
        <f t="shared" si="62"/>
        <v>0</v>
      </c>
      <c r="S315" s="322">
        <f t="shared" si="63"/>
        <v>0</v>
      </c>
    </row>
    <row r="316" spans="1:19">
      <c r="A316" s="155"/>
      <c r="B316" s="57"/>
      <c r="C316" s="24">
        <f t="shared" si="54"/>
        <v>1</v>
      </c>
      <c r="D316" s="675"/>
      <c r="E316" s="24">
        <f t="shared" si="55"/>
        <v>1</v>
      </c>
      <c r="F316" s="675"/>
      <c r="G316" s="24">
        <f t="shared" si="56"/>
        <v>1</v>
      </c>
      <c r="H316" s="675"/>
      <c r="I316" s="24">
        <f t="shared" si="57"/>
        <v>1</v>
      </c>
      <c r="J316" s="675"/>
      <c r="K316" s="24">
        <f t="shared" si="58"/>
        <v>1</v>
      </c>
      <c r="L316" s="675"/>
      <c r="M316" s="24">
        <f t="shared" si="59"/>
        <v>1</v>
      </c>
      <c r="N316" s="675"/>
      <c r="O316" s="24">
        <f t="shared" si="60"/>
        <v>1</v>
      </c>
      <c r="P316" s="675"/>
      <c r="Q316" s="24">
        <f t="shared" si="61"/>
        <v>0</v>
      </c>
      <c r="R316" s="671">
        <f t="shared" si="62"/>
        <v>0</v>
      </c>
      <c r="S316" s="322">
        <f t="shared" si="63"/>
        <v>0</v>
      </c>
    </row>
    <row r="317" spans="1:19">
      <c r="A317" s="155"/>
      <c r="B317" s="57"/>
      <c r="C317" s="24">
        <f t="shared" si="54"/>
        <v>1</v>
      </c>
      <c r="D317" s="675"/>
      <c r="E317" s="24">
        <f t="shared" si="55"/>
        <v>1</v>
      </c>
      <c r="F317" s="675"/>
      <c r="G317" s="24">
        <f t="shared" si="56"/>
        <v>1</v>
      </c>
      <c r="H317" s="675"/>
      <c r="I317" s="24">
        <f t="shared" si="57"/>
        <v>1</v>
      </c>
      <c r="J317" s="675"/>
      <c r="K317" s="24">
        <f t="shared" si="58"/>
        <v>1</v>
      </c>
      <c r="L317" s="675"/>
      <c r="M317" s="24">
        <f t="shared" si="59"/>
        <v>1</v>
      </c>
      <c r="N317" s="675"/>
      <c r="O317" s="24">
        <f t="shared" si="60"/>
        <v>1</v>
      </c>
      <c r="P317" s="675"/>
      <c r="Q317" s="24">
        <f t="shared" si="61"/>
        <v>0</v>
      </c>
      <c r="R317" s="671">
        <f t="shared" si="62"/>
        <v>0</v>
      </c>
      <c r="S317" s="322">
        <f t="shared" si="63"/>
        <v>0</v>
      </c>
    </row>
    <row r="318" spans="1:19">
      <c r="A318" s="155"/>
      <c r="B318" s="57"/>
      <c r="C318" s="24">
        <f t="shared" si="54"/>
        <v>1</v>
      </c>
      <c r="D318" s="675"/>
      <c r="E318" s="24">
        <f t="shared" si="55"/>
        <v>1</v>
      </c>
      <c r="F318" s="675"/>
      <c r="G318" s="24">
        <f t="shared" si="56"/>
        <v>1</v>
      </c>
      <c r="H318" s="675"/>
      <c r="I318" s="24">
        <f t="shared" si="57"/>
        <v>1</v>
      </c>
      <c r="J318" s="675"/>
      <c r="K318" s="24">
        <f t="shared" si="58"/>
        <v>1</v>
      </c>
      <c r="L318" s="675"/>
      <c r="M318" s="24">
        <f t="shared" si="59"/>
        <v>1</v>
      </c>
      <c r="N318" s="675"/>
      <c r="O318" s="24">
        <f t="shared" si="60"/>
        <v>1</v>
      </c>
      <c r="P318" s="675"/>
      <c r="Q318" s="24">
        <f t="shared" si="61"/>
        <v>0</v>
      </c>
      <c r="R318" s="671">
        <f t="shared" si="62"/>
        <v>0</v>
      </c>
      <c r="S318" s="322">
        <f t="shared" si="63"/>
        <v>0</v>
      </c>
    </row>
    <row r="319" spans="1:19">
      <c r="A319" s="155"/>
      <c r="B319" s="57"/>
      <c r="C319" s="24">
        <f t="shared" si="54"/>
        <v>1</v>
      </c>
      <c r="D319" s="675"/>
      <c r="E319" s="24">
        <f t="shared" si="55"/>
        <v>1</v>
      </c>
      <c r="F319" s="675"/>
      <c r="G319" s="24">
        <f t="shared" si="56"/>
        <v>1</v>
      </c>
      <c r="H319" s="675"/>
      <c r="I319" s="24">
        <f t="shared" si="57"/>
        <v>1</v>
      </c>
      <c r="J319" s="675"/>
      <c r="K319" s="24">
        <f t="shared" si="58"/>
        <v>1</v>
      </c>
      <c r="L319" s="675"/>
      <c r="M319" s="24">
        <f t="shared" si="59"/>
        <v>1</v>
      </c>
      <c r="N319" s="675"/>
      <c r="O319" s="24">
        <f t="shared" si="60"/>
        <v>1</v>
      </c>
      <c r="P319" s="675"/>
      <c r="Q319" s="24">
        <f t="shared" si="61"/>
        <v>0</v>
      </c>
      <c r="R319" s="671">
        <f t="shared" si="62"/>
        <v>0</v>
      </c>
      <c r="S319" s="322">
        <f t="shared" si="63"/>
        <v>0</v>
      </c>
    </row>
    <row r="320" spans="1:19">
      <c r="A320" s="155"/>
      <c r="B320" s="57"/>
      <c r="C320" s="24">
        <f t="shared" si="54"/>
        <v>1</v>
      </c>
      <c r="D320" s="675"/>
      <c r="E320" s="24">
        <f t="shared" si="55"/>
        <v>1</v>
      </c>
      <c r="F320" s="675"/>
      <c r="G320" s="24">
        <f t="shared" si="56"/>
        <v>1</v>
      </c>
      <c r="H320" s="675"/>
      <c r="I320" s="24">
        <f t="shared" si="57"/>
        <v>1</v>
      </c>
      <c r="J320" s="675"/>
      <c r="K320" s="24">
        <f t="shared" si="58"/>
        <v>1</v>
      </c>
      <c r="L320" s="675"/>
      <c r="M320" s="24">
        <f t="shared" si="59"/>
        <v>1</v>
      </c>
      <c r="N320" s="675"/>
      <c r="O320" s="24">
        <f t="shared" si="60"/>
        <v>1</v>
      </c>
      <c r="P320" s="675"/>
      <c r="Q320" s="24">
        <f t="shared" si="61"/>
        <v>0</v>
      </c>
      <c r="R320" s="671">
        <f t="shared" si="62"/>
        <v>0</v>
      </c>
      <c r="S320" s="322">
        <f t="shared" si="63"/>
        <v>0</v>
      </c>
    </row>
    <row r="321" spans="1:19">
      <c r="A321" s="155"/>
      <c r="B321" s="57"/>
      <c r="C321" s="24">
        <f t="shared" si="54"/>
        <v>1</v>
      </c>
      <c r="D321" s="675"/>
      <c r="E321" s="24">
        <f t="shared" si="55"/>
        <v>1</v>
      </c>
      <c r="F321" s="675"/>
      <c r="G321" s="24">
        <f t="shared" si="56"/>
        <v>1</v>
      </c>
      <c r="H321" s="675"/>
      <c r="I321" s="24">
        <f t="shared" si="57"/>
        <v>1</v>
      </c>
      <c r="J321" s="675"/>
      <c r="K321" s="24">
        <f t="shared" si="58"/>
        <v>1</v>
      </c>
      <c r="L321" s="675"/>
      <c r="M321" s="24">
        <f t="shared" si="59"/>
        <v>1</v>
      </c>
      <c r="N321" s="675"/>
      <c r="O321" s="24">
        <f t="shared" si="60"/>
        <v>1</v>
      </c>
      <c r="P321" s="675"/>
      <c r="Q321" s="24">
        <f t="shared" si="61"/>
        <v>0</v>
      </c>
      <c r="R321" s="671">
        <f t="shared" si="62"/>
        <v>0</v>
      </c>
      <c r="S321" s="322">
        <f t="shared" ref="S321:S384" si="64">ROUND(R321*B321/10000,0)</f>
        <v>0</v>
      </c>
    </row>
    <row r="322" spans="1:19">
      <c r="A322" s="155"/>
      <c r="B322" s="57"/>
      <c r="C322" s="24">
        <f t="shared" si="54"/>
        <v>1</v>
      </c>
      <c r="D322" s="675"/>
      <c r="E322" s="24">
        <f t="shared" si="55"/>
        <v>1</v>
      </c>
      <c r="F322" s="675"/>
      <c r="G322" s="24">
        <f t="shared" si="56"/>
        <v>1</v>
      </c>
      <c r="H322" s="675"/>
      <c r="I322" s="24">
        <f t="shared" si="57"/>
        <v>1</v>
      </c>
      <c r="J322" s="675"/>
      <c r="K322" s="24">
        <f t="shared" si="58"/>
        <v>1</v>
      </c>
      <c r="L322" s="675"/>
      <c r="M322" s="24">
        <f t="shared" si="59"/>
        <v>1</v>
      </c>
      <c r="N322" s="675"/>
      <c r="O322" s="24">
        <f t="shared" si="60"/>
        <v>1</v>
      </c>
      <c r="P322" s="675"/>
      <c r="Q322" s="24">
        <f t="shared" si="61"/>
        <v>0</v>
      </c>
      <c r="R322" s="671">
        <f t="shared" si="62"/>
        <v>0</v>
      </c>
      <c r="S322" s="322">
        <f t="shared" si="64"/>
        <v>0</v>
      </c>
    </row>
    <row r="323" spans="1:19">
      <c r="A323" s="155"/>
      <c r="B323" s="57"/>
      <c r="C323" s="24">
        <f t="shared" si="54"/>
        <v>1</v>
      </c>
      <c r="D323" s="675"/>
      <c r="E323" s="24">
        <f t="shared" si="55"/>
        <v>1</v>
      </c>
      <c r="F323" s="675"/>
      <c r="G323" s="24">
        <f t="shared" si="56"/>
        <v>1</v>
      </c>
      <c r="H323" s="675"/>
      <c r="I323" s="24">
        <f t="shared" si="57"/>
        <v>1</v>
      </c>
      <c r="J323" s="675"/>
      <c r="K323" s="24">
        <f t="shared" si="58"/>
        <v>1</v>
      </c>
      <c r="L323" s="675"/>
      <c r="M323" s="24">
        <f t="shared" si="59"/>
        <v>1</v>
      </c>
      <c r="N323" s="675"/>
      <c r="O323" s="24">
        <f t="shared" si="60"/>
        <v>1</v>
      </c>
      <c r="P323" s="675"/>
      <c r="Q323" s="24">
        <f t="shared" si="61"/>
        <v>0</v>
      </c>
      <c r="R323" s="671">
        <f t="shared" si="62"/>
        <v>0</v>
      </c>
      <c r="S323" s="322">
        <f t="shared" si="64"/>
        <v>0</v>
      </c>
    </row>
    <row r="324" spans="1:19">
      <c r="A324" s="155"/>
      <c r="B324" s="57"/>
      <c r="C324" s="24">
        <f t="shared" si="54"/>
        <v>1</v>
      </c>
      <c r="D324" s="675"/>
      <c r="E324" s="24">
        <f t="shared" si="55"/>
        <v>1</v>
      </c>
      <c r="F324" s="675"/>
      <c r="G324" s="24">
        <f t="shared" si="56"/>
        <v>1</v>
      </c>
      <c r="H324" s="675"/>
      <c r="I324" s="24">
        <f t="shared" si="57"/>
        <v>1</v>
      </c>
      <c r="J324" s="675"/>
      <c r="K324" s="24">
        <f t="shared" si="58"/>
        <v>1</v>
      </c>
      <c r="L324" s="675"/>
      <c r="M324" s="24">
        <f t="shared" si="59"/>
        <v>1</v>
      </c>
      <c r="N324" s="675"/>
      <c r="O324" s="24">
        <f t="shared" si="60"/>
        <v>1</v>
      </c>
      <c r="P324" s="675"/>
      <c r="Q324" s="24">
        <f t="shared" si="61"/>
        <v>0</v>
      </c>
      <c r="R324" s="671">
        <f t="shared" si="62"/>
        <v>0</v>
      </c>
      <c r="S324" s="322">
        <f t="shared" si="64"/>
        <v>0</v>
      </c>
    </row>
    <row r="325" spans="1:19">
      <c r="A325" s="155"/>
      <c r="B325" s="57"/>
      <c r="C325" s="24">
        <f t="shared" si="54"/>
        <v>1</v>
      </c>
      <c r="D325" s="675"/>
      <c r="E325" s="24">
        <f t="shared" si="55"/>
        <v>1</v>
      </c>
      <c r="F325" s="675"/>
      <c r="G325" s="24">
        <f t="shared" si="56"/>
        <v>1</v>
      </c>
      <c r="H325" s="675"/>
      <c r="I325" s="24">
        <f t="shared" si="57"/>
        <v>1</v>
      </c>
      <c r="J325" s="675"/>
      <c r="K325" s="24">
        <f t="shared" si="58"/>
        <v>1</v>
      </c>
      <c r="L325" s="675"/>
      <c r="M325" s="24">
        <f t="shared" si="59"/>
        <v>1</v>
      </c>
      <c r="N325" s="675"/>
      <c r="O325" s="24">
        <f t="shared" si="60"/>
        <v>1</v>
      </c>
      <c r="P325" s="675"/>
      <c r="Q325" s="24">
        <f t="shared" si="61"/>
        <v>0</v>
      </c>
      <c r="R325" s="671">
        <f t="shared" si="62"/>
        <v>0</v>
      </c>
      <c r="S325" s="322">
        <f t="shared" si="64"/>
        <v>0</v>
      </c>
    </row>
    <row r="326" spans="1:19">
      <c r="A326" s="155"/>
      <c r="B326" s="57"/>
      <c r="C326" s="24">
        <f t="shared" si="54"/>
        <v>1</v>
      </c>
      <c r="D326" s="675"/>
      <c r="E326" s="24">
        <f t="shared" si="55"/>
        <v>1</v>
      </c>
      <c r="F326" s="675"/>
      <c r="G326" s="24">
        <f t="shared" si="56"/>
        <v>1</v>
      </c>
      <c r="H326" s="675"/>
      <c r="I326" s="24">
        <f t="shared" si="57"/>
        <v>1</v>
      </c>
      <c r="J326" s="675"/>
      <c r="K326" s="24">
        <f t="shared" si="58"/>
        <v>1</v>
      </c>
      <c r="L326" s="675"/>
      <c r="M326" s="24">
        <f t="shared" si="59"/>
        <v>1</v>
      </c>
      <c r="N326" s="675"/>
      <c r="O326" s="24">
        <f t="shared" si="60"/>
        <v>1</v>
      </c>
      <c r="P326" s="675"/>
      <c r="Q326" s="24">
        <f t="shared" si="61"/>
        <v>0</v>
      </c>
      <c r="R326" s="671">
        <f t="shared" si="62"/>
        <v>0</v>
      </c>
      <c r="S326" s="322">
        <f t="shared" si="64"/>
        <v>0</v>
      </c>
    </row>
    <row r="327" spans="1:19">
      <c r="A327" s="155"/>
      <c r="B327" s="57"/>
      <c r="C327" s="24">
        <f t="shared" si="54"/>
        <v>1</v>
      </c>
      <c r="D327" s="675"/>
      <c r="E327" s="24">
        <f t="shared" si="55"/>
        <v>1</v>
      </c>
      <c r="F327" s="675"/>
      <c r="G327" s="24">
        <f t="shared" si="56"/>
        <v>1</v>
      </c>
      <c r="H327" s="675"/>
      <c r="I327" s="24">
        <f t="shared" si="57"/>
        <v>1</v>
      </c>
      <c r="J327" s="675"/>
      <c r="K327" s="24">
        <f t="shared" si="58"/>
        <v>1</v>
      </c>
      <c r="L327" s="675"/>
      <c r="M327" s="24">
        <f t="shared" si="59"/>
        <v>1</v>
      </c>
      <c r="N327" s="675"/>
      <c r="O327" s="24">
        <f t="shared" si="60"/>
        <v>1</v>
      </c>
      <c r="P327" s="675"/>
      <c r="Q327" s="24">
        <f t="shared" si="61"/>
        <v>0</v>
      </c>
      <c r="R327" s="671">
        <f t="shared" si="62"/>
        <v>0</v>
      </c>
      <c r="S327" s="322">
        <f t="shared" si="64"/>
        <v>0</v>
      </c>
    </row>
    <row r="328" spans="1:19">
      <c r="A328" s="155"/>
      <c r="B328" s="57"/>
      <c r="C328" s="24">
        <f t="shared" si="54"/>
        <v>1</v>
      </c>
      <c r="D328" s="675"/>
      <c r="E328" s="24">
        <f t="shared" si="55"/>
        <v>1</v>
      </c>
      <c r="F328" s="675"/>
      <c r="G328" s="24">
        <f t="shared" si="56"/>
        <v>1</v>
      </c>
      <c r="H328" s="675"/>
      <c r="I328" s="24">
        <f t="shared" si="57"/>
        <v>1</v>
      </c>
      <c r="J328" s="675"/>
      <c r="K328" s="24">
        <f t="shared" si="58"/>
        <v>1</v>
      </c>
      <c r="L328" s="675"/>
      <c r="M328" s="24">
        <f t="shared" si="59"/>
        <v>1</v>
      </c>
      <c r="N328" s="675"/>
      <c r="O328" s="24">
        <f t="shared" si="60"/>
        <v>1</v>
      </c>
      <c r="P328" s="675"/>
      <c r="Q328" s="24">
        <f t="shared" si="61"/>
        <v>0</v>
      </c>
      <c r="R328" s="671">
        <f t="shared" si="62"/>
        <v>0</v>
      </c>
      <c r="S328" s="322">
        <f t="shared" si="64"/>
        <v>0</v>
      </c>
    </row>
    <row r="329" spans="1:19">
      <c r="A329" s="155"/>
      <c r="B329" s="57"/>
      <c r="C329" s="24">
        <f t="shared" si="54"/>
        <v>1</v>
      </c>
      <c r="D329" s="675"/>
      <c r="E329" s="24">
        <f t="shared" si="55"/>
        <v>1</v>
      </c>
      <c r="F329" s="675"/>
      <c r="G329" s="24">
        <f t="shared" si="56"/>
        <v>1</v>
      </c>
      <c r="H329" s="675"/>
      <c r="I329" s="24">
        <f t="shared" si="57"/>
        <v>1</v>
      </c>
      <c r="J329" s="675"/>
      <c r="K329" s="24">
        <f t="shared" si="58"/>
        <v>1</v>
      </c>
      <c r="L329" s="675"/>
      <c r="M329" s="24">
        <f t="shared" si="59"/>
        <v>1</v>
      </c>
      <c r="N329" s="675"/>
      <c r="O329" s="24">
        <f t="shared" si="60"/>
        <v>1</v>
      </c>
      <c r="P329" s="675"/>
      <c r="Q329" s="24">
        <f t="shared" si="61"/>
        <v>0</v>
      </c>
      <c r="R329" s="671">
        <f t="shared" si="62"/>
        <v>0</v>
      </c>
      <c r="S329" s="322">
        <f t="shared" si="64"/>
        <v>0</v>
      </c>
    </row>
    <row r="330" spans="1:19">
      <c r="A330" s="155"/>
      <c r="B330" s="57"/>
      <c r="C330" s="24">
        <f t="shared" si="54"/>
        <v>1</v>
      </c>
      <c r="D330" s="675"/>
      <c r="E330" s="24">
        <f t="shared" si="55"/>
        <v>1</v>
      </c>
      <c r="F330" s="675"/>
      <c r="G330" s="24">
        <f t="shared" si="56"/>
        <v>1</v>
      </c>
      <c r="H330" s="675"/>
      <c r="I330" s="24">
        <f t="shared" si="57"/>
        <v>1</v>
      </c>
      <c r="J330" s="675"/>
      <c r="K330" s="24">
        <f t="shared" si="58"/>
        <v>1</v>
      </c>
      <c r="L330" s="675"/>
      <c r="M330" s="24">
        <f t="shared" si="59"/>
        <v>1</v>
      </c>
      <c r="N330" s="675"/>
      <c r="O330" s="24">
        <f t="shared" si="60"/>
        <v>1</v>
      </c>
      <c r="P330" s="675"/>
      <c r="Q330" s="24">
        <f t="shared" si="61"/>
        <v>0</v>
      </c>
      <c r="R330" s="671">
        <f t="shared" si="62"/>
        <v>0</v>
      </c>
      <c r="S330" s="322">
        <f t="shared" si="64"/>
        <v>0</v>
      </c>
    </row>
    <row r="331" spans="1:19">
      <c r="A331" s="155"/>
      <c r="B331" s="57"/>
      <c r="C331" s="24">
        <f t="shared" si="54"/>
        <v>1</v>
      </c>
      <c r="D331" s="675"/>
      <c r="E331" s="24">
        <f t="shared" si="55"/>
        <v>1</v>
      </c>
      <c r="F331" s="675"/>
      <c r="G331" s="24">
        <f t="shared" si="56"/>
        <v>1</v>
      </c>
      <c r="H331" s="675"/>
      <c r="I331" s="24">
        <f t="shared" si="57"/>
        <v>1</v>
      </c>
      <c r="J331" s="675"/>
      <c r="K331" s="24">
        <f t="shared" si="58"/>
        <v>1</v>
      </c>
      <c r="L331" s="675"/>
      <c r="M331" s="24">
        <f t="shared" si="59"/>
        <v>1</v>
      </c>
      <c r="N331" s="675"/>
      <c r="O331" s="24">
        <f t="shared" si="60"/>
        <v>1</v>
      </c>
      <c r="P331" s="675"/>
      <c r="Q331" s="24">
        <f t="shared" si="61"/>
        <v>0</v>
      </c>
      <c r="R331" s="671">
        <f t="shared" si="62"/>
        <v>0</v>
      </c>
      <c r="S331" s="322">
        <f t="shared" si="64"/>
        <v>0</v>
      </c>
    </row>
    <row r="332" spans="1:19">
      <c r="A332" s="155"/>
      <c r="B332" s="57"/>
      <c r="C332" s="24">
        <f t="shared" si="54"/>
        <v>1</v>
      </c>
      <c r="D332" s="675"/>
      <c r="E332" s="24">
        <f t="shared" si="55"/>
        <v>1</v>
      </c>
      <c r="F332" s="675"/>
      <c r="G332" s="24">
        <f t="shared" si="56"/>
        <v>1</v>
      </c>
      <c r="H332" s="675"/>
      <c r="I332" s="24">
        <f t="shared" si="57"/>
        <v>1</v>
      </c>
      <c r="J332" s="675"/>
      <c r="K332" s="24">
        <f t="shared" si="58"/>
        <v>1</v>
      </c>
      <c r="L332" s="675"/>
      <c r="M332" s="24">
        <f t="shared" si="59"/>
        <v>1</v>
      </c>
      <c r="N332" s="675"/>
      <c r="O332" s="24">
        <f t="shared" si="60"/>
        <v>1</v>
      </c>
      <c r="P332" s="675"/>
      <c r="Q332" s="24">
        <f t="shared" si="61"/>
        <v>0</v>
      </c>
      <c r="R332" s="671">
        <f t="shared" si="62"/>
        <v>0</v>
      </c>
      <c r="S332" s="322">
        <f t="shared" si="64"/>
        <v>0</v>
      </c>
    </row>
    <row r="333" spans="1:19">
      <c r="A333" s="155"/>
      <c r="B333" s="57"/>
      <c r="C333" s="24">
        <f t="shared" si="54"/>
        <v>1</v>
      </c>
      <c r="D333" s="675"/>
      <c r="E333" s="24">
        <f t="shared" si="55"/>
        <v>1</v>
      </c>
      <c r="F333" s="675"/>
      <c r="G333" s="24">
        <f t="shared" si="56"/>
        <v>1</v>
      </c>
      <c r="H333" s="675"/>
      <c r="I333" s="24">
        <f t="shared" si="57"/>
        <v>1</v>
      </c>
      <c r="J333" s="675"/>
      <c r="K333" s="24">
        <f t="shared" si="58"/>
        <v>1</v>
      </c>
      <c r="L333" s="675"/>
      <c r="M333" s="24">
        <f t="shared" si="59"/>
        <v>1</v>
      </c>
      <c r="N333" s="675"/>
      <c r="O333" s="24">
        <f t="shared" si="60"/>
        <v>1</v>
      </c>
      <c r="P333" s="675"/>
      <c r="Q333" s="24">
        <f t="shared" si="61"/>
        <v>0</v>
      </c>
      <c r="R333" s="671">
        <f t="shared" si="62"/>
        <v>0</v>
      </c>
      <c r="S333" s="322">
        <f t="shared" si="64"/>
        <v>0</v>
      </c>
    </row>
    <row r="334" spans="1:19">
      <c r="A334" s="155"/>
      <c r="B334" s="57"/>
      <c r="C334" s="24">
        <f t="shared" si="54"/>
        <v>1</v>
      </c>
      <c r="D334" s="675"/>
      <c r="E334" s="24">
        <f t="shared" si="55"/>
        <v>1</v>
      </c>
      <c r="F334" s="675"/>
      <c r="G334" s="24">
        <f t="shared" si="56"/>
        <v>1</v>
      </c>
      <c r="H334" s="675"/>
      <c r="I334" s="24">
        <f t="shared" si="57"/>
        <v>1</v>
      </c>
      <c r="J334" s="675"/>
      <c r="K334" s="24">
        <f t="shared" si="58"/>
        <v>1</v>
      </c>
      <c r="L334" s="675"/>
      <c r="M334" s="24">
        <f t="shared" si="59"/>
        <v>1</v>
      </c>
      <c r="N334" s="675"/>
      <c r="O334" s="24">
        <f t="shared" si="60"/>
        <v>1</v>
      </c>
      <c r="P334" s="675"/>
      <c r="Q334" s="24">
        <f t="shared" si="61"/>
        <v>0</v>
      </c>
      <c r="R334" s="671">
        <f t="shared" si="62"/>
        <v>0</v>
      </c>
      <c r="S334" s="322">
        <f t="shared" si="64"/>
        <v>0</v>
      </c>
    </row>
    <row r="335" spans="1:19">
      <c r="A335" s="155"/>
      <c r="B335" s="57"/>
      <c r="C335" s="24">
        <f t="shared" si="54"/>
        <v>1</v>
      </c>
      <c r="D335" s="675"/>
      <c r="E335" s="24">
        <f t="shared" si="55"/>
        <v>1</v>
      </c>
      <c r="F335" s="675"/>
      <c r="G335" s="24">
        <f t="shared" si="56"/>
        <v>1</v>
      </c>
      <c r="H335" s="675"/>
      <c r="I335" s="24">
        <f t="shared" si="57"/>
        <v>1</v>
      </c>
      <c r="J335" s="675"/>
      <c r="K335" s="24">
        <f t="shared" si="58"/>
        <v>1</v>
      </c>
      <c r="L335" s="675"/>
      <c r="M335" s="24">
        <f t="shared" si="59"/>
        <v>1</v>
      </c>
      <c r="N335" s="675"/>
      <c r="O335" s="24">
        <f t="shared" si="60"/>
        <v>1</v>
      </c>
      <c r="P335" s="675"/>
      <c r="Q335" s="24">
        <f t="shared" si="61"/>
        <v>0</v>
      </c>
      <c r="R335" s="671">
        <f t="shared" si="62"/>
        <v>0</v>
      </c>
      <c r="S335" s="322">
        <f t="shared" si="64"/>
        <v>0</v>
      </c>
    </row>
    <row r="336" spans="1:19">
      <c r="A336" s="155"/>
      <c r="B336" s="57"/>
      <c r="C336" s="24">
        <f t="shared" si="54"/>
        <v>1</v>
      </c>
      <c r="D336" s="675"/>
      <c r="E336" s="24">
        <f t="shared" si="55"/>
        <v>1</v>
      </c>
      <c r="F336" s="675"/>
      <c r="G336" s="24">
        <f t="shared" si="56"/>
        <v>1</v>
      </c>
      <c r="H336" s="675"/>
      <c r="I336" s="24">
        <f t="shared" si="57"/>
        <v>1</v>
      </c>
      <c r="J336" s="675"/>
      <c r="K336" s="24">
        <f t="shared" si="58"/>
        <v>1</v>
      </c>
      <c r="L336" s="675"/>
      <c r="M336" s="24">
        <f t="shared" si="59"/>
        <v>1</v>
      </c>
      <c r="N336" s="675"/>
      <c r="O336" s="24">
        <f t="shared" si="60"/>
        <v>1</v>
      </c>
      <c r="P336" s="675"/>
      <c r="Q336" s="24">
        <f t="shared" si="61"/>
        <v>0</v>
      </c>
      <c r="R336" s="671">
        <f t="shared" si="62"/>
        <v>0</v>
      </c>
      <c r="S336" s="322">
        <f t="shared" si="64"/>
        <v>0</v>
      </c>
    </row>
    <row r="337" spans="1:19">
      <c r="A337" s="155"/>
      <c r="B337" s="57"/>
      <c r="C337" s="24">
        <f t="shared" si="54"/>
        <v>1</v>
      </c>
      <c r="D337" s="675"/>
      <c r="E337" s="24">
        <f t="shared" si="55"/>
        <v>1</v>
      </c>
      <c r="F337" s="675"/>
      <c r="G337" s="24">
        <f t="shared" si="56"/>
        <v>1</v>
      </c>
      <c r="H337" s="675"/>
      <c r="I337" s="24">
        <f t="shared" si="57"/>
        <v>1</v>
      </c>
      <c r="J337" s="675"/>
      <c r="K337" s="24">
        <f t="shared" si="58"/>
        <v>1</v>
      </c>
      <c r="L337" s="675"/>
      <c r="M337" s="24">
        <f t="shared" si="59"/>
        <v>1</v>
      </c>
      <c r="N337" s="675"/>
      <c r="O337" s="24">
        <f t="shared" si="60"/>
        <v>1</v>
      </c>
      <c r="P337" s="675"/>
      <c r="Q337" s="24">
        <f t="shared" si="61"/>
        <v>0</v>
      </c>
      <c r="R337" s="671">
        <f t="shared" si="62"/>
        <v>0</v>
      </c>
      <c r="S337" s="322">
        <f t="shared" si="64"/>
        <v>0</v>
      </c>
    </row>
    <row r="338" spans="1:19">
      <c r="A338" s="155"/>
      <c r="B338" s="57"/>
      <c r="C338" s="24">
        <f t="shared" si="54"/>
        <v>1</v>
      </c>
      <c r="D338" s="675"/>
      <c r="E338" s="24">
        <f t="shared" si="55"/>
        <v>1</v>
      </c>
      <c r="F338" s="675"/>
      <c r="G338" s="24">
        <f t="shared" si="56"/>
        <v>1</v>
      </c>
      <c r="H338" s="675"/>
      <c r="I338" s="24">
        <f t="shared" si="57"/>
        <v>1</v>
      </c>
      <c r="J338" s="675"/>
      <c r="K338" s="24">
        <f t="shared" si="58"/>
        <v>1</v>
      </c>
      <c r="L338" s="675"/>
      <c r="M338" s="24">
        <f t="shared" si="59"/>
        <v>1</v>
      </c>
      <c r="N338" s="675"/>
      <c r="O338" s="24">
        <f t="shared" si="60"/>
        <v>1</v>
      </c>
      <c r="P338" s="675"/>
      <c r="Q338" s="24">
        <f t="shared" si="61"/>
        <v>0</v>
      </c>
      <c r="R338" s="671">
        <f t="shared" si="62"/>
        <v>0</v>
      </c>
      <c r="S338" s="322">
        <f t="shared" si="64"/>
        <v>0</v>
      </c>
    </row>
    <row r="339" spans="1:19">
      <c r="A339" s="155"/>
      <c r="B339" s="57"/>
      <c r="C339" s="24">
        <f t="shared" si="54"/>
        <v>1</v>
      </c>
      <c r="D339" s="675"/>
      <c r="E339" s="24">
        <f t="shared" si="55"/>
        <v>1</v>
      </c>
      <c r="F339" s="675"/>
      <c r="G339" s="24">
        <f t="shared" si="56"/>
        <v>1</v>
      </c>
      <c r="H339" s="675"/>
      <c r="I339" s="24">
        <f t="shared" si="57"/>
        <v>1</v>
      </c>
      <c r="J339" s="675"/>
      <c r="K339" s="24">
        <f t="shared" si="58"/>
        <v>1</v>
      </c>
      <c r="L339" s="675"/>
      <c r="M339" s="24">
        <f t="shared" si="59"/>
        <v>1</v>
      </c>
      <c r="N339" s="675"/>
      <c r="O339" s="24">
        <f t="shared" si="60"/>
        <v>1</v>
      </c>
      <c r="P339" s="675"/>
      <c r="Q339" s="24">
        <f t="shared" si="61"/>
        <v>0</v>
      </c>
      <c r="R339" s="671">
        <f t="shared" si="62"/>
        <v>0</v>
      </c>
      <c r="S339" s="322">
        <f t="shared" si="64"/>
        <v>0</v>
      </c>
    </row>
    <row r="340" spans="1:19">
      <c r="A340" s="155"/>
      <c r="B340" s="57"/>
      <c r="C340" s="24">
        <f t="shared" si="54"/>
        <v>1</v>
      </c>
      <c r="D340" s="675"/>
      <c r="E340" s="24">
        <f t="shared" si="55"/>
        <v>1</v>
      </c>
      <c r="F340" s="675"/>
      <c r="G340" s="24">
        <f t="shared" si="56"/>
        <v>1</v>
      </c>
      <c r="H340" s="675"/>
      <c r="I340" s="24">
        <f t="shared" si="57"/>
        <v>1</v>
      </c>
      <c r="J340" s="675"/>
      <c r="K340" s="24">
        <f t="shared" si="58"/>
        <v>1</v>
      </c>
      <c r="L340" s="675"/>
      <c r="M340" s="24">
        <f t="shared" si="59"/>
        <v>1</v>
      </c>
      <c r="N340" s="675"/>
      <c r="O340" s="24">
        <f t="shared" si="60"/>
        <v>1</v>
      </c>
      <c r="P340" s="675"/>
      <c r="Q340" s="24">
        <f t="shared" si="61"/>
        <v>0</v>
      </c>
      <c r="R340" s="671">
        <f t="shared" si="62"/>
        <v>0</v>
      </c>
      <c r="S340" s="322">
        <f t="shared" si="64"/>
        <v>0</v>
      </c>
    </row>
    <row r="341" spans="1:19">
      <c r="A341" s="155"/>
      <c r="B341" s="57"/>
      <c r="C341" s="24">
        <f t="shared" si="54"/>
        <v>1</v>
      </c>
      <c r="D341" s="675"/>
      <c r="E341" s="24">
        <f t="shared" si="55"/>
        <v>1</v>
      </c>
      <c r="F341" s="675"/>
      <c r="G341" s="24">
        <f t="shared" si="56"/>
        <v>1</v>
      </c>
      <c r="H341" s="675"/>
      <c r="I341" s="24">
        <f t="shared" si="57"/>
        <v>1</v>
      </c>
      <c r="J341" s="675"/>
      <c r="K341" s="24">
        <f t="shared" si="58"/>
        <v>1</v>
      </c>
      <c r="L341" s="675"/>
      <c r="M341" s="24">
        <f t="shared" si="59"/>
        <v>1</v>
      </c>
      <c r="N341" s="675"/>
      <c r="O341" s="24">
        <f t="shared" si="60"/>
        <v>1</v>
      </c>
      <c r="P341" s="675"/>
      <c r="Q341" s="24">
        <f t="shared" si="61"/>
        <v>0</v>
      </c>
      <c r="R341" s="671">
        <f t="shared" si="62"/>
        <v>0</v>
      </c>
      <c r="S341" s="322">
        <f t="shared" si="64"/>
        <v>0</v>
      </c>
    </row>
    <row r="342" spans="1:19">
      <c r="A342" s="155"/>
      <c r="B342" s="57"/>
      <c r="C342" s="24">
        <f t="shared" si="54"/>
        <v>1</v>
      </c>
      <c r="D342" s="675"/>
      <c r="E342" s="24">
        <f t="shared" si="55"/>
        <v>1</v>
      </c>
      <c r="F342" s="675"/>
      <c r="G342" s="24">
        <f t="shared" si="56"/>
        <v>1</v>
      </c>
      <c r="H342" s="675"/>
      <c r="I342" s="24">
        <f t="shared" si="57"/>
        <v>1</v>
      </c>
      <c r="J342" s="675"/>
      <c r="K342" s="24">
        <f t="shared" si="58"/>
        <v>1</v>
      </c>
      <c r="L342" s="675"/>
      <c r="M342" s="24">
        <f t="shared" si="59"/>
        <v>1</v>
      </c>
      <c r="N342" s="675"/>
      <c r="O342" s="24">
        <f t="shared" si="60"/>
        <v>1</v>
      </c>
      <c r="P342" s="675"/>
      <c r="Q342" s="24">
        <f t="shared" si="61"/>
        <v>0</v>
      </c>
      <c r="R342" s="671">
        <f t="shared" si="62"/>
        <v>0</v>
      </c>
      <c r="S342" s="322">
        <f t="shared" si="64"/>
        <v>0</v>
      </c>
    </row>
    <row r="343" spans="1:19">
      <c r="A343" s="155"/>
      <c r="B343" s="57"/>
      <c r="C343" s="24">
        <f t="shared" si="54"/>
        <v>1</v>
      </c>
      <c r="D343" s="675"/>
      <c r="E343" s="24">
        <f t="shared" si="55"/>
        <v>1</v>
      </c>
      <c r="F343" s="675"/>
      <c r="G343" s="24">
        <f t="shared" si="56"/>
        <v>1</v>
      </c>
      <c r="H343" s="675"/>
      <c r="I343" s="24">
        <f t="shared" si="57"/>
        <v>1</v>
      </c>
      <c r="J343" s="675"/>
      <c r="K343" s="24">
        <f t="shared" si="58"/>
        <v>1</v>
      </c>
      <c r="L343" s="675"/>
      <c r="M343" s="24">
        <f t="shared" si="59"/>
        <v>1</v>
      </c>
      <c r="N343" s="675"/>
      <c r="O343" s="24">
        <f t="shared" si="60"/>
        <v>1</v>
      </c>
      <c r="P343" s="675"/>
      <c r="Q343" s="24">
        <f t="shared" si="61"/>
        <v>0</v>
      </c>
      <c r="R343" s="671">
        <f t="shared" si="62"/>
        <v>0</v>
      </c>
      <c r="S343" s="322">
        <f t="shared" si="64"/>
        <v>0</v>
      </c>
    </row>
    <row r="344" spans="1:19">
      <c r="A344" s="155"/>
      <c r="B344" s="57"/>
      <c r="C344" s="24">
        <f t="shared" si="54"/>
        <v>1</v>
      </c>
      <c r="D344" s="675"/>
      <c r="E344" s="24">
        <f t="shared" si="55"/>
        <v>1</v>
      </c>
      <c r="F344" s="675"/>
      <c r="G344" s="24">
        <f t="shared" si="56"/>
        <v>1</v>
      </c>
      <c r="H344" s="675"/>
      <c r="I344" s="24">
        <f t="shared" si="57"/>
        <v>1</v>
      </c>
      <c r="J344" s="675"/>
      <c r="K344" s="24">
        <f t="shared" si="58"/>
        <v>1</v>
      </c>
      <c r="L344" s="675"/>
      <c r="M344" s="24">
        <f t="shared" si="59"/>
        <v>1</v>
      </c>
      <c r="N344" s="675"/>
      <c r="O344" s="24">
        <f t="shared" si="60"/>
        <v>1</v>
      </c>
      <c r="P344" s="675"/>
      <c r="Q344" s="24">
        <f t="shared" si="61"/>
        <v>0</v>
      </c>
      <c r="R344" s="671">
        <f t="shared" si="62"/>
        <v>0</v>
      </c>
      <c r="S344" s="322">
        <f t="shared" si="64"/>
        <v>0</v>
      </c>
    </row>
    <row r="345" spans="1:19">
      <c r="A345" s="155"/>
      <c r="B345" s="57"/>
      <c r="C345" s="24">
        <f t="shared" si="54"/>
        <v>1</v>
      </c>
      <c r="D345" s="675"/>
      <c r="E345" s="24">
        <f t="shared" si="55"/>
        <v>1</v>
      </c>
      <c r="F345" s="675"/>
      <c r="G345" s="24">
        <f t="shared" si="56"/>
        <v>1</v>
      </c>
      <c r="H345" s="675"/>
      <c r="I345" s="24">
        <f t="shared" si="57"/>
        <v>1</v>
      </c>
      <c r="J345" s="675"/>
      <c r="K345" s="24">
        <f t="shared" si="58"/>
        <v>1</v>
      </c>
      <c r="L345" s="675"/>
      <c r="M345" s="24">
        <f t="shared" si="59"/>
        <v>1</v>
      </c>
      <c r="N345" s="675"/>
      <c r="O345" s="24">
        <f t="shared" si="60"/>
        <v>1</v>
      </c>
      <c r="P345" s="675"/>
      <c r="Q345" s="24">
        <f t="shared" si="61"/>
        <v>0</v>
      </c>
      <c r="R345" s="671">
        <f t="shared" si="62"/>
        <v>0</v>
      </c>
      <c r="S345" s="322">
        <f t="shared" si="64"/>
        <v>0</v>
      </c>
    </row>
    <row r="346" spans="1:19">
      <c r="A346" s="155"/>
      <c r="B346" s="57"/>
      <c r="C346" s="24">
        <f t="shared" ref="C346:C409" si="65">IF(B346="",1,(LOOKUP(B346,$3:$3,$4:$4)-LOOKUP($B$24,$3:$3,$4:$4)+100)/100)</f>
        <v>1</v>
      </c>
      <c r="D346" s="675"/>
      <c r="E346" s="24">
        <f t="shared" ref="E346:E409" si="66">(SUMIF($5:$5,D346,$6:$6)-SUMIF($5:$5,$D$24,$6:$6)+100)/100</f>
        <v>1</v>
      </c>
      <c r="F346" s="675"/>
      <c r="G346" s="24">
        <f t="shared" ref="G346:G409" si="67">(SUMIF($7:$7,F346,$8:$8)-SUMIF($7:$7,$F$24,$8:$8)+100)/100</f>
        <v>1</v>
      </c>
      <c r="H346" s="675"/>
      <c r="I346" s="24">
        <f t="shared" ref="I346:I409" si="68">(SUMIF($9:$9,H346,$10:$10)-SUMIF($9:$9,$H$24,$10:$10)+100)/100</f>
        <v>1</v>
      </c>
      <c r="J346" s="675"/>
      <c r="K346" s="24">
        <f t="shared" ref="K346:K409" si="69">(SUMIF($11:$11,J346,$12:$12)-SUMIF($11:$11,$J$24,$12:$12)+100)/100</f>
        <v>1</v>
      </c>
      <c r="L346" s="675"/>
      <c r="M346" s="24">
        <f t="shared" ref="M346:M409" si="70">(SUMIF($13:$13,L346,$14:$14)-SUMIF($13:$13,$L$24,$14:$14)+100)/100</f>
        <v>1</v>
      </c>
      <c r="N346" s="675"/>
      <c r="O346" s="24">
        <f t="shared" ref="O346:O409" si="71">(SUMIF($15:$15,N346,$16:$16)-SUMIF($15:$15,$N$24,$16:$16)+100)/100</f>
        <v>1</v>
      </c>
      <c r="P346" s="675"/>
      <c r="Q346" s="24">
        <f t="shared" ref="Q346:Q409" si="72">(SUMIF($17:$17,P346,$18:$18)-SUMIF($17:$17,$P$24,$18:$18)+100)/100</f>
        <v>0</v>
      </c>
      <c r="R346" s="671">
        <f t="shared" ref="R346:R409" si="73">IF(B346="",0,ROUND($R$24*C346*E346*G346*I346*K346*M346*O346*Q346,0))</f>
        <v>0</v>
      </c>
      <c r="S346" s="322">
        <f t="shared" si="64"/>
        <v>0</v>
      </c>
    </row>
    <row r="347" spans="1:19">
      <c r="A347" s="155"/>
      <c r="B347" s="57"/>
      <c r="C347" s="24">
        <f t="shared" si="65"/>
        <v>1</v>
      </c>
      <c r="D347" s="675"/>
      <c r="E347" s="24">
        <f t="shared" si="66"/>
        <v>1</v>
      </c>
      <c r="F347" s="675"/>
      <c r="G347" s="24">
        <f t="shared" si="67"/>
        <v>1</v>
      </c>
      <c r="H347" s="675"/>
      <c r="I347" s="24">
        <f t="shared" si="68"/>
        <v>1</v>
      </c>
      <c r="J347" s="675"/>
      <c r="K347" s="24">
        <f t="shared" si="69"/>
        <v>1</v>
      </c>
      <c r="L347" s="675"/>
      <c r="M347" s="24">
        <f t="shared" si="70"/>
        <v>1</v>
      </c>
      <c r="N347" s="675"/>
      <c r="O347" s="24">
        <f t="shared" si="71"/>
        <v>1</v>
      </c>
      <c r="P347" s="675"/>
      <c r="Q347" s="24">
        <f t="shared" si="72"/>
        <v>0</v>
      </c>
      <c r="R347" s="671">
        <f t="shared" si="73"/>
        <v>0</v>
      </c>
      <c r="S347" s="322">
        <f t="shared" si="64"/>
        <v>0</v>
      </c>
    </row>
    <row r="348" spans="1:19">
      <c r="A348" s="155"/>
      <c r="B348" s="57"/>
      <c r="C348" s="24">
        <f t="shared" si="65"/>
        <v>1</v>
      </c>
      <c r="D348" s="675"/>
      <c r="E348" s="24">
        <f t="shared" si="66"/>
        <v>1</v>
      </c>
      <c r="F348" s="675"/>
      <c r="G348" s="24">
        <f t="shared" si="67"/>
        <v>1</v>
      </c>
      <c r="H348" s="675"/>
      <c r="I348" s="24">
        <f t="shared" si="68"/>
        <v>1</v>
      </c>
      <c r="J348" s="675"/>
      <c r="K348" s="24">
        <f t="shared" si="69"/>
        <v>1</v>
      </c>
      <c r="L348" s="675"/>
      <c r="M348" s="24">
        <f t="shared" si="70"/>
        <v>1</v>
      </c>
      <c r="N348" s="675"/>
      <c r="O348" s="24">
        <f t="shared" si="71"/>
        <v>1</v>
      </c>
      <c r="P348" s="675"/>
      <c r="Q348" s="24">
        <f t="shared" si="72"/>
        <v>0</v>
      </c>
      <c r="R348" s="671">
        <f t="shared" si="73"/>
        <v>0</v>
      </c>
      <c r="S348" s="322">
        <f t="shared" si="64"/>
        <v>0</v>
      </c>
    </row>
    <row r="349" spans="1:19">
      <c r="A349" s="155"/>
      <c r="B349" s="57"/>
      <c r="C349" s="24">
        <f t="shared" si="65"/>
        <v>1</v>
      </c>
      <c r="D349" s="675"/>
      <c r="E349" s="24">
        <f t="shared" si="66"/>
        <v>1</v>
      </c>
      <c r="F349" s="675"/>
      <c r="G349" s="24">
        <f t="shared" si="67"/>
        <v>1</v>
      </c>
      <c r="H349" s="675"/>
      <c r="I349" s="24">
        <f t="shared" si="68"/>
        <v>1</v>
      </c>
      <c r="J349" s="675"/>
      <c r="K349" s="24">
        <f t="shared" si="69"/>
        <v>1</v>
      </c>
      <c r="L349" s="675"/>
      <c r="M349" s="24">
        <f t="shared" si="70"/>
        <v>1</v>
      </c>
      <c r="N349" s="675"/>
      <c r="O349" s="24">
        <f t="shared" si="71"/>
        <v>1</v>
      </c>
      <c r="P349" s="675"/>
      <c r="Q349" s="24">
        <f t="shared" si="72"/>
        <v>0</v>
      </c>
      <c r="R349" s="671">
        <f t="shared" si="73"/>
        <v>0</v>
      </c>
      <c r="S349" s="322">
        <f t="shared" si="64"/>
        <v>0</v>
      </c>
    </row>
    <row r="350" spans="1:19">
      <c r="A350" s="155"/>
      <c r="B350" s="57"/>
      <c r="C350" s="24">
        <f t="shared" si="65"/>
        <v>1</v>
      </c>
      <c r="D350" s="675"/>
      <c r="E350" s="24">
        <f t="shared" si="66"/>
        <v>1</v>
      </c>
      <c r="F350" s="675"/>
      <c r="G350" s="24">
        <f t="shared" si="67"/>
        <v>1</v>
      </c>
      <c r="H350" s="675"/>
      <c r="I350" s="24">
        <f t="shared" si="68"/>
        <v>1</v>
      </c>
      <c r="J350" s="675"/>
      <c r="K350" s="24">
        <f t="shared" si="69"/>
        <v>1</v>
      </c>
      <c r="L350" s="675"/>
      <c r="M350" s="24">
        <f t="shared" si="70"/>
        <v>1</v>
      </c>
      <c r="N350" s="675"/>
      <c r="O350" s="24">
        <f t="shared" si="71"/>
        <v>1</v>
      </c>
      <c r="P350" s="675"/>
      <c r="Q350" s="24">
        <f t="shared" si="72"/>
        <v>0</v>
      </c>
      <c r="R350" s="671">
        <f t="shared" si="73"/>
        <v>0</v>
      </c>
      <c r="S350" s="322">
        <f t="shared" si="64"/>
        <v>0</v>
      </c>
    </row>
    <row r="351" spans="1:19">
      <c r="A351" s="155"/>
      <c r="B351" s="57"/>
      <c r="C351" s="24">
        <f t="shared" si="65"/>
        <v>1</v>
      </c>
      <c r="D351" s="675"/>
      <c r="E351" s="24">
        <f t="shared" si="66"/>
        <v>1</v>
      </c>
      <c r="F351" s="675"/>
      <c r="G351" s="24">
        <f t="shared" si="67"/>
        <v>1</v>
      </c>
      <c r="H351" s="675"/>
      <c r="I351" s="24">
        <f t="shared" si="68"/>
        <v>1</v>
      </c>
      <c r="J351" s="675"/>
      <c r="K351" s="24">
        <f t="shared" si="69"/>
        <v>1</v>
      </c>
      <c r="L351" s="675"/>
      <c r="M351" s="24">
        <f t="shared" si="70"/>
        <v>1</v>
      </c>
      <c r="N351" s="675"/>
      <c r="O351" s="24">
        <f t="shared" si="71"/>
        <v>1</v>
      </c>
      <c r="P351" s="675"/>
      <c r="Q351" s="24">
        <f t="shared" si="72"/>
        <v>0</v>
      </c>
      <c r="R351" s="671">
        <f t="shared" si="73"/>
        <v>0</v>
      </c>
      <c r="S351" s="322">
        <f t="shared" si="64"/>
        <v>0</v>
      </c>
    </row>
    <row r="352" spans="1:19">
      <c r="A352" s="155"/>
      <c r="B352" s="57"/>
      <c r="C352" s="24">
        <f t="shared" si="65"/>
        <v>1</v>
      </c>
      <c r="D352" s="675"/>
      <c r="E352" s="24">
        <f t="shared" si="66"/>
        <v>1</v>
      </c>
      <c r="F352" s="675"/>
      <c r="G352" s="24">
        <f t="shared" si="67"/>
        <v>1</v>
      </c>
      <c r="H352" s="675"/>
      <c r="I352" s="24">
        <f t="shared" si="68"/>
        <v>1</v>
      </c>
      <c r="J352" s="675"/>
      <c r="K352" s="24">
        <f t="shared" si="69"/>
        <v>1</v>
      </c>
      <c r="L352" s="675"/>
      <c r="M352" s="24">
        <f t="shared" si="70"/>
        <v>1</v>
      </c>
      <c r="N352" s="675"/>
      <c r="O352" s="24">
        <f t="shared" si="71"/>
        <v>1</v>
      </c>
      <c r="P352" s="675"/>
      <c r="Q352" s="24">
        <f t="shared" si="72"/>
        <v>0</v>
      </c>
      <c r="R352" s="671">
        <f t="shared" si="73"/>
        <v>0</v>
      </c>
      <c r="S352" s="322">
        <f t="shared" si="64"/>
        <v>0</v>
      </c>
    </row>
    <row r="353" spans="1:19">
      <c r="A353" s="155"/>
      <c r="B353" s="57"/>
      <c r="C353" s="24">
        <f t="shared" si="65"/>
        <v>1</v>
      </c>
      <c r="D353" s="675"/>
      <c r="E353" s="24">
        <f t="shared" si="66"/>
        <v>1</v>
      </c>
      <c r="F353" s="675"/>
      <c r="G353" s="24">
        <f t="shared" si="67"/>
        <v>1</v>
      </c>
      <c r="H353" s="675"/>
      <c r="I353" s="24">
        <f t="shared" si="68"/>
        <v>1</v>
      </c>
      <c r="J353" s="675"/>
      <c r="K353" s="24">
        <f t="shared" si="69"/>
        <v>1</v>
      </c>
      <c r="L353" s="675"/>
      <c r="M353" s="24">
        <f t="shared" si="70"/>
        <v>1</v>
      </c>
      <c r="N353" s="675"/>
      <c r="O353" s="24">
        <f t="shared" si="71"/>
        <v>1</v>
      </c>
      <c r="P353" s="675"/>
      <c r="Q353" s="24">
        <f t="shared" si="72"/>
        <v>0</v>
      </c>
      <c r="R353" s="671">
        <f t="shared" si="73"/>
        <v>0</v>
      </c>
      <c r="S353" s="322">
        <f t="shared" si="64"/>
        <v>0</v>
      </c>
    </row>
    <row r="354" spans="1:19">
      <c r="A354" s="155"/>
      <c r="B354" s="57"/>
      <c r="C354" s="24">
        <f t="shared" si="65"/>
        <v>1</v>
      </c>
      <c r="D354" s="675"/>
      <c r="E354" s="24">
        <f t="shared" si="66"/>
        <v>1</v>
      </c>
      <c r="F354" s="675"/>
      <c r="G354" s="24">
        <f t="shared" si="67"/>
        <v>1</v>
      </c>
      <c r="H354" s="675"/>
      <c r="I354" s="24">
        <f t="shared" si="68"/>
        <v>1</v>
      </c>
      <c r="J354" s="675"/>
      <c r="K354" s="24">
        <f t="shared" si="69"/>
        <v>1</v>
      </c>
      <c r="L354" s="675"/>
      <c r="M354" s="24">
        <f t="shared" si="70"/>
        <v>1</v>
      </c>
      <c r="N354" s="675"/>
      <c r="O354" s="24">
        <f t="shared" si="71"/>
        <v>1</v>
      </c>
      <c r="P354" s="675"/>
      <c r="Q354" s="24">
        <f t="shared" si="72"/>
        <v>0</v>
      </c>
      <c r="R354" s="671">
        <f t="shared" si="73"/>
        <v>0</v>
      </c>
      <c r="S354" s="322">
        <f t="shared" si="64"/>
        <v>0</v>
      </c>
    </row>
    <row r="355" spans="1:19">
      <c r="A355" s="155"/>
      <c r="B355" s="57"/>
      <c r="C355" s="24">
        <f t="shared" si="65"/>
        <v>1</v>
      </c>
      <c r="D355" s="675"/>
      <c r="E355" s="24">
        <f t="shared" si="66"/>
        <v>1</v>
      </c>
      <c r="F355" s="675"/>
      <c r="G355" s="24">
        <f t="shared" si="67"/>
        <v>1</v>
      </c>
      <c r="H355" s="675"/>
      <c r="I355" s="24">
        <f t="shared" si="68"/>
        <v>1</v>
      </c>
      <c r="J355" s="675"/>
      <c r="K355" s="24">
        <f t="shared" si="69"/>
        <v>1</v>
      </c>
      <c r="L355" s="675"/>
      <c r="M355" s="24">
        <f t="shared" si="70"/>
        <v>1</v>
      </c>
      <c r="N355" s="675"/>
      <c r="O355" s="24">
        <f t="shared" si="71"/>
        <v>1</v>
      </c>
      <c r="P355" s="675"/>
      <c r="Q355" s="24">
        <f t="shared" si="72"/>
        <v>0</v>
      </c>
      <c r="R355" s="671">
        <f t="shared" si="73"/>
        <v>0</v>
      </c>
      <c r="S355" s="322">
        <f t="shared" si="64"/>
        <v>0</v>
      </c>
    </row>
    <row r="356" spans="1:19">
      <c r="A356" s="155"/>
      <c r="B356" s="57"/>
      <c r="C356" s="24">
        <f t="shared" si="65"/>
        <v>1</v>
      </c>
      <c r="D356" s="675"/>
      <c r="E356" s="24">
        <f t="shared" si="66"/>
        <v>1</v>
      </c>
      <c r="F356" s="675"/>
      <c r="G356" s="24">
        <f t="shared" si="67"/>
        <v>1</v>
      </c>
      <c r="H356" s="675"/>
      <c r="I356" s="24">
        <f t="shared" si="68"/>
        <v>1</v>
      </c>
      <c r="J356" s="675"/>
      <c r="K356" s="24">
        <f t="shared" si="69"/>
        <v>1</v>
      </c>
      <c r="L356" s="675"/>
      <c r="M356" s="24">
        <f t="shared" si="70"/>
        <v>1</v>
      </c>
      <c r="N356" s="675"/>
      <c r="O356" s="24">
        <f t="shared" si="71"/>
        <v>1</v>
      </c>
      <c r="P356" s="675"/>
      <c r="Q356" s="24">
        <f t="shared" si="72"/>
        <v>0</v>
      </c>
      <c r="R356" s="671">
        <f t="shared" si="73"/>
        <v>0</v>
      </c>
      <c r="S356" s="322">
        <f t="shared" si="64"/>
        <v>0</v>
      </c>
    </row>
    <row r="357" spans="1:19">
      <c r="A357" s="155"/>
      <c r="B357" s="57"/>
      <c r="C357" s="24">
        <f t="shared" si="65"/>
        <v>1</v>
      </c>
      <c r="D357" s="675"/>
      <c r="E357" s="24">
        <f t="shared" si="66"/>
        <v>1</v>
      </c>
      <c r="F357" s="675"/>
      <c r="G357" s="24">
        <f t="shared" si="67"/>
        <v>1</v>
      </c>
      <c r="H357" s="675"/>
      <c r="I357" s="24">
        <f t="shared" si="68"/>
        <v>1</v>
      </c>
      <c r="J357" s="675"/>
      <c r="K357" s="24">
        <f t="shared" si="69"/>
        <v>1</v>
      </c>
      <c r="L357" s="675"/>
      <c r="M357" s="24">
        <f t="shared" si="70"/>
        <v>1</v>
      </c>
      <c r="N357" s="675"/>
      <c r="O357" s="24">
        <f t="shared" si="71"/>
        <v>1</v>
      </c>
      <c r="P357" s="675"/>
      <c r="Q357" s="24">
        <f t="shared" si="72"/>
        <v>0</v>
      </c>
      <c r="R357" s="671">
        <f t="shared" si="73"/>
        <v>0</v>
      </c>
      <c r="S357" s="322">
        <f t="shared" si="64"/>
        <v>0</v>
      </c>
    </row>
    <row r="358" spans="1:19">
      <c r="A358" s="155"/>
      <c r="B358" s="57"/>
      <c r="C358" s="24">
        <f t="shared" si="65"/>
        <v>1</v>
      </c>
      <c r="D358" s="675"/>
      <c r="E358" s="24">
        <f t="shared" si="66"/>
        <v>1</v>
      </c>
      <c r="F358" s="675"/>
      <c r="G358" s="24">
        <f t="shared" si="67"/>
        <v>1</v>
      </c>
      <c r="H358" s="675"/>
      <c r="I358" s="24">
        <f t="shared" si="68"/>
        <v>1</v>
      </c>
      <c r="J358" s="675"/>
      <c r="K358" s="24">
        <f t="shared" si="69"/>
        <v>1</v>
      </c>
      <c r="L358" s="675"/>
      <c r="M358" s="24">
        <f t="shared" si="70"/>
        <v>1</v>
      </c>
      <c r="N358" s="675"/>
      <c r="O358" s="24">
        <f t="shared" si="71"/>
        <v>1</v>
      </c>
      <c r="P358" s="675"/>
      <c r="Q358" s="24">
        <f t="shared" si="72"/>
        <v>0</v>
      </c>
      <c r="R358" s="671">
        <f t="shared" si="73"/>
        <v>0</v>
      </c>
      <c r="S358" s="322">
        <f t="shared" si="64"/>
        <v>0</v>
      </c>
    </row>
    <row r="359" spans="1:19">
      <c r="A359" s="155"/>
      <c r="B359" s="57"/>
      <c r="C359" s="24">
        <f t="shared" si="65"/>
        <v>1</v>
      </c>
      <c r="D359" s="675"/>
      <c r="E359" s="24">
        <f t="shared" si="66"/>
        <v>1</v>
      </c>
      <c r="F359" s="675"/>
      <c r="G359" s="24">
        <f t="shared" si="67"/>
        <v>1</v>
      </c>
      <c r="H359" s="675"/>
      <c r="I359" s="24">
        <f t="shared" si="68"/>
        <v>1</v>
      </c>
      <c r="J359" s="675"/>
      <c r="K359" s="24">
        <f t="shared" si="69"/>
        <v>1</v>
      </c>
      <c r="L359" s="675"/>
      <c r="M359" s="24">
        <f t="shared" si="70"/>
        <v>1</v>
      </c>
      <c r="N359" s="675"/>
      <c r="O359" s="24">
        <f t="shared" si="71"/>
        <v>1</v>
      </c>
      <c r="P359" s="675"/>
      <c r="Q359" s="24">
        <f t="shared" si="72"/>
        <v>0</v>
      </c>
      <c r="R359" s="671">
        <f t="shared" si="73"/>
        <v>0</v>
      </c>
      <c r="S359" s="322">
        <f t="shared" si="64"/>
        <v>0</v>
      </c>
    </row>
    <row r="360" spans="1:19">
      <c r="A360" s="155"/>
      <c r="B360" s="57"/>
      <c r="C360" s="24">
        <f t="shared" si="65"/>
        <v>1</v>
      </c>
      <c r="D360" s="675"/>
      <c r="E360" s="24">
        <f t="shared" si="66"/>
        <v>1</v>
      </c>
      <c r="F360" s="675"/>
      <c r="G360" s="24">
        <f t="shared" si="67"/>
        <v>1</v>
      </c>
      <c r="H360" s="675"/>
      <c r="I360" s="24">
        <f t="shared" si="68"/>
        <v>1</v>
      </c>
      <c r="J360" s="675"/>
      <c r="K360" s="24">
        <f t="shared" si="69"/>
        <v>1</v>
      </c>
      <c r="L360" s="675"/>
      <c r="M360" s="24">
        <f t="shared" si="70"/>
        <v>1</v>
      </c>
      <c r="N360" s="675"/>
      <c r="O360" s="24">
        <f t="shared" si="71"/>
        <v>1</v>
      </c>
      <c r="P360" s="675"/>
      <c r="Q360" s="24">
        <f t="shared" si="72"/>
        <v>0</v>
      </c>
      <c r="R360" s="671">
        <f t="shared" si="73"/>
        <v>0</v>
      </c>
      <c r="S360" s="322">
        <f t="shared" si="64"/>
        <v>0</v>
      </c>
    </row>
    <row r="361" spans="1:19">
      <c r="A361" s="155"/>
      <c r="B361" s="57"/>
      <c r="C361" s="24">
        <f t="shared" si="65"/>
        <v>1</v>
      </c>
      <c r="D361" s="675"/>
      <c r="E361" s="24">
        <f t="shared" si="66"/>
        <v>1</v>
      </c>
      <c r="F361" s="675"/>
      <c r="G361" s="24">
        <f t="shared" si="67"/>
        <v>1</v>
      </c>
      <c r="H361" s="675"/>
      <c r="I361" s="24">
        <f t="shared" si="68"/>
        <v>1</v>
      </c>
      <c r="J361" s="675"/>
      <c r="K361" s="24">
        <f t="shared" si="69"/>
        <v>1</v>
      </c>
      <c r="L361" s="675"/>
      <c r="M361" s="24">
        <f t="shared" si="70"/>
        <v>1</v>
      </c>
      <c r="N361" s="675"/>
      <c r="O361" s="24">
        <f t="shared" si="71"/>
        <v>1</v>
      </c>
      <c r="P361" s="675"/>
      <c r="Q361" s="24">
        <f t="shared" si="72"/>
        <v>0</v>
      </c>
      <c r="R361" s="671">
        <f t="shared" si="73"/>
        <v>0</v>
      </c>
      <c r="S361" s="322">
        <f t="shared" si="64"/>
        <v>0</v>
      </c>
    </row>
    <row r="362" spans="1:19">
      <c r="A362" s="155"/>
      <c r="B362" s="57"/>
      <c r="C362" s="24">
        <f t="shared" si="65"/>
        <v>1</v>
      </c>
      <c r="D362" s="675"/>
      <c r="E362" s="24">
        <f t="shared" si="66"/>
        <v>1</v>
      </c>
      <c r="F362" s="675"/>
      <c r="G362" s="24">
        <f t="shared" si="67"/>
        <v>1</v>
      </c>
      <c r="H362" s="675"/>
      <c r="I362" s="24">
        <f t="shared" si="68"/>
        <v>1</v>
      </c>
      <c r="J362" s="675"/>
      <c r="K362" s="24">
        <f t="shared" si="69"/>
        <v>1</v>
      </c>
      <c r="L362" s="675"/>
      <c r="M362" s="24">
        <f t="shared" si="70"/>
        <v>1</v>
      </c>
      <c r="N362" s="675"/>
      <c r="O362" s="24">
        <f t="shared" si="71"/>
        <v>1</v>
      </c>
      <c r="P362" s="675"/>
      <c r="Q362" s="24">
        <f t="shared" si="72"/>
        <v>0</v>
      </c>
      <c r="R362" s="671">
        <f t="shared" si="73"/>
        <v>0</v>
      </c>
      <c r="S362" s="322">
        <f t="shared" si="64"/>
        <v>0</v>
      </c>
    </row>
    <row r="363" spans="1:19">
      <c r="A363" s="155"/>
      <c r="B363" s="57"/>
      <c r="C363" s="24">
        <f t="shared" si="65"/>
        <v>1</v>
      </c>
      <c r="D363" s="675"/>
      <c r="E363" s="24">
        <f t="shared" si="66"/>
        <v>1</v>
      </c>
      <c r="F363" s="675"/>
      <c r="G363" s="24">
        <f t="shared" si="67"/>
        <v>1</v>
      </c>
      <c r="H363" s="675"/>
      <c r="I363" s="24">
        <f t="shared" si="68"/>
        <v>1</v>
      </c>
      <c r="J363" s="675"/>
      <c r="K363" s="24">
        <f t="shared" si="69"/>
        <v>1</v>
      </c>
      <c r="L363" s="675"/>
      <c r="M363" s="24">
        <f t="shared" si="70"/>
        <v>1</v>
      </c>
      <c r="N363" s="675"/>
      <c r="O363" s="24">
        <f t="shared" si="71"/>
        <v>1</v>
      </c>
      <c r="P363" s="675"/>
      <c r="Q363" s="24">
        <f t="shared" si="72"/>
        <v>0</v>
      </c>
      <c r="R363" s="671">
        <f t="shared" si="73"/>
        <v>0</v>
      </c>
      <c r="S363" s="322">
        <f t="shared" si="64"/>
        <v>0</v>
      </c>
    </row>
    <row r="364" spans="1:19">
      <c r="A364" s="155"/>
      <c r="B364" s="57"/>
      <c r="C364" s="24">
        <f t="shared" si="65"/>
        <v>1</v>
      </c>
      <c r="D364" s="675"/>
      <c r="E364" s="24">
        <f t="shared" si="66"/>
        <v>1</v>
      </c>
      <c r="F364" s="675"/>
      <c r="G364" s="24">
        <f t="shared" si="67"/>
        <v>1</v>
      </c>
      <c r="H364" s="675"/>
      <c r="I364" s="24">
        <f t="shared" si="68"/>
        <v>1</v>
      </c>
      <c r="J364" s="675"/>
      <c r="K364" s="24">
        <f t="shared" si="69"/>
        <v>1</v>
      </c>
      <c r="L364" s="675"/>
      <c r="M364" s="24">
        <f t="shared" si="70"/>
        <v>1</v>
      </c>
      <c r="N364" s="675"/>
      <c r="O364" s="24">
        <f t="shared" si="71"/>
        <v>1</v>
      </c>
      <c r="P364" s="675"/>
      <c r="Q364" s="24">
        <f t="shared" si="72"/>
        <v>0</v>
      </c>
      <c r="R364" s="671">
        <f t="shared" si="73"/>
        <v>0</v>
      </c>
      <c r="S364" s="322">
        <f t="shared" si="64"/>
        <v>0</v>
      </c>
    </row>
    <row r="365" spans="1:19">
      <c r="A365" s="155"/>
      <c r="B365" s="57"/>
      <c r="C365" s="24">
        <f t="shared" si="65"/>
        <v>1</v>
      </c>
      <c r="D365" s="675"/>
      <c r="E365" s="24">
        <f t="shared" si="66"/>
        <v>1</v>
      </c>
      <c r="F365" s="675"/>
      <c r="G365" s="24">
        <f t="shared" si="67"/>
        <v>1</v>
      </c>
      <c r="H365" s="675"/>
      <c r="I365" s="24">
        <f t="shared" si="68"/>
        <v>1</v>
      </c>
      <c r="J365" s="675"/>
      <c r="K365" s="24">
        <f t="shared" si="69"/>
        <v>1</v>
      </c>
      <c r="L365" s="675"/>
      <c r="M365" s="24">
        <f t="shared" si="70"/>
        <v>1</v>
      </c>
      <c r="N365" s="675"/>
      <c r="O365" s="24">
        <f t="shared" si="71"/>
        <v>1</v>
      </c>
      <c r="P365" s="675"/>
      <c r="Q365" s="24">
        <f t="shared" si="72"/>
        <v>0</v>
      </c>
      <c r="R365" s="671">
        <f t="shared" si="73"/>
        <v>0</v>
      </c>
      <c r="S365" s="322">
        <f t="shared" si="64"/>
        <v>0</v>
      </c>
    </row>
    <row r="366" spans="1:19">
      <c r="A366" s="155"/>
      <c r="B366" s="57"/>
      <c r="C366" s="24">
        <f t="shared" si="65"/>
        <v>1</v>
      </c>
      <c r="D366" s="675"/>
      <c r="E366" s="24">
        <f t="shared" si="66"/>
        <v>1</v>
      </c>
      <c r="F366" s="675"/>
      <c r="G366" s="24">
        <f t="shared" si="67"/>
        <v>1</v>
      </c>
      <c r="H366" s="675"/>
      <c r="I366" s="24">
        <f t="shared" si="68"/>
        <v>1</v>
      </c>
      <c r="J366" s="675"/>
      <c r="K366" s="24">
        <f t="shared" si="69"/>
        <v>1</v>
      </c>
      <c r="L366" s="675"/>
      <c r="M366" s="24">
        <f t="shared" si="70"/>
        <v>1</v>
      </c>
      <c r="N366" s="675"/>
      <c r="O366" s="24">
        <f t="shared" si="71"/>
        <v>1</v>
      </c>
      <c r="P366" s="675"/>
      <c r="Q366" s="24">
        <f t="shared" si="72"/>
        <v>0</v>
      </c>
      <c r="R366" s="671">
        <f t="shared" si="73"/>
        <v>0</v>
      </c>
      <c r="S366" s="322">
        <f t="shared" si="64"/>
        <v>0</v>
      </c>
    </row>
    <row r="367" spans="1:19">
      <c r="A367" s="155"/>
      <c r="B367" s="57"/>
      <c r="C367" s="24">
        <f t="shared" si="65"/>
        <v>1</v>
      </c>
      <c r="D367" s="675"/>
      <c r="E367" s="24">
        <f t="shared" si="66"/>
        <v>1</v>
      </c>
      <c r="F367" s="675"/>
      <c r="G367" s="24">
        <f t="shared" si="67"/>
        <v>1</v>
      </c>
      <c r="H367" s="675"/>
      <c r="I367" s="24">
        <f t="shared" si="68"/>
        <v>1</v>
      </c>
      <c r="J367" s="675"/>
      <c r="K367" s="24">
        <f t="shared" si="69"/>
        <v>1</v>
      </c>
      <c r="L367" s="675"/>
      <c r="M367" s="24">
        <f t="shared" si="70"/>
        <v>1</v>
      </c>
      <c r="N367" s="675"/>
      <c r="O367" s="24">
        <f t="shared" si="71"/>
        <v>1</v>
      </c>
      <c r="P367" s="675"/>
      <c r="Q367" s="24">
        <f t="shared" si="72"/>
        <v>0</v>
      </c>
      <c r="R367" s="671">
        <f t="shared" si="73"/>
        <v>0</v>
      </c>
      <c r="S367" s="322">
        <f t="shared" si="64"/>
        <v>0</v>
      </c>
    </row>
    <row r="368" spans="1:19">
      <c r="A368" s="155"/>
      <c r="B368" s="57"/>
      <c r="C368" s="24">
        <f t="shared" si="65"/>
        <v>1</v>
      </c>
      <c r="D368" s="675"/>
      <c r="E368" s="24">
        <f t="shared" si="66"/>
        <v>1</v>
      </c>
      <c r="F368" s="675"/>
      <c r="G368" s="24">
        <f t="shared" si="67"/>
        <v>1</v>
      </c>
      <c r="H368" s="675"/>
      <c r="I368" s="24">
        <f t="shared" si="68"/>
        <v>1</v>
      </c>
      <c r="J368" s="675"/>
      <c r="K368" s="24">
        <f t="shared" si="69"/>
        <v>1</v>
      </c>
      <c r="L368" s="675"/>
      <c r="M368" s="24">
        <f t="shared" si="70"/>
        <v>1</v>
      </c>
      <c r="N368" s="675"/>
      <c r="O368" s="24">
        <f t="shared" si="71"/>
        <v>1</v>
      </c>
      <c r="P368" s="675"/>
      <c r="Q368" s="24">
        <f t="shared" si="72"/>
        <v>0</v>
      </c>
      <c r="R368" s="671">
        <f t="shared" si="73"/>
        <v>0</v>
      </c>
      <c r="S368" s="322">
        <f t="shared" si="64"/>
        <v>0</v>
      </c>
    </row>
    <row r="369" spans="1:19">
      <c r="A369" s="155"/>
      <c r="B369" s="57"/>
      <c r="C369" s="24">
        <f t="shared" si="65"/>
        <v>1</v>
      </c>
      <c r="D369" s="675"/>
      <c r="E369" s="24">
        <f t="shared" si="66"/>
        <v>1</v>
      </c>
      <c r="F369" s="675"/>
      <c r="G369" s="24">
        <f t="shared" si="67"/>
        <v>1</v>
      </c>
      <c r="H369" s="675"/>
      <c r="I369" s="24">
        <f t="shared" si="68"/>
        <v>1</v>
      </c>
      <c r="J369" s="675"/>
      <c r="K369" s="24">
        <f t="shared" si="69"/>
        <v>1</v>
      </c>
      <c r="L369" s="675"/>
      <c r="M369" s="24">
        <f t="shared" si="70"/>
        <v>1</v>
      </c>
      <c r="N369" s="675"/>
      <c r="O369" s="24">
        <f t="shared" si="71"/>
        <v>1</v>
      </c>
      <c r="P369" s="675"/>
      <c r="Q369" s="24">
        <f t="shared" si="72"/>
        <v>0</v>
      </c>
      <c r="R369" s="671">
        <f t="shared" si="73"/>
        <v>0</v>
      </c>
      <c r="S369" s="322">
        <f t="shared" si="64"/>
        <v>0</v>
      </c>
    </row>
    <row r="370" spans="1:19">
      <c r="A370" s="155"/>
      <c r="B370" s="57"/>
      <c r="C370" s="24">
        <f t="shared" si="65"/>
        <v>1</v>
      </c>
      <c r="D370" s="675"/>
      <c r="E370" s="24">
        <f t="shared" si="66"/>
        <v>1</v>
      </c>
      <c r="F370" s="675"/>
      <c r="G370" s="24">
        <f t="shared" si="67"/>
        <v>1</v>
      </c>
      <c r="H370" s="675"/>
      <c r="I370" s="24">
        <f t="shared" si="68"/>
        <v>1</v>
      </c>
      <c r="J370" s="675"/>
      <c r="K370" s="24">
        <f t="shared" si="69"/>
        <v>1</v>
      </c>
      <c r="L370" s="675"/>
      <c r="M370" s="24">
        <f t="shared" si="70"/>
        <v>1</v>
      </c>
      <c r="N370" s="675"/>
      <c r="O370" s="24">
        <f t="shared" si="71"/>
        <v>1</v>
      </c>
      <c r="P370" s="675"/>
      <c r="Q370" s="24">
        <f t="shared" si="72"/>
        <v>0</v>
      </c>
      <c r="R370" s="671">
        <f t="shared" si="73"/>
        <v>0</v>
      </c>
      <c r="S370" s="322">
        <f t="shared" si="64"/>
        <v>0</v>
      </c>
    </row>
    <row r="371" spans="1:19">
      <c r="A371" s="155"/>
      <c r="B371" s="57"/>
      <c r="C371" s="24">
        <f t="shared" si="65"/>
        <v>1</v>
      </c>
      <c r="D371" s="675"/>
      <c r="E371" s="24">
        <f t="shared" si="66"/>
        <v>1</v>
      </c>
      <c r="F371" s="675"/>
      <c r="G371" s="24">
        <f t="shared" si="67"/>
        <v>1</v>
      </c>
      <c r="H371" s="675"/>
      <c r="I371" s="24">
        <f t="shared" si="68"/>
        <v>1</v>
      </c>
      <c r="J371" s="675"/>
      <c r="K371" s="24">
        <f t="shared" si="69"/>
        <v>1</v>
      </c>
      <c r="L371" s="675"/>
      <c r="M371" s="24">
        <f t="shared" si="70"/>
        <v>1</v>
      </c>
      <c r="N371" s="675"/>
      <c r="O371" s="24">
        <f t="shared" si="71"/>
        <v>1</v>
      </c>
      <c r="P371" s="675"/>
      <c r="Q371" s="24">
        <f t="shared" si="72"/>
        <v>0</v>
      </c>
      <c r="R371" s="671">
        <f t="shared" si="73"/>
        <v>0</v>
      </c>
      <c r="S371" s="322">
        <f t="shared" si="64"/>
        <v>0</v>
      </c>
    </row>
    <row r="372" spans="1:19">
      <c r="A372" s="155"/>
      <c r="B372" s="57"/>
      <c r="C372" s="24">
        <f t="shared" si="65"/>
        <v>1</v>
      </c>
      <c r="D372" s="675"/>
      <c r="E372" s="24">
        <f t="shared" si="66"/>
        <v>1</v>
      </c>
      <c r="F372" s="675"/>
      <c r="G372" s="24">
        <f t="shared" si="67"/>
        <v>1</v>
      </c>
      <c r="H372" s="675"/>
      <c r="I372" s="24">
        <f t="shared" si="68"/>
        <v>1</v>
      </c>
      <c r="J372" s="675"/>
      <c r="K372" s="24">
        <f t="shared" si="69"/>
        <v>1</v>
      </c>
      <c r="L372" s="675"/>
      <c r="M372" s="24">
        <f t="shared" si="70"/>
        <v>1</v>
      </c>
      <c r="N372" s="675"/>
      <c r="O372" s="24">
        <f t="shared" si="71"/>
        <v>1</v>
      </c>
      <c r="P372" s="675"/>
      <c r="Q372" s="24">
        <f t="shared" si="72"/>
        <v>0</v>
      </c>
      <c r="R372" s="671">
        <f t="shared" si="73"/>
        <v>0</v>
      </c>
      <c r="S372" s="322">
        <f t="shared" si="64"/>
        <v>0</v>
      </c>
    </row>
    <row r="373" spans="1:19">
      <c r="A373" s="155"/>
      <c r="B373" s="57"/>
      <c r="C373" s="24">
        <f t="shared" si="65"/>
        <v>1</v>
      </c>
      <c r="D373" s="675"/>
      <c r="E373" s="24">
        <f t="shared" si="66"/>
        <v>1</v>
      </c>
      <c r="F373" s="675"/>
      <c r="G373" s="24">
        <f t="shared" si="67"/>
        <v>1</v>
      </c>
      <c r="H373" s="675"/>
      <c r="I373" s="24">
        <f t="shared" si="68"/>
        <v>1</v>
      </c>
      <c r="J373" s="675"/>
      <c r="K373" s="24">
        <f t="shared" si="69"/>
        <v>1</v>
      </c>
      <c r="L373" s="675"/>
      <c r="M373" s="24">
        <f t="shared" si="70"/>
        <v>1</v>
      </c>
      <c r="N373" s="675"/>
      <c r="O373" s="24">
        <f t="shared" si="71"/>
        <v>1</v>
      </c>
      <c r="P373" s="675"/>
      <c r="Q373" s="24">
        <f t="shared" si="72"/>
        <v>0</v>
      </c>
      <c r="R373" s="671">
        <f t="shared" si="73"/>
        <v>0</v>
      </c>
      <c r="S373" s="322">
        <f t="shared" si="64"/>
        <v>0</v>
      </c>
    </row>
    <row r="374" spans="1:19">
      <c r="A374" s="155"/>
      <c r="B374" s="57"/>
      <c r="C374" s="24">
        <f t="shared" si="65"/>
        <v>1</v>
      </c>
      <c r="D374" s="675"/>
      <c r="E374" s="24">
        <f t="shared" si="66"/>
        <v>1</v>
      </c>
      <c r="F374" s="675"/>
      <c r="G374" s="24">
        <f t="shared" si="67"/>
        <v>1</v>
      </c>
      <c r="H374" s="675"/>
      <c r="I374" s="24">
        <f t="shared" si="68"/>
        <v>1</v>
      </c>
      <c r="J374" s="675"/>
      <c r="K374" s="24">
        <f t="shared" si="69"/>
        <v>1</v>
      </c>
      <c r="L374" s="675"/>
      <c r="M374" s="24">
        <f t="shared" si="70"/>
        <v>1</v>
      </c>
      <c r="N374" s="675"/>
      <c r="O374" s="24">
        <f t="shared" si="71"/>
        <v>1</v>
      </c>
      <c r="P374" s="675"/>
      <c r="Q374" s="24">
        <f t="shared" si="72"/>
        <v>0</v>
      </c>
      <c r="R374" s="671">
        <f t="shared" si="73"/>
        <v>0</v>
      </c>
      <c r="S374" s="322">
        <f t="shared" si="64"/>
        <v>0</v>
      </c>
    </row>
    <row r="375" spans="1:19">
      <c r="A375" s="155"/>
      <c r="B375" s="57"/>
      <c r="C375" s="24">
        <f t="shared" si="65"/>
        <v>1</v>
      </c>
      <c r="D375" s="675"/>
      <c r="E375" s="24">
        <f t="shared" si="66"/>
        <v>1</v>
      </c>
      <c r="F375" s="675"/>
      <c r="G375" s="24">
        <f t="shared" si="67"/>
        <v>1</v>
      </c>
      <c r="H375" s="675"/>
      <c r="I375" s="24">
        <f t="shared" si="68"/>
        <v>1</v>
      </c>
      <c r="J375" s="675"/>
      <c r="K375" s="24">
        <f t="shared" si="69"/>
        <v>1</v>
      </c>
      <c r="L375" s="675"/>
      <c r="M375" s="24">
        <f t="shared" si="70"/>
        <v>1</v>
      </c>
      <c r="N375" s="675"/>
      <c r="O375" s="24">
        <f t="shared" si="71"/>
        <v>1</v>
      </c>
      <c r="P375" s="675"/>
      <c r="Q375" s="24">
        <f t="shared" si="72"/>
        <v>0</v>
      </c>
      <c r="R375" s="671">
        <f t="shared" si="73"/>
        <v>0</v>
      </c>
      <c r="S375" s="322">
        <f t="shared" si="64"/>
        <v>0</v>
      </c>
    </row>
    <row r="376" spans="1:19">
      <c r="A376" s="155"/>
      <c r="B376" s="57"/>
      <c r="C376" s="24">
        <f t="shared" si="65"/>
        <v>1</v>
      </c>
      <c r="D376" s="675"/>
      <c r="E376" s="24">
        <f t="shared" si="66"/>
        <v>1</v>
      </c>
      <c r="F376" s="675"/>
      <c r="G376" s="24">
        <f t="shared" si="67"/>
        <v>1</v>
      </c>
      <c r="H376" s="675"/>
      <c r="I376" s="24">
        <f t="shared" si="68"/>
        <v>1</v>
      </c>
      <c r="J376" s="675"/>
      <c r="K376" s="24">
        <f t="shared" si="69"/>
        <v>1</v>
      </c>
      <c r="L376" s="675"/>
      <c r="M376" s="24">
        <f t="shared" si="70"/>
        <v>1</v>
      </c>
      <c r="N376" s="675"/>
      <c r="O376" s="24">
        <f t="shared" si="71"/>
        <v>1</v>
      </c>
      <c r="P376" s="675"/>
      <c r="Q376" s="24">
        <f t="shared" si="72"/>
        <v>0</v>
      </c>
      <c r="R376" s="671">
        <f t="shared" si="73"/>
        <v>0</v>
      </c>
      <c r="S376" s="322">
        <f t="shared" si="64"/>
        <v>0</v>
      </c>
    </row>
    <row r="377" spans="1:19">
      <c r="A377" s="155"/>
      <c r="B377" s="57"/>
      <c r="C377" s="24">
        <f t="shared" si="65"/>
        <v>1</v>
      </c>
      <c r="D377" s="675"/>
      <c r="E377" s="24">
        <f t="shared" si="66"/>
        <v>1</v>
      </c>
      <c r="F377" s="675"/>
      <c r="G377" s="24">
        <f t="shared" si="67"/>
        <v>1</v>
      </c>
      <c r="H377" s="675"/>
      <c r="I377" s="24">
        <f t="shared" si="68"/>
        <v>1</v>
      </c>
      <c r="J377" s="675"/>
      <c r="K377" s="24">
        <f t="shared" si="69"/>
        <v>1</v>
      </c>
      <c r="L377" s="675"/>
      <c r="M377" s="24">
        <f t="shared" si="70"/>
        <v>1</v>
      </c>
      <c r="N377" s="675"/>
      <c r="O377" s="24">
        <f t="shared" si="71"/>
        <v>1</v>
      </c>
      <c r="P377" s="675"/>
      <c r="Q377" s="24">
        <f t="shared" si="72"/>
        <v>0</v>
      </c>
      <c r="R377" s="671">
        <f t="shared" si="73"/>
        <v>0</v>
      </c>
      <c r="S377" s="322">
        <f t="shared" si="64"/>
        <v>0</v>
      </c>
    </row>
    <row r="378" spans="1:19">
      <c r="A378" s="155"/>
      <c r="B378" s="57"/>
      <c r="C378" s="24">
        <f t="shared" si="65"/>
        <v>1</v>
      </c>
      <c r="D378" s="675"/>
      <c r="E378" s="24">
        <f t="shared" si="66"/>
        <v>1</v>
      </c>
      <c r="F378" s="675"/>
      <c r="G378" s="24">
        <f t="shared" si="67"/>
        <v>1</v>
      </c>
      <c r="H378" s="675"/>
      <c r="I378" s="24">
        <f t="shared" si="68"/>
        <v>1</v>
      </c>
      <c r="J378" s="675"/>
      <c r="K378" s="24">
        <f t="shared" si="69"/>
        <v>1</v>
      </c>
      <c r="L378" s="675"/>
      <c r="M378" s="24">
        <f t="shared" si="70"/>
        <v>1</v>
      </c>
      <c r="N378" s="675"/>
      <c r="O378" s="24">
        <f t="shared" si="71"/>
        <v>1</v>
      </c>
      <c r="P378" s="675"/>
      <c r="Q378" s="24">
        <f t="shared" si="72"/>
        <v>0</v>
      </c>
      <c r="R378" s="671">
        <f t="shared" si="73"/>
        <v>0</v>
      </c>
      <c r="S378" s="322">
        <f t="shared" si="64"/>
        <v>0</v>
      </c>
    </row>
    <row r="379" spans="1:19">
      <c r="A379" s="155"/>
      <c r="B379" s="57"/>
      <c r="C379" s="24">
        <f t="shared" si="65"/>
        <v>1</v>
      </c>
      <c r="D379" s="675"/>
      <c r="E379" s="24">
        <f t="shared" si="66"/>
        <v>1</v>
      </c>
      <c r="F379" s="675"/>
      <c r="G379" s="24">
        <f t="shared" si="67"/>
        <v>1</v>
      </c>
      <c r="H379" s="675"/>
      <c r="I379" s="24">
        <f t="shared" si="68"/>
        <v>1</v>
      </c>
      <c r="J379" s="675"/>
      <c r="K379" s="24">
        <f t="shared" si="69"/>
        <v>1</v>
      </c>
      <c r="L379" s="675"/>
      <c r="M379" s="24">
        <f t="shared" si="70"/>
        <v>1</v>
      </c>
      <c r="N379" s="675"/>
      <c r="O379" s="24">
        <f t="shared" si="71"/>
        <v>1</v>
      </c>
      <c r="P379" s="675"/>
      <c r="Q379" s="24">
        <f t="shared" si="72"/>
        <v>0</v>
      </c>
      <c r="R379" s="671">
        <f t="shared" si="73"/>
        <v>0</v>
      </c>
      <c r="S379" s="322">
        <f t="shared" si="64"/>
        <v>0</v>
      </c>
    </row>
    <row r="380" spans="1:19">
      <c r="A380" s="155"/>
      <c r="B380" s="57"/>
      <c r="C380" s="24">
        <f t="shared" si="65"/>
        <v>1</v>
      </c>
      <c r="D380" s="675"/>
      <c r="E380" s="24">
        <f t="shared" si="66"/>
        <v>1</v>
      </c>
      <c r="F380" s="675"/>
      <c r="G380" s="24">
        <f t="shared" si="67"/>
        <v>1</v>
      </c>
      <c r="H380" s="675"/>
      <c r="I380" s="24">
        <f t="shared" si="68"/>
        <v>1</v>
      </c>
      <c r="J380" s="675"/>
      <c r="K380" s="24">
        <f t="shared" si="69"/>
        <v>1</v>
      </c>
      <c r="L380" s="675"/>
      <c r="M380" s="24">
        <f t="shared" si="70"/>
        <v>1</v>
      </c>
      <c r="N380" s="675"/>
      <c r="O380" s="24">
        <f t="shared" si="71"/>
        <v>1</v>
      </c>
      <c r="P380" s="675"/>
      <c r="Q380" s="24">
        <f t="shared" si="72"/>
        <v>0</v>
      </c>
      <c r="R380" s="671">
        <f t="shared" si="73"/>
        <v>0</v>
      </c>
      <c r="S380" s="322">
        <f t="shared" si="64"/>
        <v>0</v>
      </c>
    </row>
    <row r="381" spans="1:19">
      <c r="A381" s="155"/>
      <c r="B381" s="57"/>
      <c r="C381" s="24">
        <f t="shared" si="65"/>
        <v>1</v>
      </c>
      <c r="D381" s="675"/>
      <c r="E381" s="24">
        <f t="shared" si="66"/>
        <v>1</v>
      </c>
      <c r="F381" s="675"/>
      <c r="G381" s="24">
        <f t="shared" si="67"/>
        <v>1</v>
      </c>
      <c r="H381" s="675"/>
      <c r="I381" s="24">
        <f t="shared" si="68"/>
        <v>1</v>
      </c>
      <c r="J381" s="675"/>
      <c r="K381" s="24">
        <f t="shared" si="69"/>
        <v>1</v>
      </c>
      <c r="L381" s="675"/>
      <c r="M381" s="24">
        <f t="shared" si="70"/>
        <v>1</v>
      </c>
      <c r="N381" s="675"/>
      <c r="O381" s="24">
        <f t="shared" si="71"/>
        <v>1</v>
      </c>
      <c r="P381" s="675"/>
      <c r="Q381" s="24">
        <f t="shared" si="72"/>
        <v>0</v>
      </c>
      <c r="R381" s="671">
        <f t="shared" si="73"/>
        <v>0</v>
      </c>
      <c r="S381" s="322">
        <f t="shared" si="64"/>
        <v>0</v>
      </c>
    </row>
    <row r="382" spans="1:19">
      <c r="A382" s="155"/>
      <c r="B382" s="57"/>
      <c r="C382" s="24">
        <f t="shared" si="65"/>
        <v>1</v>
      </c>
      <c r="D382" s="675"/>
      <c r="E382" s="24">
        <f t="shared" si="66"/>
        <v>1</v>
      </c>
      <c r="F382" s="675"/>
      <c r="G382" s="24">
        <f t="shared" si="67"/>
        <v>1</v>
      </c>
      <c r="H382" s="675"/>
      <c r="I382" s="24">
        <f t="shared" si="68"/>
        <v>1</v>
      </c>
      <c r="J382" s="675"/>
      <c r="K382" s="24">
        <f t="shared" si="69"/>
        <v>1</v>
      </c>
      <c r="L382" s="675"/>
      <c r="M382" s="24">
        <f t="shared" si="70"/>
        <v>1</v>
      </c>
      <c r="N382" s="675"/>
      <c r="O382" s="24">
        <f t="shared" si="71"/>
        <v>1</v>
      </c>
      <c r="P382" s="675"/>
      <c r="Q382" s="24">
        <f t="shared" si="72"/>
        <v>0</v>
      </c>
      <c r="R382" s="671">
        <f t="shared" si="73"/>
        <v>0</v>
      </c>
      <c r="S382" s="322">
        <f t="shared" si="64"/>
        <v>0</v>
      </c>
    </row>
    <row r="383" spans="1:19">
      <c r="A383" s="155"/>
      <c r="B383" s="57"/>
      <c r="C383" s="24">
        <f t="shared" si="65"/>
        <v>1</v>
      </c>
      <c r="D383" s="675"/>
      <c r="E383" s="24">
        <f t="shared" si="66"/>
        <v>1</v>
      </c>
      <c r="F383" s="675"/>
      <c r="G383" s="24">
        <f t="shared" si="67"/>
        <v>1</v>
      </c>
      <c r="H383" s="675"/>
      <c r="I383" s="24">
        <f t="shared" si="68"/>
        <v>1</v>
      </c>
      <c r="J383" s="675"/>
      <c r="K383" s="24">
        <f t="shared" si="69"/>
        <v>1</v>
      </c>
      <c r="L383" s="675"/>
      <c r="M383" s="24">
        <f t="shared" si="70"/>
        <v>1</v>
      </c>
      <c r="N383" s="675"/>
      <c r="O383" s="24">
        <f t="shared" si="71"/>
        <v>1</v>
      </c>
      <c r="P383" s="675"/>
      <c r="Q383" s="24">
        <f t="shared" si="72"/>
        <v>0</v>
      </c>
      <c r="R383" s="671">
        <f t="shared" si="73"/>
        <v>0</v>
      </c>
      <c r="S383" s="322">
        <f t="shared" si="64"/>
        <v>0</v>
      </c>
    </row>
    <row r="384" spans="1:19">
      <c r="A384" s="155"/>
      <c r="B384" s="57"/>
      <c r="C384" s="24">
        <f t="shared" si="65"/>
        <v>1</v>
      </c>
      <c r="D384" s="675"/>
      <c r="E384" s="24">
        <f t="shared" si="66"/>
        <v>1</v>
      </c>
      <c r="F384" s="675"/>
      <c r="G384" s="24">
        <f t="shared" si="67"/>
        <v>1</v>
      </c>
      <c r="H384" s="675"/>
      <c r="I384" s="24">
        <f t="shared" si="68"/>
        <v>1</v>
      </c>
      <c r="J384" s="675"/>
      <c r="K384" s="24">
        <f t="shared" si="69"/>
        <v>1</v>
      </c>
      <c r="L384" s="675"/>
      <c r="M384" s="24">
        <f t="shared" si="70"/>
        <v>1</v>
      </c>
      <c r="N384" s="675"/>
      <c r="O384" s="24">
        <f t="shared" si="71"/>
        <v>1</v>
      </c>
      <c r="P384" s="675"/>
      <c r="Q384" s="24">
        <f t="shared" si="72"/>
        <v>0</v>
      </c>
      <c r="R384" s="671">
        <f t="shared" si="73"/>
        <v>0</v>
      </c>
      <c r="S384" s="322">
        <f t="shared" si="64"/>
        <v>0</v>
      </c>
    </row>
    <row r="385" spans="1:19">
      <c r="A385" s="155"/>
      <c r="B385" s="57"/>
      <c r="C385" s="24">
        <f t="shared" si="65"/>
        <v>1</v>
      </c>
      <c r="D385" s="675"/>
      <c r="E385" s="24">
        <f t="shared" si="66"/>
        <v>1</v>
      </c>
      <c r="F385" s="675"/>
      <c r="G385" s="24">
        <f t="shared" si="67"/>
        <v>1</v>
      </c>
      <c r="H385" s="675"/>
      <c r="I385" s="24">
        <f t="shared" si="68"/>
        <v>1</v>
      </c>
      <c r="J385" s="675"/>
      <c r="K385" s="24">
        <f t="shared" si="69"/>
        <v>1</v>
      </c>
      <c r="L385" s="675"/>
      <c r="M385" s="24">
        <f t="shared" si="70"/>
        <v>1</v>
      </c>
      <c r="N385" s="675"/>
      <c r="O385" s="24">
        <f t="shared" si="71"/>
        <v>1</v>
      </c>
      <c r="P385" s="675"/>
      <c r="Q385" s="24">
        <f t="shared" si="72"/>
        <v>0</v>
      </c>
      <c r="R385" s="671">
        <f t="shared" si="73"/>
        <v>0</v>
      </c>
      <c r="S385" s="322">
        <f t="shared" ref="S385:S422" si="74">ROUND(R385*B385/10000,0)</f>
        <v>0</v>
      </c>
    </row>
    <row r="386" spans="1:19">
      <c r="A386" s="155"/>
      <c r="B386" s="57"/>
      <c r="C386" s="24">
        <f t="shared" si="65"/>
        <v>1</v>
      </c>
      <c r="D386" s="675"/>
      <c r="E386" s="24">
        <f t="shared" si="66"/>
        <v>1</v>
      </c>
      <c r="F386" s="675"/>
      <c r="G386" s="24">
        <f t="shared" si="67"/>
        <v>1</v>
      </c>
      <c r="H386" s="675"/>
      <c r="I386" s="24">
        <f t="shared" si="68"/>
        <v>1</v>
      </c>
      <c r="J386" s="675"/>
      <c r="K386" s="24">
        <f t="shared" si="69"/>
        <v>1</v>
      </c>
      <c r="L386" s="675"/>
      <c r="M386" s="24">
        <f t="shared" si="70"/>
        <v>1</v>
      </c>
      <c r="N386" s="675"/>
      <c r="O386" s="24">
        <f t="shared" si="71"/>
        <v>1</v>
      </c>
      <c r="P386" s="675"/>
      <c r="Q386" s="24">
        <f t="shared" si="72"/>
        <v>0</v>
      </c>
      <c r="R386" s="671">
        <f t="shared" si="73"/>
        <v>0</v>
      </c>
      <c r="S386" s="322">
        <f t="shared" si="74"/>
        <v>0</v>
      </c>
    </row>
    <row r="387" spans="1:19">
      <c r="A387" s="155"/>
      <c r="B387" s="57"/>
      <c r="C387" s="24">
        <f t="shared" si="65"/>
        <v>1</v>
      </c>
      <c r="D387" s="675"/>
      <c r="E387" s="24">
        <f t="shared" si="66"/>
        <v>1</v>
      </c>
      <c r="F387" s="675"/>
      <c r="G387" s="24">
        <f t="shared" si="67"/>
        <v>1</v>
      </c>
      <c r="H387" s="675"/>
      <c r="I387" s="24">
        <f t="shared" si="68"/>
        <v>1</v>
      </c>
      <c r="J387" s="675"/>
      <c r="K387" s="24">
        <f t="shared" si="69"/>
        <v>1</v>
      </c>
      <c r="L387" s="675"/>
      <c r="M387" s="24">
        <f t="shared" si="70"/>
        <v>1</v>
      </c>
      <c r="N387" s="675"/>
      <c r="O387" s="24">
        <f t="shared" si="71"/>
        <v>1</v>
      </c>
      <c r="P387" s="675"/>
      <c r="Q387" s="24">
        <f t="shared" si="72"/>
        <v>0</v>
      </c>
      <c r="R387" s="671">
        <f t="shared" si="73"/>
        <v>0</v>
      </c>
      <c r="S387" s="322">
        <f t="shared" si="74"/>
        <v>0</v>
      </c>
    </row>
    <row r="388" spans="1:19">
      <c r="A388" s="155"/>
      <c r="B388" s="57"/>
      <c r="C388" s="24">
        <f t="shared" si="65"/>
        <v>1</v>
      </c>
      <c r="D388" s="675"/>
      <c r="E388" s="24">
        <f t="shared" si="66"/>
        <v>1</v>
      </c>
      <c r="F388" s="675"/>
      <c r="G388" s="24">
        <f t="shared" si="67"/>
        <v>1</v>
      </c>
      <c r="H388" s="675"/>
      <c r="I388" s="24">
        <f t="shared" si="68"/>
        <v>1</v>
      </c>
      <c r="J388" s="675"/>
      <c r="K388" s="24">
        <f t="shared" si="69"/>
        <v>1</v>
      </c>
      <c r="L388" s="675"/>
      <c r="M388" s="24">
        <f t="shared" si="70"/>
        <v>1</v>
      </c>
      <c r="N388" s="675"/>
      <c r="O388" s="24">
        <f t="shared" si="71"/>
        <v>1</v>
      </c>
      <c r="P388" s="675"/>
      <c r="Q388" s="24">
        <f t="shared" si="72"/>
        <v>0</v>
      </c>
      <c r="R388" s="671">
        <f t="shared" si="73"/>
        <v>0</v>
      </c>
      <c r="S388" s="322">
        <f t="shared" si="74"/>
        <v>0</v>
      </c>
    </row>
    <row r="389" spans="1:19">
      <c r="A389" s="155"/>
      <c r="B389" s="57"/>
      <c r="C389" s="24">
        <f t="shared" si="65"/>
        <v>1</v>
      </c>
      <c r="D389" s="675"/>
      <c r="E389" s="24">
        <f t="shared" si="66"/>
        <v>1</v>
      </c>
      <c r="F389" s="675"/>
      <c r="G389" s="24">
        <f t="shared" si="67"/>
        <v>1</v>
      </c>
      <c r="H389" s="675"/>
      <c r="I389" s="24">
        <f t="shared" si="68"/>
        <v>1</v>
      </c>
      <c r="J389" s="675"/>
      <c r="K389" s="24">
        <f t="shared" si="69"/>
        <v>1</v>
      </c>
      <c r="L389" s="675"/>
      <c r="M389" s="24">
        <f t="shared" si="70"/>
        <v>1</v>
      </c>
      <c r="N389" s="675"/>
      <c r="O389" s="24">
        <f t="shared" si="71"/>
        <v>1</v>
      </c>
      <c r="P389" s="675"/>
      <c r="Q389" s="24">
        <f t="shared" si="72"/>
        <v>0</v>
      </c>
      <c r="R389" s="671">
        <f t="shared" si="73"/>
        <v>0</v>
      </c>
      <c r="S389" s="322">
        <f t="shared" si="74"/>
        <v>0</v>
      </c>
    </row>
    <row r="390" spans="1:19">
      <c r="A390" s="155"/>
      <c r="B390" s="57"/>
      <c r="C390" s="24">
        <f t="shared" si="65"/>
        <v>1</v>
      </c>
      <c r="D390" s="675"/>
      <c r="E390" s="24">
        <f t="shared" si="66"/>
        <v>1</v>
      </c>
      <c r="F390" s="675"/>
      <c r="G390" s="24">
        <f t="shared" si="67"/>
        <v>1</v>
      </c>
      <c r="H390" s="675"/>
      <c r="I390" s="24">
        <f t="shared" si="68"/>
        <v>1</v>
      </c>
      <c r="J390" s="675"/>
      <c r="K390" s="24">
        <f t="shared" si="69"/>
        <v>1</v>
      </c>
      <c r="L390" s="675"/>
      <c r="M390" s="24">
        <f t="shared" si="70"/>
        <v>1</v>
      </c>
      <c r="N390" s="675"/>
      <c r="O390" s="24">
        <f t="shared" si="71"/>
        <v>1</v>
      </c>
      <c r="P390" s="675"/>
      <c r="Q390" s="24">
        <f t="shared" si="72"/>
        <v>0</v>
      </c>
      <c r="R390" s="671">
        <f t="shared" si="73"/>
        <v>0</v>
      </c>
      <c r="S390" s="322">
        <f t="shared" si="74"/>
        <v>0</v>
      </c>
    </row>
    <row r="391" spans="1:19">
      <c r="A391" s="155"/>
      <c r="B391" s="57"/>
      <c r="C391" s="24">
        <f t="shared" si="65"/>
        <v>1</v>
      </c>
      <c r="D391" s="675"/>
      <c r="E391" s="24">
        <f t="shared" si="66"/>
        <v>1</v>
      </c>
      <c r="F391" s="675"/>
      <c r="G391" s="24">
        <f t="shared" si="67"/>
        <v>1</v>
      </c>
      <c r="H391" s="675"/>
      <c r="I391" s="24">
        <f t="shared" si="68"/>
        <v>1</v>
      </c>
      <c r="J391" s="675"/>
      <c r="K391" s="24">
        <f t="shared" si="69"/>
        <v>1</v>
      </c>
      <c r="L391" s="675"/>
      <c r="M391" s="24">
        <f t="shared" si="70"/>
        <v>1</v>
      </c>
      <c r="N391" s="675"/>
      <c r="O391" s="24">
        <f t="shared" si="71"/>
        <v>1</v>
      </c>
      <c r="P391" s="675"/>
      <c r="Q391" s="24">
        <f t="shared" si="72"/>
        <v>0</v>
      </c>
      <c r="R391" s="671">
        <f t="shared" si="73"/>
        <v>0</v>
      </c>
      <c r="S391" s="322">
        <f t="shared" si="74"/>
        <v>0</v>
      </c>
    </row>
    <row r="392" spans="1:19">
      <c r="A392" s="155"/>
      <c r="B392" s="57"/>
      <c r="C392" s="24">
        <f t="shared" si="65"/>
        <v>1</v>
      </c>
      <c r="D392" s="675"/>
      <c r="E392" s="24">
        <f t="shared" si="66"/>
        <v>1</v>
      </c>
      <c r="F392" s="675"/>
      <c r="G392" s="24">
        <f t="shared" si="67"/>
        <v>1</v>
      </c>
      <c r="H392" s="675"/>
      <c r="I392" s="24">
        <f t="shared" si="68"/>
        <v>1</v>
      </c>
      <c r="J392" s="675"/>
      <c r="K392" s="24">
        <f t="shared" si="69"/>
        <v>1</v>
      </c>
      <c r="L392" s="675"/>
      <c r="M392" s="24">
        <f t="shared" si="70"/>
        <v>1</v>
      </c>
      <c r="N392" s="675"/>
      <c r="O392" s="24">
        <f t="shared" si="71"/>
        <v>1</v>
      </c>
      <c r="P392" s="675"/>
      <c r="Q392" s="24">
        <f t="shared" si="72"/>
        <v>0</v>
      </c>
      <c r="R392" s="671">
        <f t="shared" si="73"/>
        <v>0</v>
      </c>
      <c r="S392" s="322">
        <f t="shared" si="74"/>
        <v>0</v>
      </c>
    </row>
    <row r="393" spans="1:19">
      <c r="A393" s="155"/>
      <c r="B393" s="57"/>
      <c r="C393" s="24">
        <f t="shared" si="65"/>
        <v>1</v>
      </c>
      <c r="D393" s="675"/>
      <c r="E393" s="24">
        <f t="shared" si="66"/>
        <v>1</v>
      </c>
      <c r="F393" s="675"/>
      <c r="G393" s="24">
        <f t="shared" si="67"/>
        <v>1</v>
      </c>
      <c r="H393" s="675"/>
      <c r="I393" s="24">
        <f t="shared" si="68"/>
        <v>1</v>
      </c>
      <c r="J393" s="675"/>
      <c r="K393" s="24">
        <f t="shared" si="69"/>
        <v>1</v>
      </c>
      <c r="L393" s="675"/>
      <c r="M393" s="24">
        <f t="shared" si="70"/>
        <v>1</v>
      </c>
      <c r="N393" s="675"/>
      <c r="O393" s="24">
        <f t="shared" si="71"/>
        <v>1</v>
      </c>
      <c r="P393" s="675"/>
      <c r="Q393" s="24">
        <f t="shared" si="72"/>
        <v>0</v>
      </c>
      <c r="R393" s="671">
        <f t="shared" si="73"/>
        <v>0</v>
      </c>
      <c r="S393" s="322">
        <f t="shared" si="74"/>
        <v>0</v>
      </c>
    </row>
    <row r="394" spans="1:19">
      <c r="A394" s="155"/>
      <c r="B394" s="57"/>
      <c r="C394" s="24">
        <f t="shared" si="65"/>
        <v>1</v>
      </c>
      <c r="D394" s="675"/>
      <c r="E394" s="24">
        <f t="shared" si="66"/>
        <v>1</v>
      </c>
      <c r="F394" s="675"/>
      <c r="G394" s="24">
        <f t="shared" si="67"/>
        <v>1</v>
      </c>
      <c r="H394" s="675"/>
      <c r="I394" s="24">
        <f t="shared" si="68"/>
        <v>1</v>
      </c>
      <c r="J394" s="675"/>
      <c r="K394" s="24">
        <f t="shared" si="69"/>
        <v>1</v>
      </c>
      <c r="L394" s="675"/>
      <c r="M394" s="24">
        <f t="shared" si="70"/>
        <v>1</v>
      </c>
      <c r="N394" s="675"/>
      <c r="O394" s="24">
        <f t="shared" si="71"/>
        <v>1</v>
      </c>
      <c r="P394" s="675"/>
      <c r="Q394" s="24">
        <f t="shared" si="72"/>
        <v>0</v>
      </c>
      <c r="R394" s="671">
        <f t="shared" si="73"/>
        <v>0</v>
      </c>
      <c r="S394" s="322">
        <f t="shared" si="74"/>
        <v>0</v>
      </c>
    </row>
    <row r="395" spans="1:19">
      <c r="A395" s="155"/>
      <c r="B395" s="57"/>
      <c r="C395" s="24">
        <f t="shared" si="65"/>
        <v>1</v>
      </c>
      <c r="D395" s="675"/>
      <c r="E395" s="24">
        <f t="shared" si="66"/>
        <v>1</v>
      </c>
      <c r="F395" s="675"/>
      <c r="G395" s="24">
        <f t="shared" si="67"/>
        <v>1</v>
      </c>
      <c r="H395" s="675"/>
      <c r="I395" s="24">
        <f t="shared" si="68"/>
        <v>1</v>
      </c>
      <c r="J395" s="675"/>
      <c r="K395" s="24">
        <f t="shared" si="69"/>
        <v>1</v>
      </c>
      <c r="L395" s="675"/>
      <c r="M395" s="24">
        <f t="shared" si="70"/>
        <v>1</v>
      </c>
      <c r="N395" s="675"/>
      <c r="O395" s="24">
        <f t="shared" si="71"/>
        <v>1</v>
      </c>
      <c r="P395" s="675"/>
      <c r="Q395" s="24">
        <f t="shared" si="72"/>
        <v>0</v>
      </c>
      <c r="R395" s="671">
        <f t="shared" si="73"/>
        <v>0</v>
      </c>
      <c r="S395" s="322">
        <f t="shared" si="74"/>
        <v>0</v>
      </c>
    </row>
    <row r="396" spans="1:19">
      <c r="A396" s="155"/>
      <c r="B396" s="57"/>
      <c r="C396" s="24">
        <f t="shared" si="65"/>
        <v>1</v>
      </c>
      <c r="D396" s="675"/>
      <c r="E396" s="24">
        <f t="shared" si="66"/>
        <v>1</v>
      </c>
      <c r="F396" s="675"/>
      <c r="G396" s="24">
        <f t="shared" si="67"/>
        <v>1</v>
      </c>
      <c r="H396" s="675"/>
      <c r="I396" s="24">
        <f t="shared" si="68"/>
        <v>1</v>
      </c>
      <c r="J396" s="675"/>
      <c r="K396" s="24">
        <f t="shared" si="69"/>
        <v>1</v>
      </c>
      <c r="L396" s="675"/>
      <c r="M396" s="24">
        <f t="shared" si="70"/>
        <v>1</v>
      </c>
      <c r="N396" s="675"/>
      <c r="O396" s="24">
        <f t="shared" si="71"/>
        <v>1</v>
      </c>
      <c r="P396" s="675"/>
      <c r="Q396" s="24">
        <f t="shared" si="72"/>
        <v>0</v>
      </c>
      <c r="R396" s="671">
        <f t="shared" si="73"/>
        <v>0</v>
      </c>
      <c r="S396" s="322">
        <f t="shared" si="74"/>
        <v>0</v>
      </c>
    </row>
    <row r="397" spans="1:19">
      <c r="A397" s="155"/>
      <c r="B397" s="57"/>
      <c r="C397" s="24">
        <f t="shared" si="65"/>
        <v>1</v>
      </c>
      <c r="D397" s="675"/>
      <c r="E397" s="24">
        <f t="shared" si="66"/>
        <v>1</v>
      </c>
      <c r="F397" s="675"/>
      <c r="G397" s="24">
        <f t="shared" si="67"/>
        <v>1</v>
      </c>
      <c r="H397" s="675"/>
      <c r="I397" s="24">
        <f t="shared" si="68"/>
        <v>1</v>
      </c>
      <c r="J397" s="675"/>
      <c r="K397" s="24">
        <f t="shared" si="69"/>
        <v>1</v>
      </c>
      <c r="L397" s="675"/>
      <c r="M397" s="24">
        <f t="shared" si="70"/>
        <v>1</v>
      </c>
      <c r="N397" s="675"/>
      <c r="O397" s="24">
        <f t="shared" si="71"/>
        <v>1</v>
      </c>
      <c r="P397" s="675"/>
      <c r="Q397" s="24">
        <f t="shared" si="72"/>
        <v>0</v>
      </c>
      <c r="R397" s="671">
        <f t="shared" si="73"/>
        <v>0</v>
      </c>
      <c r="S397" s="322">
        <f t="shared" si="74"/>
        <v>0</v>
      </c>
    </row>
    <row r="398" spans="1:19">
      <c r="A398" s="155"/>
      <c r="B398" s="57"/>
      <c r="C398" s="24">
        <f t="shared" si="65"/>
        <v>1</v>
      </c>
      <c r="D398" s="675"/>
      <c r="E398" s="24">
        <f t="shared" si="66"/>
        <v>1</v>
      </c>
      <c r="F398" s="675"/>
      <c r="G398" s="24">
        <f t="shared" si="67"/>
        <v>1</v>
      </c>
      <c r="H398" s="675"/>
      <c r="I398" s="24">
        <f t="shared" si="68"/>
        <v>1</v>
      </c>
      <c r="J398" s="675"/>
      <c r="K398" s="24">
        <f t="shared" si="69"/>
        <v>1</v>
      </c>
      <c r="L398" s="675"/>
      <c r="M398" s="24">
        <f t="shared" si="70"/>
        <v>1</v>
      </c>
      <c r="N398" s="675"/>
      <c r="O398" s="24">
        <f t="shared" si="71"/>
        <v>1</v>
      </c>
      <c r="P398" s="675"/>
      <c r="Q398" s="24">
        <f t="shared" si="72"/>
        <v>0</v>
      </c>
      <c r="R398" s="671">
        <f t="shared" si="73"/>
        <v>0</v>
      </c>
      <c r="S398" s="322">
        <f t="shared" si="74"/>
        <v>0</v>
      </c>
    </row>
    <row r="399" spans="1:19">
      <c r="A399" s="155"/>
      <c r="B399" s="57"/>
      <c r="C399" s="24">
        <f t="shared" si="65"/>
        <v>1</v>
      </c>
      <c r="D399" s="675"/>
      <c r="E399" s="24">
        <f t="shared" si="66"/>
        <v>1</v>
      </c>
      <c r="F399" s="675"/>
      <c r="G399" s="24">
        <f t="shared" si="67"/>
        <v>1</v>
      </c>
      <c r="H399" s="675"/>
      <c r="I399" s="24">
        <f t="shared" si="68"/>
        <v>1</v>
      </c>
      <c r="J399" s="675"/>
      <c r="K399" s="24">
        <f t="shared" si="69"/>
        <v>1</v>
      </c>
      <c r="L399" s="675"/>
      <c r="M399" s="24">
        <f t="shared" si="70"/>
        <v>1</v>
      </c>
      <c r="N399" s="675"/>
      <c r="O399" s="24">
        <f t="shared" si="71"/>
        <v>1</v>
      </c>
      <c r="P399" s="675"/>
      <c r="Q399" s="24">
        <f t="shared" si="72"/>
        <v>0</v>
      </c>
      <c r="R399" s="671">
        <f t="shared" si="73"/>
        <v>0</v>
      </c>
      <c r="S399" s="322">
        <f t="shared" si="74"/>
        <v>0</v>
      </c>
    </row>
    <row r="400" spans="1:19">
      <c r="A400" s="155"/>
      <c r="B400" s="57"/>
      <c r="C400" s="24">
        <f t="shared" si="65"/>
        <v>1</v>
      </c>
      <c r="D400" s="675"/>
      <c r="E400" s="24">
        <f t="shared" si="66"/>
        <v>1</v>
      </c>
      <c r="F400" s="675"/>
      <c r="G400" s="24">
        <f t="shared" si="67"/>
        <v>1</v>
      </c>
      <c r="H400" s="675"/>
      <c r="I400" s="24">
        <f t="shared" si="68"/>
        <v>1</v>
      </c>
      <c r="J400" s="675"/>
      <c r="K400" s="24">
        <f t="shared" si="69"/>
        <v>1</v>
      </c>
      <c r="L400" s="675"/>
      <c r="M400" s="24">
        <f t="shared" si="70"/>
        <v>1</v>
      </c>
      <c r="N400" s="675"/>
      <c r="O400" s="24">
        <f t="shared" si="71"/>
        <v>1</v>
      </c>
      <c r="P400" s="675"/>
      <c r="Q400" s="24">
        <f t="shared" si="72"/>
        <v>0</v>
      </c>
      <c r="R400" s="671">
        <f t="shared" si="73"/>
        <v>0</v>
      </c>
      <c r="S400" s="322">
        <f t="shared" si="74"/>
        <v>0</v>
      </c>
    </row>
    <row r="401" spans="1:19">
      <c r="A401" s="155"/>
      <c r="B401" s="57"/>
      <c r="C401" s="24">
        <f t="shared" si="65"/>
        <v>1</v>
      </c>
      <c r="D401" s="675"/>
      <c r="E401" s="24">
        <f t="shared" si="66"/>
        <v>1</v>
      </c>
      <c r="F401" s="675"/>
      <c r="G401" s="24">
        <f t="shared" si="67"/>
        <v>1</v>
      </c>
      <c r="H401" s="675"/>
      <c r="I401" s="24">
        <f t="shared" si="68"/>
        <v>1</v>
      </c>
      <c r="J401" s="675"/>
      <c r="K401" s="24">
        <f t="shared" si="69"/>
        <v>1</v>
      </c>
      <c r="L401" s="675"/>
      <c r="M401" s="24">
        <f t="shared" si="70"/>
        <v>1</v>
      </c>
      <c r="N401" s="675"/>
      <c r="O401" s="24">
        <f t="shared" si="71"/>
        <v>1</v>
      </c>
      <c r="P401" s="675"/>
      <c r="Q401" s="24">
        <f t="shared" si="72"/>
        <v>0</v>
      </c>
      <c r="R401" s="671">
        <f t="shared" si="73"/>
        <v>0</v>
      </c>
      <c r="S401" s="322">
        <f t="shared" si="74"/>
        <v>0</v>
      </c>
    </row>
    <row r="402" spans="1:19">
      <c r="A402" s="155"/>
      <c r="B402" s="57"/>
      <c r="C402" s="24">
        <f t="shared" si="65"/>
        <v>1</v>
      </c>
      <c r="D402" s="675"/>
      <c r="E402" s="24">
        <f t="shared" si="66"/>
        <v>1</v>
      </c>
      <c r="F402" s="675"/>
      <c r="G402" s="24">
        <f t="shared" si="67"/>
        <v>1</v>
      </c>
      <c r="H402" s="675"/>
      <c r="I402" s="24">
        <f t="shared" si="68"/>
        <v>1</v>
      </c>
      <c r="J402" s="675"/>
      <c r="K402" s="24">
        <f t="shared" si="69"/>
        <v>1</v>
      </c>
      <c r="L402" s="675"/>
      <c r="M402" s="24">
        <f t="shared" si="70"/>
        <v>1</v>
      </c>
      <c r="N402" s="675"/>
      <c r="O402" s="24">
        <f t="shared" si="71"/>
        <v>1</v>
      </c>
      <c r="P402" s="675"/>
      <c r="Q402" s="24">
        <f t="shared" si="72"/>
        <v>0</v>
      </c>
      <c r="R402" s="671">
        <f t="shared" si="73"/>
        <v>0</v>
      </c>
      <c r="S402" s="322">
        <f t="shared" si="74"/>
        <v>0</v>
      </c>
    </row>
    <row r="403" spans="1:19">
      <c r="A403" s="155"/>
      <c r="B403" s="57"/>
      <c r="C403" s="24">
        <f t="shared" si="65"/>
        <v>1</v>
      </c>
      <c r="D403" s="675"/>
      <c r="E403" s="24">
        <f t="shared" si="66"/>
        <v>1</v>
      </c>
      <c r="F403" s="675"/>
      <c r="G403" s="24">
        <f t="shared" si="67"/>
        <v>1</v>
      </c>
      <c r="H403" s="675"/>
      <c r="I403" s="24">
        <f t="shared" si="68"/>
        <v>1</v>
      </c>
      <c r="J403" s="675"/>
      <c r="K403" s="24">
        <f t="shared" si="69"/>
        <v>1</v>
      </c>
      <c r="L403" s="675"/>
      <c r="M403" s="24">
        <f t="shared" si="70"/>
        <v>1</v>
      </c>
      <c r="N403" s="675"/>
      <c r="O403" s="24">
        <f t="shared" si="71"/>
        <v>1</v>
      </c>
      <c r="P403" s="675"/>
      <c r="Q403" s="24">
        <f t="shared" si="72"/>
        <v>0</v>
      </c>
      <c r="R403" s="671">
        <f t="shared" si="73"/>
        <v>0</v>
      </c>
      <c r="S403" s="322">
        <f t="shared" si="74"/>
        <v>0</v>
      </c>
    </row>
    <row r="404" spans="1:19">
      <c r="A404" s="155"/>
      <c r="B404" s="57"/>
      <c r="C404" s="24">
        <f t="shared" si="65"/>
        <v>1</v>
      </c>
      <c r="D404" s="675"/>
      <c r="E404" s="24">
        <f t="shared" si="66"/>
        <v>1</v>
      </c>
      <c r="F404" s="675"/>
      <c r="G404" s="24">
        <f t="shared" si="67"/>
        <v>1</v>
      </c>
      <c r="H404" s="675"/>
      <c r="I404" s="24">
        <f t="shared" si="68"/>
        <v>1</v>
      </c>
      <c r="J404" s="675"/>
      <c r="K404" s="24">
        <f t="shared" si="69"/>
        <v>1</v>
      </c>
      <c r="L404" s="675"/>
      <c r="M404" s="24">
        <f t="shared" si="70"/>
        <v>1</v>
      </c>
      <c r="N404" s="675"/>
      <c r="O404" s="24">
        <f t="shared" si="71"/>
        <v>1</v>
      </c>
      <c r="P404" s="675"/>
      <c r="Q404" s="24">
        <f t="shared" si="72"/>
        <v>0</v>
      </c>
      <c r="R404" s="671">
        <f t="shared" si="73"/>
        <v>0</v>
      </c>
      <c r="S404" s="322">
        <f t="shared" si="74"/>
        <v>0</v>
      </c>
    </row>
    <row r="405" spans="1:19">
      <c r="A405" s="155"/>
      <c r="B405" s="57"/>
      <c r="C405" s="24">
        <f t="shared" si="65"/>
        <v>1</v>
      </c>
      <c r="D405" s="675"/>
      <c r="E405" s="24">
        <f t="shared" si="66"/>
        <v>1</v>
      </c>
      <c r="F405" s="675"/>
      <c r="G405" s="24">
        <f t="shared" si="67"/>
        <v>1</v>
      </c>
      <c r="H405" s="675"/>
      <c r="I405" s="24">
        <f t="shared" si="68"/>
        <v>1</v>
      </c>
      <c r="J405" s="675"/>
      <c r="K405" s="24">
        <f t="shared" si="69"/>
        <v>1</v>
      </c>
      <c r="L405" s="675"/>
      <c r="M405" s="24">
        <f t="shared" si="70"/>
        <v>1</v>
      </c>
      <c r="N405" s="675"/>
      <c r="O405" s="24">
        <f t="shared" si="71"/>
        <v>1</v>
      </c>
      <c r="P405" s="675"/>
      <c r="Q405" s="24">
        <f t="shared" si="72"/>
        <v>0</v>
      </c>
      <c r="R405" s="671">
        <f t="shared" si="73"/>
        <v>0</v>
      </c>
      <c r="S405" s="322">
        <f t="shared" si="74"/>
        <v>0</v>
      </c>
    </row>
    <row r="406" spans="1:19">
      <c r="A406" s="155"/>
      <c r="B406" s="57"/>
      <c r="C406" s="24">
        <f t="shared" si="65"/>
        <v>1</v>
      </c>
      <c r="D406" s="675"/>
      <c r="E406" s="24">
        <f t="shared" si="66"/>
        <v>1</v>
      </c>
      <c r="F406" s="675"/>
      <c r="G406" s="24">
        <f t="shared" si="67"/>
        <v>1</v>
      </c>
      <c r="H406" s="675"/>
      <c r="I406" s="24">
        <f t="shared" si="68"/>
        <v>1</v>
      </c>
      <c r="J406" s="675"/>
      <c r="K406" s="24">
        <f t="shared" si="69"/>
        <v>1</v>
      </c>
      <c r="L406" s="675"/>
      <c r="M406" s="24">
        <f t="shared" si="70"/>
        <v>1</v>
      </c>
      <c r="N406" s="675"/>
      <c r="O406" s="24">
        <f t="shared" si="71"/>
        <v>1</v>
      </c>
      <c r="P406" s="675"/>
      <c r="Q406" s="24">
        <f t="shared" si="72"/>
        <v>0</v>
      </c>
      <c r="R406" s="671">
        <f t="shared" si="73"/>
        <v>0</v>
      </c>
      <c r="S406" s="322">
        <f t="shared" si="74"/>
        <v>0</v>
      </c>
    </row>
    <row r="407" spans="1:19">
      <c r="A407" s="155"/>
      <c r="B407" s="57"/>
      <c r="C407" s="24">
        <f t="shared" si="65"/>
        <v>1</v>
      </c>
      <c r="D407" s="675"/>
      <c r="E407" s="24">
        <f t="shared" si="66"/>
        <v>1</v>
      </c>
      <c r="F407" s="675"/>
      <c r="G407" s="24">
        <f t="shared" si="67"/>
        <v>1</v>
      </c>
      <c r="H407" s="675"/>
      <c r="I407" s="24">
        <f t="shared" si="68"/>
        <v>1</v>
      </c>
      <c r="J407" s="675"/>
      <c r="K407" s="24">
        <f t="shared" si="69"/>
        <v>1</v>
      </c>
      <c r="L407" s="675"/>
      <c r="M407" s="24">
        <f t="shared" si="70"/>
        <v>1</v>
      </c>
      <c r="N407" s="675"/>
      <c r="O407" s="24">
        <f t="shared" si="71"/>
        <v>1</v>
      </c>
      <c r="P407" s="675"/>
      <c r="Q407" s="24">
        <f t="shared" si="72"/>
        <v>0</v>
      </c>
      <c r="R407" s="671">
        <f t="shared" si="73"/>
        <v>0</v>
      </c>
      <c r="S407" s="322">
        <f t="shared" si="74"/>
        <v>0</v>
      </c>
    </row>
    <row r="408" spans="1:19">
      <c r="A408" s="155"/>
      <c r="B408" s="57"/>
      <c r="C408" s="24">
        <f t="shared" si="65"/>
        <v>1</v>
      </c>
      <c r="D408" s="675"/>
      <c r="E408" s="24">
        <f t="shared" si="66"/>
        <v>1</v>
      </c>
      <c r="F408" s="675"/>
      <c r="G408" s="24">
        <f t="shared" si="67"/>
        <v>1</v>
      </c>
      <c r="H408" s="675"/>
      <c r="I408" s="24">
        <f t="shared" si="68"/>
        <v>1</v>
      </c>
      <c r="J408" s="675"/>
      <c r="K408" s="24">
        <f t="shared" si="69"/>
        <v>1</v>
      </c>
      <c r="L408" s="675"/>
      <c r="M408" s="24">
        <f t="shared" si="70"/>
        <v>1</v>
      </c>
      <c r="N408" s="675"/>
      <c r="O408" s="24">
        <f t="shared" si="71"/>
        <v>1</v>
      </c>
      <c r="P408" s="675"/>
      <c r="Q408" s="24">
        <f t="shared" si="72"/>
        <v>0</v>
      </c>
      <c r="R408" s="671">
        <f t="shared" si="73"/>
        <v>0</v>
      </c>
      <c r="S408" s="322">
        <f t="shared" si="74"/>
        <v>0</v>
      </c>
    </row>
    <row r="409" spans="1:19">
      <c r="A409" s="155"/>
      <c r="B409" s="57"/>
      <c r="C409" s="24">
        <f t="shared" si="65"/>
        <v>1</v>
      </c>
      <c r="D409" s="675"/>
      <c r="E409" s="24">
        <f t="shared" si="66"/>
        <v>1</v>
      </c>
      <c r="F409" s="675"/>
      <c r="G409" s="24">
        <f t="shared" si="67"/>
        <v>1</v>
      </c>
      <c r="H409" s="675"/>
      <c r="I409" s="24">
        <f t="shared" si="68"/>
        <v>1</v>
      </c>
      <c r="J409" s="675"/>
      <c r="K409" s="24">
        <f t="shared" si="69"/>
        <v>1</v>
      </c>
      <c r="L409" s="675"/>
      <c r="M409" s="24">
        <f t="shared" si="70"/>
        <v>1</v>
      </c>
      <c r="N409" s="675"/>
      <c r="O409" s="24">
        <f t="shared" si="71"/>
        <v>1</v>
      </c>
      <c r="P409" s="675"/>
      <c r="Q409" s="24">
        <f t="shared" si="72"/>
        <v>0</v>
      </c>
      <c r="R409" s="671">
        <f t="shared" si="73"/>
        <v>0</v>
      </c>
      <c r="S409" s="322">
        <f t="shared" si="74"/>
        <v>0</v>
      </c>
    </row>
    <row r="410" spans="1:19">
      <c r="A410" s="155"/>
      <c r="B410" s="57"/>
      <c r="C410" s="24">
        <f t="shared" ref="C410:C473" si="75">IF(B410="",1,(LOOKUP(B410,$3:$3,$4:$4)-LOOKUP($B$24,$3:$3,$4:$4)+100)/100)</f>
        <v>1</v>
      </c>
      <c r="D410" s="675"/>
      <c r="E410" s="24">
        <f t="shared" ref="E410:E473" si="76">(SUMIF($5:$5,D410,$6:$6)-SUMIF($5:$5,$D$24,$6:$6)+100)/100</f>
        <v>1</v>
      </c>
      <c r="F410" s="675"/>
      <c r="G410" s="24">
        <f t="shared" ref="G410:G473" si="77">(SUMIF($7:$7,F410,$8:$8)-SUMIF($7:$7,$F$24,$8:$8)+100)/100</f>
        <v>1</v>
      </c>
      <c r="H410" s="675"/>
      <c r="I410" s="24">
        <f t="shared" ref="I410:I473" si="78">(SUMIF($9:$9,H410,$10:$10)-SUMIF($9:$9,$H$24,$10:$10)+100)/100</f>
        <v>1</v>
      </c>
      <c r="J410" s="675"/>
      <c r="K410" s="24">
        <f t="shared" ref="K410:K473" si="79">(SUMIF($11:$11,J410,$12:$12)-SUMIF($11:$11,$J$24,$12:$12)+100)/100</f>
        <v>1</v>
      </c>
      <c r="L410" s="675"/>
      <c r="M410" s="24">
        <f t="shared" ref="M410:M473" si="80">(SUMIF($13:$13,L410,$14:$14)-SUMIF($13:$13,$L$24,$14:$14)+100)/100</f>
        <v>1</v>
      </c>
      <c r="N410" s="675"/>
      <c r="O410" s="24">
        <f t="shared" ref="O410:O473" si="81">(SUMIF($15:$15,N410,$16:$16)-SUMIF($15:$15,$N$24,$16:$16)+100)/100</f>
        <v>1</v>
      </c>
      <c r="P410" s="675"/>
      <c r="Q410" s="24">
        <f t="shared" ref="Q410:Q473" si="82">(SUMIF($17:$17,P410,$18:$18)-SUMIF($17:$17,$P$24,$18:$18)+100)/100</f>
        <v>0</v>
      </c>
      <c r="R410" s="671">
        <f t="shared" ref="R410:R473" si="83">IF(B410="",0,ROUND($R$24*C410*E410*G410*I410*K410*M410*O410*Q410,0))</f>
        <v>0</v>
      </c>
      <c r="S410" s="322">
        <f t="shared" si="74"/>
        <v>0</v>
      </c>
    </row>
    <row r="411" spans="1:19">
      <c r="A411" s="155"/>
      <c r="B411" s="57"/>
      <c r="C411" s="24">
        <f t="shared" si="75"/>
        <v>1</v>
      </c>
      <c r="D411" s="675"/>
      <c r="E411" s="24">
        <f t="shared" si="76"/>
        <v>1</v>
      </c>
      <c r="F411" s="675"/>
      <c r="G411" s="24">
        <f t="shared" si="77"/>
        <v>1</v>
      </c>
      <c r="H411" s="675"/>
      <c r="I411" s="24">
        <f t="shared" si="78"/>
        <v>1</v>
      </c>
      <c r="J411" s="675"/>
      <c r="K411" s="24">
        <f t="shared" si="79"/>
        <v>1</v>
      </c>
      <c r="L411" s="675"/>
      <c r="M411" s="24">
        <f t="shared" si="80"/>
        <v>1</v>
      </c>
      <c r="N411" s="675"/>
      <c r="O411" s="24">
        <f t="shared" si="81"/>
        <v>1</v>
      </c>
      <c r="P411" s="675"/>
      <c r="Q411" s="24">
        <f t="shared" si="82"/>
        <v>0</v>
      </c>
      <c r="R411" s="671">
        <f t="shared" si="83"/>
        <v>0</v>
      </c>
      <c r="S411" s="322">
        <f t="shared" si="74"/>
        <v>0</v>
      </c>
    </row>
    <row r="412" spans="1:19">
      <c r="A412" s="155"/>
      <c r="B412" s="57"/>
      <c r="C412" s="24">
        <f t="shared" si="75"/>
        <v>1</v>
      </c>
      <c r="D412" s="675"/>
      <c r="E412" s="24">
        <f t="shared" si="76"/>
        <v>1</v>
      </c>
      <c r="F412" s="675"/>
      <c r="G412" s="24">
        <f t="shared" si="77"/>
        <v>1</v>
      </c>
      <c r="H412" s="675"/>
      <c r="I412" s="24">
        <f t="shared" si="78"/>
        <v>1</v>
      </c>
      <c r="J412" s="675"/>
      <c r="K412" s="24">
        <f t="shared" si="79"/>
        <v>1</v>
      </c>
      <c r="L412" s="675"/>
      <c r="M412" s="24">
        <f t="shared" si="80"/>
        <v>1</v>
      </c>
      <c r="N412" s="675"/>
      <c r="O412" s="24">
        <f t="shared" si="81"/>
        <v>1</v>
      </c>
      <c r="P412" s="675"/>
      <c r="Q412" s="24">
        <f t="shared" si="82"/>
        <v>0</v>
      </c>
      <c r="R412" s="671">
        <f t="shared" si="83"/>
        <v>0</v>
      </c>
      <c r="S412" s="322">
        <f t="shared" si="74"/>
        <v>0</v>
      </c>
    </row>
    <row r="413" spans="1:19">
      <c r="A413" s="155"/>
      <c r="B413" s="57"/>
      <c r="C413" s="24">
        <f t="shared" si="75"/>
        <v>1</v>
      </c>
      <c r="D413" s="675"/>
      <c r="E413" s="24">
        <f t="shared" si="76"/>
        <v>1</v>
      </c>
      <c r="F413" s="675"/>
      <c r="G413" s="24">
        <f t="shared" si="77"/>
        <v>1</v>
      </c>
      <c r="H413" s="675"/>
      <c r="I413" s="24">
        <f t="shared" si="78"/>
        <v>1</v>
      </c>
      <c r="J413" s="675"/>
      <c r="K413" s="24">
        <f t="shared" si="79"/>
        <v>1</v>
      </c>
      <c r="L413" s="675"/>
      <c r="M413" s="24">
        <f t="shared" si="80"/>
        <v>1</v>
      </c>
      <c r="N413" s="675"/>
      <c r="O413" s="24">
        <f t="shared" si="81"/>
        <v>1</v>
      </c>
      <c r="P413" s="675"/>
      <c r="Q413" s="24">
        <f t="shared" si="82"/>
        <v>0</v>
      </c>
      <c r="R413" s="671">
        <f t="shared" si="83"/>
        <v>0</v>
      </c>
      <c r="S413" s="322">
        <f t="shared" si="74"/>
        <v>0</v>
      </c>
    </row>
    <row r="414" spans="1:19">
      <c r="A414" s="155"/>
      <c r="B414" s="57"/>
      <c r="C414" s="24">
        <f t="shared" si="75"/>
        <v>1</v>
      </c>
      <c r="D414" s="675"/>
      <c r="E414" s="24">
        <f t="shared" si="76"/>
        <v>1</v>
      </c>
      <c r="F414" s="675"/>
      <c r="G414" s="24">
        <f t="shared" si="77"/>
        <v>1</v>
      </c>
      <c r="H414" s="675"/>
      <c r="I414" s="24">
        <f t="shared" si="78"/>
        <v>1</v>
      </c>
      <c r="J414" s="675"/>
      <c r="K414" s="24">
        <f t="shared" si="79"/>
        <v>1</v>
      </c>
      <c r="L414" s="675"/>
      <c r="M414" s="24">
        <f t="shared" si="80"/>
        <v>1</v>
      </c>
      <c r="N414" s="675"/>
      <c r="O414" s="24">
        <f t="shared" si="81"/>
        <v>1</v>
      </c>
      <c r="P414" s="675"/>
      <c r="Q414" s="24">
        <f t="shared" si="82"/>
        <v>0</v>
      </c>
      <c r="R414" s="671">
        <f t="shared" si="83"/>
        <v>0</v>
      </c>
      <c r="S414" s="322">
        <f t="shared" si="74"/>
        <v>0</v>
      </c>
    </row>
    <row r="415" spans="1:19">
      <c r="A415" s="155"/>
      <c r="B415" s="57"/>
      <c r="C415" s="24">
        <f t="shared" si="75"/>
        <v>1</v>
      </c>
      <c r="D415" s="675"/>
      <c r="E415" s="24">
        <f t="shared" si="76"/>
        <v>1</v>
      </c>
      <c r="F415" s="675"/>
      <c r="G415" s="24">
        <f t="shared" si="77"/>
        <v>1</v>
      </c>
      <c r="H415" s="675"/>
      <c r="I415" s="24">
        <f t="shared" si="78"/>
        <v>1</v>
      </c>
      <c r="J415" s="675"/>
      <c r="K415" s="24">
        <f t="shared" si="79"/>
        <v>1</v>
      </c>
      <c r="L415" s="675"/>
      <c r="M415" s="24">
        <f t="shared" si="80"/>
        <v>1</v>
      </c>
      <c r="N415" s="675"/>
      <c r="O415" s="24">
        <f t="shared" si="81"/>
        <v>1</v>
      </c>
      <c r="P415" s="675"/>
      <c r="Q415" s="24">
        <f t="shared" si="82"/>
        <v>0</v>
      </c>
      <c r="R415" s="671">
        <f t="shared" si="83"/>
        <v>0</v>
      </c>
      <c r="S415" s="322">
        <f t="shared" si="74"/>
        <v>0</v>
      </c>
    </row>
    <row r="416" spans="1:19">
      <c r="A416" s="155"/>
      <c r="B416" s="57"/>
      <c r="C416" s="24">
        <f t="shared" si="75"/>
        <v>1</v>
      </c>
      <c r="D416" s="675"/>
      <c r="E416" s="24">
        <f t="shared" si="76"/>
        <v>1</v>
      </c>
      <c r="F416" s="675"/>
      <c r="G416" s="24">
        <f t="shared" si="77"/>
        <v>1</v>
      </c>
      <c r="H416" s="675"/>
      <c r="I416" s="24">
        <f t="shared" si="78"/>
        <v>1</v>
      </c>
      <c r="J416" s="675"/>
      <c r="K416" s="24">
        <f t="shared" si="79"/>
        <v>1</v>
      </c>
      <c r="L416" s="675"/>
      <c r="M416" s="24">
        <f t="shared" si="80"/>
        <v>1</v>
      </c>
      <c r="N416" s="675"/>
      <c r="O416" s="24">
        <f t="shared" si="81"/>
        <v>1</v>
      </c>
      <c r="P416" s="675"/>
      <c r="Q416" s="24">
        <f t="shared" si="82"/>
        <v>0</v>
      </c>
      <c r="R416" s="671">
        <f t="shared" si="83"/>
        <v>0</v>
      </c>
      <c r="S416" s="322">
        <f t="shared" si="74"/>
        <v>0</v>
      </c>
    </row>
    <row r="417" spans="1:19">
      <c r="A417" s="155"/>
      <c r="B417" s="57"/>
      <c r="C417" s="24">
        <f t="shared" si="75"/>
        <v>1</v>
      </c>
      <c r="D417" s="675"/>
      <c r="E417" s="24">
        <f t="shared" si="76"/>
        <v>1</v>
      </c>
      <c r="F417" s="675"/>
      <c r="G417" s="24">
        <f t="shared" si="77"/>
        <v>1</v>
      </c>
      <c r="H417" s="675"/>
      <c r="I417" s="24">
        <f t="shared" si="78"/>
        <v>1</v>
      </c>
      <c r="J417" s="675"/>
      <c r="K417" s="24">
        <f t="shared" si="79"/>
        <v>1</v>
      </c>
      <c r="L417" s="675"/>
      <c r="M417" s="24">
        <f t="shared" si="80"/>
        <v>1</v>
      </c>
      <c r="N417" s="675"/>
      <c r="O417" s="24">
        <f t="shared" si="81"/>
        <v>1</v>
      </c>
      <c r="P417" s="675"/>
      <c r="Q417" s="24">
        <f t="shared" si="82"/>
        <v>0</v>
      </c>
      <c r="R417" s="671">
        <f t="shared" si="83"/>
        <v>0</v>
      </c>
      <c r="S417" s="322">
        <f t="shared" si="74"/>
        <v>0</v>
      </c>
    </row>
    <row r="418" spans="1:19">
      <c r="A418" s="155"/>
      <c r="B418" s="57"/>
      <c r="C418" s="24">
        <f t="shared" si="75"/>
        <v>1</v>
      </c>
      <c r="D418" s="675"/>
      <c r="E418" s="24">
        <f t="shared" si="76"/>
        <v>1</v>
      </c>
      <c r="F418" s="675"/>
      <c r="G418" s="24">
        <f t="shared" si="77"/>
        <v>1</v>
      </c>
      <c r="H418" s="675"/>
      <c r="I418" s="24">
        <f t="shared" si="78"/>
        <v>1</v>
      </c>
      <c r="J418" s="675"/>
      <c r="K418" s="24">
        <f t="shared" si="79"/>
        <v>1</v>
      </c>
      <c r="L418" s="675"/>
      <c r="M418" s="24">
        <f t="shared" si="80"/>
        <v>1</v>
      </c>
      <c r="N418" s="675"/>
      <c r="O418" s="24">
        <f t="shared" si="81"/>
        <v>1</v>
      </c>
      <c r="P418" s="675"/>
      <c r="Q418" s="24">
        <f t="shared" si="82"/>
        <v>0</v>
      </c>
      <c r="R418" s="671">
        <f t="shared" si="83"/>
        <v>0</v>
      </c>
      <c r="S418" s="322">
        <f t="shared" si="74"/>
        <v>0</v>
      </c>
    </row>
    <row r="419" spans="1:19">
      <c r="A419" s="155"/>
      <c r="B419" s="57"/>
      <c r="C419" s="24">
        <f t="shared" si="75"/>
        <v>1</v>
      </c>
      <c r="D419" s="675"/>
      <c r="E419" s="24">
        <f t="shared" si="76"/>
        <v>1</v>
      </c>
      <c r="F419" s="675"/>
      <c r="G419" s="24">
        <f t="shared" si="77"/>
        <v>1</v>
      </c>
      <c r="H419" s="675"/>
      <c r="I419" s="24">
        <f t="shared" si="78"/>
        <v>1</v>
      </c>
      <c r="J419" s="675"/>
      <c r="K419" s="24">
        <f t="shared" si="79"/>
        <v>1</v>
      </c>
      <c r="L419" s="675"/>
      <c r="M419" s="24">
        <f t="shared" si="80"/>
        <v>1</v>
      </c>
      <c r="N419" s="675"/>
      <c r="O419" s="24">
        <f t="shared" si="81"/>
        <v>1</v>
      </c>
      <c r="P419" s="675"/>
      <c r="Q419" s="24">
        <f t="shared" si="82"/>
        <v>0</v>
      </c>
      <c r="R419" s="671">
        <f t="shared" si="83"/>
        <v>0</v>
      </c>
      <c r="S419" s="322">
        <f t="shared" si="74"/>
        <v>0</v>
      </c>
    </row>
    <row r="420" spans="1:19">
      <c r="A420" s="155"/>
      <c r="B420" s="57"/>
      <c r="C420" s="24">
        <f t="shared" si="75"/>
        <v>1</v>
      </c>
      <c r="D420" s="675"/>
      <c r="E420" s="24">
        <f t="shared" si="76"/>
        <v>1</v>
      </c>
      <c r="F420" s="675"/>
      <c r="G420" s="24">
        <f t="shared" si="77"/>
        <v>1</v>
      </c>
      <c r="H420" s="675"/>
      <c r="I420" s="24">
        <f t="shared" si="78"/>
        <v>1</v>
      </c>
      <c r="J420" s="675"/>
      <c r="K420" s="24">
        <f t="shared" si="79"/>
        <v>1</v>
      </c>
      <c r="L420" s="675"/>
      <c r="M420" s="24">
        <f t="shared" si="80"/>
        <v>1</v>
      </c>
      <c r="N420" s="675"/>
      <c r="O420" s="24">
        <f t="shared" si="81"/>
        <v>1</v>
      </c>
      <c r="P420" s="675"/>
      <c r="Q420" s="24">
        <f t="shared" si="82"/>
        <v>0</v>
      </c>
      <c r="R420" s="671">
        <f t="shared" si="83"/>
        <v>0</v>
      </c>
      <c r="S420" s="322">
        <f t="shared" si="74"/>
        <v>0</v>
      </c>
    </row>
    <row r="421" spans="1:19">
      <c r="A421" s="155"/>
      <c r="B421" s="57"/>
      <c r="C421" s="24">
        <f t="shared" si="75"/>
        <v>1</v>
      </c>
      <c r="D421" s="675"/>
      <c r="E421" s="24">
        <f t="shared" si="76"/>
        <v>1</v>
      </c>
      <c r="F421" s="675"/>
      <c r="G421" s="24">
        <f t="shared" si="77"/>
        <v>1</v>
      </c>
      <c r="H421" s="675"/>
      <c r="I421" s="24">
        <f t="shared" si="78"/>
        <v>1</v>
      </c>
      <c r="J421" s="675"/>
      <c r="K421" s="24">
        <f t="shared" si="79"/>
        <v>1</v>
      </c>
      <c r="L421" s="675"/>
      <c r="M421" s="24">
        <f t="shared" si="80"/>
        <v>1</v>
      </c>
      <c r="N421" s="675"/>
      <c r="O421" s="24">
        <f t="shared" si="81"/>
        <v>1</v>
      </c>
      <c r="P421" s="675"/>
      <c r="Q421" s="24">
        <f t="shared" si="82"/>
        <v>0</v>
      </c>
      <c r="R421" s="671">
        <f t="shared" si="83"/>
        <v>0</v>
      </c>
      <c r="S421" s="322">
        <f t="shared" si="74"/>
        <v>0</v>
      </c>
    </row>
    <row r="422" spans="1:19">
      <c r="A422" s="155"/>
      <c r="B422" s="57"/>
      <c r="C422" s="24">
        <f t="shared" si="75"/>
        <v>1</v>
      </c>
      <c r="D422" s="675"/>
      <c r="E422" s="24">
        <f t="shared" si="76"/>
        <v>1</v>
      </c>
      <c r="F422" s="675"/>
      <c r="G422" s="24">
        <f t="shared" si="77"/>
        <v>1</v>
      </c>
      <c r="H422" s="675"/>
      <c r="I422" s="24">
        <f t="shared" si="78"/>
        <v>1</v>
      </c>
      <c r="J422" s="675"/>
      <c r="K422" s="24">
        <f t="shared" si="79"/>
        <v>1</v>
      </c>
      <c r="L422" s="675"/>
      <c r="M422" s="24">
        <f t="shared" si="80"/>
        <v>1</v>
      </c>
      <c r="N422" s="675"/>
      <c r="O422" s="24">
        <f t="shared" si="81"/>
        <v>1</v>
      </c>
      <c r="P422" s="675"/>
      <c r="Q422" s="24">
        <f t="shared" si="82"/>
        <v>0</v>
      </c>
      <c r="R422" s="671">
        <f t="shared" si="83"/>
        <v>0</v>
      </c>
      <c r="S422" s="322">
        <f t="shared" si="74"/>
        <v>0</v>
      </c>
    </row>
    <row r="423" spans="1:19">
      <c r="A423" s="155"/>
      <c r="B423" s="57"/>
      <c r="C423" s="24">
        <f t="shared" si="75"/>
        <v>1</v>
      </c>
      <c r="D423" s="675"/>
      <c r="E423" s="24">
        <f t="shared" si="76"/>
        <v>1</v>
      </c>
      <c r="F423" s="675"/>
      <c r="G423" s="24">
        <f t="shared" si="77"/>
        <v>1</v>
      </c>
      <c r="H423" s="675"/>
      <c r="I423" s="24">
        <f t="shared" si="78"/>
        <v>1</v>
      </c>
      <c r="J423" s="675"/>
      <c r="K423" s="24">
        <f t="shared" si="79"/>
        <v>1</v>
      </c>
      <c r="L423" s="675"/>
      <c r="M423" s="24">
        <f t="shared" si="80"/>
        <v>1</v>
      </c>
      <c r="N423" s="675"/>
      <c r="O423" s="24">
        <f t="shared" si="81"/>
        <v>1</v>
      </c>
      <c r="P423" s="675"/>
      <c r="Q423" s="24">
        <f t="shared" si="82"/>
        <v>0</v>
      </c>
      <c r="R423" s="671">
        <f t="shared" si="83"/>
        <v>0</v>
      </c>
      <c r="S423" s="322">
        <f t="shared" ref="S423:S467" si="84">ROUND(R423*B423/10000,0)</f>
        <v>0</v>
      </c>
    </row>
    <row r="424" spans="1:19">
      <c r="A424" s="155"/>
      <c r="B424" s="57"/>
      <c r="C424" s="24">
        <f t="shared" si="75"/>
        <v>1</v>
      </c>
      <c r="D424" s="675"/>
      <c r="E424" s="24">
        <f t="shared" si="76"/>
        <v>1</v>
      </c>
      <c r="F424" s="675"/>
      <c r="G424" s="24">
        <f t="shared" si="77"/>
        <v>1</v>
      </c>
      <c r="H424" s="675"/>
      <c r="I424" s="24">
        <f t="shared" si="78"/>
        <v>1</v>
      </c>
      <c r="J424" s="675"/>
      <c r="K424" s="24">
        <f t="shared" si="79"/>
        <v>1</v>
      </c>
      <c r="L424" s="675"/>
      <c r="M424" s="24">
        <f t="shared" si="80"/>
        <v>1</v>
      </c>
      <c r="N424" s="675"/>
      <c r="O424" s="24">
        <f t="shared" si="81"/>
        <v>1</v>
      </c>
      <c r="P424" s="675"/>
      <c r="Q424" s="24">
        <f t="shared" si="82"/>
        <v>0</v>
      </c>
      <c r="R424" s="671">
        <f t="shared" si="83"/>
        <v>0</v>
      </c>
      <c r="S424" s="322">
        <f t="shared" si="84"/>
        <v>0</v>
      </c>
    </row>
    <row r="425" spans="1:19">
      <c r="A425" s="155"/>
      <c r="B425" s="57"/>
      <c r="C425" s="24">
        <f t="shared" si="75"/>
        <v>1</v>
      </c>
      <c r="D425" s="675"/>
      <c r="E425" s="24">
        <f t="shared" si="76"/>
        <v>1</v>
      </c>
      <c r="F425" s="675"/>
      <c r="G425" s="24">
        <f t="shared" si="77"/>
        <v>1</v>
      </c>
      <c r="H425" s="675"/>
      <c r="I425" s="24">
        <f t="shared" si="78"/>
        <v>1</v>
      </c>
      <c r="J425" s="675"/>
      <c r="K425" s="24">
        <f t="shared" si="79"/>
        <v>1</v>
      </c>
      <c r="L425" s="675"/>
      <c r="M425" s="24">
        <f t="shared" si="80"/>
        <v>1</v>
      </c>
      <c r="N425" s="675"/>
      <c r="O425" s="24">
        <f t="shared" si="81"/>
        <v>1</v>
      </c>
      <c r="P425" s="675"/>
      <c r="Q425" s="24">
        <f t="shared" si="82"/>
        <v>0</v>
      </c>
      <c r="R425" s="671">
        <f t="shared" si="83"/>
        <v>0</v>
      </c>
      <c r="S425" s="322">
        <f t="shared" si="84"/>
        <v>0</v>
      </c>
    </row>
    <row r="426" spans="1:19">
      <c r="A426" s="155"/>
      <c r="B426" s="57"/>
      <c r="C426" s="24">
        <f t="shared" si="75"/>
        <v>1</v>
      </c>
      <c r="D426" s="675"/>
      <c r="E426" s="24">
        <f t="shared" si="76"/>
        <v>1</v>
      </c>
      <c r="F426" s="675"/>
      <c r="G426" s="24">
        <f t="shared" si="77"/>
        <v>1</v>
      </c>
      <c r="H426" s="675"/>
      <c r="I426" s="24">
        <f t="shared" si="78"/>
        <v>1</v>
      </c>
      <c r="J426" s="675"/>
      <c r="K426" s="24">
        <f t="shared" si="79"/>
        <v>1</v>
      </c>
      <c r="L426" s="675"/>
      <c r="M426" s="24">
        <f t="shared" si="80"/>
        <v>1</v>
      </c>
      <c r="N426" s="675"/>
      <c r="O426" s="24">
        <f t="shared" si="81"/>
        <v>1</v>
      </c>
      <c r="P426" s="675"/>
      <c r="Q426" s="24">
        <f t="shared" si="82"/>
        <v>0</v>
      </c>
      <c r="R426" s="671">
        <f t="shared" si="83"/>
        <v>0</v>
      </c>
      <c r="S426" s="322">
        <f t="shared" si="84"/>
        <v>0</v>
      </c>
    </row>
    <row r="427" spans="1:19">
      <c r="A427" s="155"/>
      <c r="B427" s="57"/>
      <c r="C427" s="24">
        <f t="shared" si="75"/>
        <v>1</v>
      </c>
      <c r="D427" s="675"/>
      <c r="E427" s="24">
        <f t="shared" si="76"/>
        <v>1</v>
      </c>
      <c r="F427" s="675"/>
      <c r="G427" s="24">
        <f t="shared" si="77"/>
        <v>1</v>
      </c>
      <c r="H427" s="675"/>
      <c r="I427" s="24">
        <f t="shared" si="78"/>
        <v>1</v>
      </c>
      <c r="J427" s="675"/>
      <c r="K427" s="24">
        <f t="shared" si="79"/>
        <v>1</v>
      </c>
      <c r="L427" s="675"/>
      <c r="M427" s="24">
        <f t="shared" si="80"/>
        <v>1</v>
      </c>
      <c r="N427" s="675"/>
      <c r="O427" s="24">
        <f t="shared" si="81"/>
        <v>1</v>
      </c>
      <c r="P427" s="675"/>
      <c r="Q427" s="24">
        <f t="shared" si="82"/>
        <v>0</v>
      </c>
      <c r="R427" s="671">
        <f t="shared" si="83"/>
        <v>0</v>
      </c>
      <c r="S427" s="322">
        <f t="shared" si="84"/>
        <v>0</v>
      </c>
    </row>
    <row r="428" spans="1:19">
      <c r="A428" s="155"/>
      <c r="B428" s="57"/>
      <c r="C428" s="24">
        <f t="shared" si="75"/>
        <v>1</v>
      </c>
      <c r="D428" s="675"/>
      <c r="E428" s="24">
        <f t="shared" si="76"/>
        <v>1</v>
      </c>
      <c r="F428" s="675"/>
      <c r="G428" s="24">
        <f t="shared" si="77"/>
        <v>1</v>
      </c>
      <c r="H428" s="675"/>
      <c r="I428" s="24">
        <f t="shared" si="78"/>
        <v>1</v>
      </c>
      <c r="J428" s="675"/>
      <c r="K428" s="24">
        <f t="shared" si="79"/>
        <v>1</v>
      </c>
      <c r="L428" s="675"/>
      <c r="M428" s="24">
        <f t="shared" si="80"/>
        <v>1</v>
      </c>
      <c r="N428" s="675"/>
      <c r="O428" s="24">
        <f t="shared" si="81"/>
        <v>1</v>
      </c>
      <c r="P428" s="675"/>
      <c r="Q428" s="24">
        <f t="shared" si="82"/>
        <v>0</v>
      </c>
      <c r="R428" s="671">
        <f t="shared" si="83"/>
        <v>0</v>
      </c>
      <c r="S428" s="322">
        <f t="shared" si="84"/>
        <v>0</v>
      </c>
    </row>
    <row r="429" spans="1:19">
      <c r="A429" s="155"/>
      <c r="B429" s="57"/>
      <c r="C429" s="24">
        <f t="shared" si="75"/>
        <v>1</v>
      </c>
      <c r="D429" s="675"/>
      <c r="E429" s="24">
        <f t="shared" si="76"/>
        <v>1</v>
      </c>
      <c r="F429" s="675"/>
      <c r="G429" s="24">
        <f t="shared" si="77"/>
        <v>1</v>
      </c>
      <c r="H429" s="675"/>
      <c r="I429" s="24">
        <f t="shared" si="78"/>
        <v>1</v>
      </c>
      <c r="J429" s="675"/>
      <c r="K429" s="24">
        <f t="shared" si="79"/>
        <v>1</v>
      </c>
      <c r="L429" s="675"/>
      <c r="M429" s="24">
        <f t="shared" si="80"/>
        <v>1</v>
      </c>
      <c r="N429" s="675"/>
      <c r="O429" s="24">
        <f t="shared" si="81"/>
        <v>1</v>
      </c>
      <c r="P429" s="675"/>
      <c r="Q429" s="24">
        <f t="shared" si="82"/>
        <v>0</v>
      </c>
      <c r="R429" s="671">
        <f t="shared" si="83"/>
        <v>0</v>
      </c>
      <c r="S429" s="322">
        <f t="shared" si="84"/>
        <v>0</v>
      </c>
    </row>
    <row r="430" spans="1:19">
      <c r="A430" s="155"/>
      <c r="B430" s="57"/>
      <c r="C430" s="24">
        <f t="shared" si="75"/>
        <v>1</v>
      </c>
      <c r="D430" s="675"/>
      <c r="E430" s="24">
        <f t="shared" si="76"/>
        <v>1</v>
      </c>
      <c r="F430" s="675"/>
      <c r="G430" s="24">
        <f t="shared" si="77"/>
        <v>1</v>
      </c>
      <c r="H430" s="675"/>
      <c r="I430" s="24">
        <f t="shared" si="78"/>
        <v>1</v>
      </c>
      <c r="J430" s="675"/>
      <c r="K430" s="24">
        <f t="shared" si="79"/>
        <v>1</v>
      </c>
      <c r="L430" s="675"/>
      <c r="M430" s="24">
        <f t="shared" si="80"/>
        <v>1</v>
      </c>
      <c r="N430" s="675"/>
      <c r="O430" s="24">
        <f t="shared" si="81"/>
        <v>1</v>
      </c>
      <c r="P430" s="675"/>
      <c r="Q430" s="24">
        <f t="shared" si="82"/>
        <v>0</v>
      </c>
      <c r="R430" s="671">
        <f t="shared" si="83"/>
        <v>0</v>
      </c>
      <c r="S430" s="322">
        <f t="shared" si="84"/>
        <v>0</v>
      </c>
    </row>
    <row r="431" spans="1:19">
      <c r="A431" s="155"/>
      <c r="B431" s="57"/>
      <c r="C431" s="24">
        <f t="shared" si="75"/>
        <v>1</v>
      </c>
      <c r="D431" s="675"/>
      <c r="E431" s="24">
        <f t="shared" si="76"/>
        <v>1</v>
      </c>
      <c r="F431" s="675"/>
      <c r="G431" s="24">
        <f t="shared" si="77"/>
        <v>1</v>
      </c>
      <c r="H431" s="675"/>
      <c r="I431" s="24">
        <f t="shared" si="78"/>
        <v>1</v>
      </c>
      <c r="J431" s="675"/>
      <c r="K431" s="24">
        <f t="shared" si="79"/>
        <v>1</v>
      </c>
      <c r="L431" s="675"/>
      <c r="M431" s="24">
        <f t="shared" si="80"/>
        <v>1</v>
      </c>
      <c r="N431" s="675"/>
      <c r="O431" s="24">
        <f t="shared" si="81"/>
        <v>1</v>
      </c>
      <c r="P431" s="675"/>
      <c r="Q431" s="24">
        <f t="shared" si="82"/>
        <v>0</v>
      </c>
      <c r="R431" s="671">
        <f t="shared" si="83"/>
        <v>0</v>
      </c>
      <c r="S431" s="322">
        <f t="shared" si="84"/>
        <v>0</v>
      </c>
    </row>
    <row r="432" spans="1:19">
      <c r="A432" s="155"/>
      <c r="B432" s="57"/>
      <c r="C432" s="24">
        <f t="shared" si="75"/>
        <v>1</v>
      </c>
      <c r="D432" s="675"/>
      <c r="E432" s="24">
        <f t="shared" si="76"/>
        <v>1</v>
      </c>
      <c r="F432" s="675"/>
      <c r="G432" s="24">
        <f t="shared" si="77"/>
        <v>1</v>
      </c>
      <c r="H432" s="675"/>
      <c r="I432" s="24">
        <f t="shared" si="78"/>
        <v>1</v>
      </c>
      <c r="J432" s="675"/>
      <c r="K432" s="24">
        <f t="shared" si="79"/>
        <v>1</v>
      </c>
      <c r="L432" s="675"/>
      <c r="M432" s="24">
        <f t="shared" si="80"/>
        <v>1</v>
      </c>
      <c r="N432" s="675"/>
      <c r="O432" s="24">
        <f t="shared" si="81"/>
        <v>1</v>
      </c>
      <c r="P432" s="675"/>
      <c r="Q432" s="24">
        <f t="shared" si="82"/>
        <v>0</v>
      </c>
      <c r="R432" s="671">
        <f t="shared" si="83"/>
        <v>0</v>
      </c>
      <c r="S432" s="322">
        <f t="shared" si="84"/>
        <v>0</v>
      </c>
    </row>
    <row r="433" spans="1:19">
      <c r="A433" s="155"/>
      <c r="B433" s="57"/>
      <c r="C433" s="24">
        <f t="shared" si="75"/>
        <v>1</v>
      </c>
      <c r="D433" s="675"/>
      <c r="E433" s="24">
        <f t="shared" si="76"/>
        <v>1</v>
      </c>
      <c r="F433" s="675"/>
      <c r="G433" s="24">
        <f t="shared" si="77"/>
        <v>1</v>
      </c>
      <c r="H433" s="675"/>
      <c r="I433" s="24">
        <f t="shared" si="78"/>
        <v>1</v>
      </c>
      <c r="J433" s="675"/>
      <c r="K433" s="24">
        <f t="shared" si="79"/>
        <v>1</v>
      </c>
      <c r="L433" s="675"/>
      <c r="M433" s="24">
        <f t="shared" si="80"/>
        <v>1</v>
      </c>
      <c r="N433" s="675"/>
      <c r="O433" s="24">
        <f t="shared" si="81"/>
        <v>1</v>
      </c>
      <c r="P433" s="675"/>
      <c r="Q433" s="24">
        <f t="shared" si="82"/>
        <v>0</v>
      </c>
      <c r="R433" s="671">
        <f t="shared" si="83"/>
        <v>0</v>
      </c>
      <c r="S433" s="322">
        <f t="shared" si="84"/>
        <v>0</v>
      </c>
    </row>
    <row r="434" spans="1:19">
      <c r="A434" s="155"/>
      <c r="B434" s="57"/>
      <c r="C434" s="24">
        <f t="shared" si="75"/>
        <v>1</v>
      </c>
      <c r="D434" s="675"/>
      <c r="E434" s="24">
        <f t="shared" si="76"/>
        <v>1</v>
      </c>
      <c r="F434" s="675"/>
      <c r="G434" s="24">
        <f t="shared" si="77"/>
        <v>1</v>
      </c>
      <c r="H434" s="675"/>
      <c r="I434" s="24">
        <f t="shared" si="78"/>
        <v>1</v>
      </c>
      <c r="J434" s="675"/>
      <c r="K434" s="24">
        <f t="shared" si="79"/>
        <v>1</v>
      </c>
      <c r="L434" s="675"/>
      <c r="M434" s="24">
        <f t="shared" si="80"/>
        <v>1</v>
      </c>
      <c r="N434" s="675"/>
      <c r="O434" s="24">
        <f t="shared" si="81"/>
        <v>1</v>
      </c>
      <c r="P434" s="675"/>
      <c r="Q434" s="24">
        <f t="shared" si="82"/>
        <v>0</v>
      </c>
      <c r="R434" s="671">
        <f t="shared" si="83"/>
        <v>0</v>
      </c>
      <c r="S434" s="322">
        <f t="shared" si="84"/>
        <v>0</v>
      </c>
    </row>
    <row r="435" spans="1:19">
      <c r="A435" s="155"/>
      <c r="B435" s="57"/>
      <c r="C435" s="24">
        <f t="shared" si="75"/>
        <v>1</v>
      </c>
      <c r="D435" s="675"/>
      <c r="E435" s="24">
        <f t="shared" si="76"/>
        <v>1</v>
      </c>
      <c r="F435" s="675"/>
      <c r="G435" s="24">
        <f t="shared" si="77"/>
        <v>1</v>
      </c>
      <c r="H435" s="675"/>
      <c r="I435" s="24">
        <f t="shared" si="78"/>
        <v>1</v>
      </c>
      <c r="J435" s="675"/>
      <c r="K435" s="24">
        <f t="shared" si="79"/>
        <v>1</v>
      </c>
      <c r="L435" s="675"/>
      <c r="M435" s="24">
        <f t="shared" si="80"/>
        <v>1</v>
      </c>
      <c r="N435" s="675"/>
      <c r="O435" s="24">
        <f t="shared" si="81"/>
        <v>1</v>
      </c>
      <c r="P435" s="675"/>
      <c r="Q435" s="24">
        <f t="shared" si="82"/>
        <v>0</v>
      </c>
      <c r="R435" s="671">
        <f t="shared" si="83"/>
        <v>0</v>
      </c>
      <c r="S435" s="322">
        <f t="shared" si="84"/>
        <v>0</v>
      </c>
    </row>
    <row r="436" spans="1:19">
      <c r="A436" s="155"/>
      <c r="B436" s="57"/>
      <c r="C436" s="24">
        <f t="shared" si="75"/>
        <v>1</v>
      </c>
      <c r="D436" s="675"/>
      <c r="E436" s="24">
        <f t="shared" si="76"/>
        <v>1</v>
      </c>
      <c r="F436" s="675"/>
      <c r="G436" s="24">
        <f t="shared" si="77"/>
        <v>1</v>
      </c>
      <c r="H436" s="675"/>
      <c r="I436" s="24">
        <f t="shared" si="78"/>
        <v>1</v>
      </c>
      <c r="J436" s="675"/>
      <c r="K436" s="24">
        <f t="shared" si="79"/>
        <v>1</v>
      </c>
      <c r="L436" s="675"/>
      <c r="M436" s="24">
        <f t="shared" si="80"/>
        <v>1</v>
      </c>
      <c r="N436" s="675"/>
      <c r="O436" s="24">
        <f t="shared" si="81"/>
        <v>1</v>
      </c>
      <c r="P436" s="675"/>
      <c r="Q436" s="24">
        <f t="shared" si="82"/>
        <v>0</v>
      </c>
      <c r="R436" s="671">
        <f t="shared" si="83"/>
        <v>0</v>
      </c>
      <c r="S436" s="322">
        <f t="shared" si="84"/>
        <v>0</v>
      </c>
    </row>
    <row r="437" spans="1:19">
      <c r="A437" s="155"/>
      <c r="B437" s="57"/>
      <c r="C437" s="24">
        <f t="shared" si="75"/>
        <v>1</v>
      </c>
      <c r="D437" s="675"/>
      <c r="E437" s="24">
        <f t="shared" si="76"/>
        <v>1</v>
      </c>
      <c r="F437" s="675"/>
      <c r="G437" s="24">
        <f t="shared" si="77"/>
        <v>1</v>
      </c>
      <c r="H437" s="675"/>
      <c r="I437" s="24">
        <f t="shared" si="78"/>
        <v>1</v>
      </c>
      <c r="J437" s="675"/>
      <c r="K437" s="24">
        <f t="shared" si="79"/>
        <v>1</v>
      </c>
      <c r="L437" s="675"/>
      <c r="M437" s="24">
        <f t="shared" si="80"/>
        <v>1</v>
      </c>
      <c r="N437" s="675"/>
      <c r="O437" s="24">
        <f t="shared" si="81"/>
        <v>1</v>
      </c>
      <c r="P437" s="675"/>
      <c r="Q437" s="24">
        <f t="shared" si="82"/>
        <v>0</v>
      </c>
      <c r="R437" s="671">
        <f t="shared" si="83"/>
        <v>0</v>
      </c>
      <c r="S437" s="322">
        <f t="shared" si="84"/>
        <v>0</v>
      </c>
    </row>
    <row r="438" spans="1:19">
      <c r="A438" s="155"/>
      <c r="B438" s="57"/>
      <c r="C438" s="24">
        <f t="shared" si="75"/>
        <v>1</v>
      </c>
      <c r="D438" s="675"/>
      <c r="E438" s="24">
        <f t="shared" si="76"/>
        <v>1</v>
      </c>
      <c r="F438" s="675"/>
      <c r="G438" s="24">
        <f t="shared" si="77"/>
        <v>1</v>
      </c>
      <c r="H438" s="675"/>
      <c r="I438" s="24">
        <f t="shared" si="78"/>
        <v>1</v>
      </c>
      <c r="J438" s="675"/>
      <c r="K438" s="24">
        <f t="shared" si="79"/>
        <v>1</v>
      </c>
      <c r="L438" s="675"/>
      <c r="M438" s="24">
        <f t="shared" si="80"/>
        <v>1</v>
      </c>
      <c r="N438" s="675"/>
      <c r="O438" s="24">
        <f t="shared" si="81"/>
        <v>1</v>
      </c>
      <c r="P438" s="675"/>
      <c r="Q438" s="24">
        <f t="shared" si="82"/>
        <v>0</v>
      </c>
      <c r="R438" s="671">
        <f t="shared" si="83"/>
        <v>0</v>
      </c>
      <c r="S438" s="322">
        <f t="shared" si="84"/>
        <v>0</v>
      </c>
    </row>
    <row r="439" spans="1:19">
      <c r="A439" s="155"/>
      <c r="B439" s="57"/>
      <c r="C439" s="24">
        <f t="shared" si="75"/>
        <v>1</v>
      </c>
      <c r="D439" s="675"/>
      <c r="E439" s="24">
        <f t="shared" si="76"/>
        <v>1</v>
      </c>
      <c r="F439" s="675"/>
      <c r="G439" s="24">
        <f t="shared" si="77"/>
        <v>1</v>
      </c>
      <c r="H439" s="675"/>
      <c r="I439" s="24">
        <f t="shared" si="78"/>
        <v>1</v>
      </c>
      <c r="J439" s="675"/>
      <c r="K439" s="24">
        <f t="shared" si="79"/>
        <v>1</v>
      </c>
      <c r="L439" s="675"/>
      <c r="M439" s="24">
        <f t="shared" si="80"/>
        <v>1</v>
      </c>
      <c r="N439" s="675"/>
      <c r="O439" s="24">
        <f t="shared" si="81"/>
        <v>1</v>
      </c>
      <c r="P439" s="675"/>
      <c r="Q439" s="24">
        <f t="shared" si="82"/>
        <v>0</v>
      </c>
      <c r="R439" s="671">
        <f t="shared" si="83"/>
        <v>0</v>
      </c>
      <c r="S439" s="322">
        <f t="shared" si="84"/>
        <v>0</v>
      </c>
    </row>
    <row r="440" spans="1:19">
      <c r="A440" s="155"/>
      <c r="B440" s="57"/>
      <c r="C440" s="24">
        <f t="shared" si="75"/>
        <v>1</v>
      </c>
      <c r="D440" s="675"/>
      <c r="E440" s="24">
        <f t="shared" si="76"/>
        <v>1</v>
      </c>
      <c r="F440" s="675"/>
      <c r="G440" s="24">
        <f t="shared" si="77"/>
        <v>1</v>
      </c>
      <c r="H440" s="675"/>
      <c r="I440" s="24">
        <f t="shared" si="78"/>
        <v>1</v>
      </c>
      <c r="J440" s="675"/>
      <c r="K440" s="24">
        <f t="shared" si="79"/>
        <v>1</v>
      </c>
      <c r="L440" s="675"/>
      <c r="M440" s="24">
        <f t="shared" si="80"/>
        <v>1</v>
      </c>
      <c r="N440" s="675"/>
      <c r="O440" s="24">
        <f t="shared" si="81"/>
        <v>1</v>
      </c>
      <c r="P440" s="675"/>
      <c r="Q440" s="24">
        <f t="shared" si="82"/>
        <v>0</v>
      </c>
      <c r="R440" s="671">
        <f t="shared" si="83"/>
        <v>0</v>
      </c>
      <c r="S440" s="322">
        <f t="shared" si="84"/>
        <v>0</v>
      </c>
    </row>
    <row r="441" spans="1:19">
      <c r="A441" s="155"/>
      <c r="B441" s="57"/>
      <c r="C441" s="24">
        <f t="shared" si="75"/>
        <v>1</v>
      </c>
      <c r="D441" s="675"/>
      <c r="E441" s="24">
        <f t="shared" si="76"/>
        <v>1</v>
      </c>
      <c r="F441" s="675"/>
      <c r="G441" s="24">
        <f t="shared" si="77"/>
        <v>1</v>
      </c>
      <c r="H441" s="675"/>
      <c r="I441" s="24">
        <f t="shared" si="78"/>
        <v>1</v>
      </c>
      <c r="J441" s="675"/>
      <c r="K441" s="24">
        <f t="shared" si="79"/>
        <v>1</v>
      </c>
      <c r="L441" s="675"/>
      <c r="M441" s="24">
        <f t="shared" si="80"/>
        <v>1</v>
      </c>
      <c r="N441" s="675"/>
      <c r="O441" s="24">
        <f t="shared" si="81"/>
        <v>1</v>
      </c>
      <c r="P441" s="675"/>
      <c r="Q441" s="24">
        <f t="shared" si="82"/>
        <v>0</v>
      </c>
      <c r="R441" s="671">
        <f t="shared" si="83"/>
        <v>0</v>
      </c>
      <c r="S441" s="322">
        <f t="shared" si="84"/>
        <v>0</v>
      </c>
    </row>
    <row r="442" spans="1:19">
      <c r="A442" s="155"/>
      <c r="B442" s="57"/>
      <c r="C442" s="24">
        <f t="shared" si="75"/>
        <v>1</v>
      </c>
      <c r="D442" s="675"/>
      <c r="E442" s="24">
        <f t="shared" si="76"/>
        <v>1</v>
      </c>
      <c r="F442" s="675"/>
      <c r="G442" s="24">
        <f t="shared" si="77"/>
        <v>1</v>
      </c>
      <c r="H442" s="675"/>
      <c r="I442" s="24">
        <f t="shared" si="78"/>
        <v>1</v>
      </c>
      <c r="J442" s="675"/>
      <c r="K442" s="24">
        <f t="shared" si="79"/>
        <v>1</v>
      </c>
      <c r="L442" s="675"/>
      <c r="M442" s="24">
        <f t="shared" si="80"/>
        <v>1</v>
      </c>
      <c r="N442" s="675"/>
      <c r="O442" s="24">
        <f t="shared" si="81"/>
        <v>1</v>
      </c>
      <c r="P442" s="675"/>
      <c r="Q442" s="24">
        <f t="shared" si="82"/>
        <v>0</v>
      </c>
      <c r="R442" s="671">
        <f t="shared" si="83"/>
        <v>0</v>
      </c>
      <c r="S442" s="322">
        <f t="shared" si="84"/>
        <v>0</v>
      </c>
    </row>
    <row r="443" spans="1:19">
      <c r="A443" s="155"/>
      <c r="B443" s="57"/>
      <c r="C443" s="24">
        <f t="shared" si="75"/>
        <v>1</v>
      </c>
      <c r="D443" s="675"/>
      <c r="E443" s="24">
        <f t="shared" si="76"/>
        <v>1</v>
      </c>
      <c r="F443" s="675"/>
      <c r="G443" s="24">
        <f t="shared" si="77"/>
        <v>1</v>
      </c>
      <c r="H443" s="675"/>
      <c r="I443" s="24">
        <f t="shared" si="78"/>
        <v>1</v>
      </c>
      <c r="J443" s="675"/>
      <c r="K443" s="24">
        <f t="shared" si="79"/>
        <v>1</v>
      </c>
      <c r="L443" s="675"/>
      <c r="M443" s="24">
        <f t="shared" si="80"/>
        <v>1</v>
      </c>
      <c r="N443" s="675"/>
      <c r="O443" s="24">
        <f t="shared" si="81"/>
        <v>1</v>
      </c>
      <c r="P443" s="675"/>
      <c r="Q443" s="24">
        <f t="shared" si="82"/>
        <v>0</v>
      </c>
      <c r="R443" s="671">
        <f t="shared" si="83"/>
        <v>0</v>
      </c>
      <c r="S443" s="322">
        <f t="shared" si="84"/>
        <v>0</v>
      </c>
    </row>
    <row r="444" spans="1:19">
      <c r="A444" s="155"/>
      <c r="B444" s="57"/>
      <c r="C444" s="24">
        <f t="shared" si="75"/>
        <v>1</v>
      </c>
      <c r="D444" s="675"/>
      <c r="E444" s="24">
        <f t="shared" si="76"/>
        <v>1</v>
      </c>
      <c r="F444" s="675"/>
      <c r="G444" s="24">
        <f t="shared" si="77"/>
        <v>1</v>
      </c>
      <c r="H444" s="675"/>
      <c r="I444" s="24">
        <f t="shared" si="78"/>
        <v>1</v>
      </c>
      <c r="J444" s="675"/>
      <c r="K444" s="24">
        <f t="shared" si="79"/>
        <v>1</v>
      </c>
      <c r="L444" s="675"/>
      <c r="M444" s="24">
        <f t="shared" si="80"/>
        <v>1</v>
      </c>
      <c r="N444" s="675"/>
      <c r="O444" s="24">
        <f t="shared" si="81"/>
        <v>1</v>
      </c>
      <c r="P444" s="675"/>
      <c r="Q444" s="24">
        <f t="shared" si="82"/>
        <v>0</v>
      </c>
      <c r="R444" s="671">
        <f t="shared" si="83"/>
        <v>0</v>
      </c>
      <c r="S444" s="322">
        <f t="shared" si="84"/>
        <v>0</v>
      </c>
    </row>
    <row r="445" spans="1:19">
      <c r="A445" s="155"/>
      <c r="B445" s="57"/>
      <c r="C445" s="24">
        <f t="shared" si="75"/>
        <v>1</v>
      </c>
      <c r="D445" s="675"/>
      <c r="E445" s="24">
        <f t="shared" si="76"/>
        <v>1</v>
      </c>
      <c r="F445" s="675"/>
      <c r="G445" s="24">
        <f t="shared" si="77"/>
        <v>1</v>
      </c>
      <c r="H445" s="675"/>
      <c r="I445" s="24">
        <f t="shared" si="78"/>
        <v>1</v>
      </c>
      <c r="J445" s="675"/>
      <c r="K445" s="24">
        <f t="shared" si="79"/>
        <v>1</v>
      </c>
      <c r="L445" s="675"/>
      <c r="M445" s="24">
        <f t="shared" si="80"/>
        <v>1</v>
      </c>
      <c r="N445" s="675"/>
      <c r="O445" s="24">
        <f t="shared" si="81"/>
        <v>1</v>
      </c>
      <c r="P445" s="675"/>
      <c r="Q445" s="24">
        <f t="shared" si="82"/>
        <v>0</v>
      </c>
      <c r="R445" s="671">
        <f t="shared" si="83"/>
        <v>0</v>
      </c>
      <c r="S445" s="322">
        <f t="shared" si="84"/>
        <v>0</v>
      </c>
    </row>
    <row r="446" spans="1:19">
      <c r="A446" s="155"/>
      <c r="B446" s="57"/>
      <c r="C446" s="24">
        <f t="shared" si="75"/>
        <v>1</v>
      </c>
      <c r="D446" s="675"/>
      <c r="E446" s="24">
        <f t="shared" si="76"/>
        <v>1</v>
      </c>
      <c r="F446" s="675"/>
      <c r="G446" s="24">
        <f t="shared" si="77"/>
        <v>1</v>
      </c>
      <c r="H446" s="675"/>
      <c r="I446" s="24">
        <f t="shared" si="78"/>
        <v>1</v>
      </c>
      <c r="J446" s="675"/>
      <c r="K446" s="24">
        <f t="shared" si="79"/>
        <v>1</v>
      </c>
      <c r="L446" s="675"/>
      <c r="M446" s="24">
        <f t="shared" si="80"/>
        <v>1</v>
      </c>
      <c r="N446" s="675"/>
      <c r="O446" s="24">
        <f t="shared" si="81"/>
        <v>1</v>
      </c>
      <c r="P446" s="675"/>
      <c r="Q446" s="24">
        <f t="shared" si="82"/>
        <v>0</v>
      </c>
      <c r="R446" s="671">
        <f t="shared" si="83"/>
        <v>0</v>
      </c>
      <c r="S446" s="322">
        <f t="shared" si="84"/>
        <v>0</v>
      </c>
    </row>
    <row r="447" spans="1:19">
      <c r="A447" s="155"/>
      <c r="B447" s="57"/>
      <c r="C447" s="24">
        <f t="shared" si="75"/>
        <v>1</v>
      </c>
      <c r="D447" s="675"/>
      <c r="E447" s="24">
        <f t="shared" si="76"/>
        <v>1</v>
      </c>
      <c r="F447" s="675"/>
      <c r="G447" s="24">
        <f t="shared" si="77"/>
        <v>1</v>
      </c>
      <c r="H447" s="675"/>
      <c r="I447" s="24">
        <f t="shared" si="78"/>
        <v>1</v>
      </c>
      <c r="J447" s="675"/>
      <c r="K447" s="24">
        <f t="shared" si="79"/>
        <v>1</v>
      </c>
      <c r="L447" s="675"/>
      <c r="M447" s="24">
        <f t="shared" si="80"/>
        <v>1</v>
      </c>
      <c r="N447" s="675"/>
      <c r="O447" s="24">
        <f t="shared" si="81"/>
        <v>1</v>
      </c>
      <c r="P447" s="675"/>
      <c r="Q447" s="24">
        <f t="shared" si="82"/>
        <v>0</v>
      </c>
      <c r="R447" s="671">
        <f t="shared" si="83"/>
        <v>0</v>
      </c>
      <c r="S447" s="322">
        <f t="shared" si="84"/>
        <v>0</v>
      </c>
    </row>
    <row r="448" spans="1:19">
      <c r="A448" s="155"/>
      <c r="B448" s="57"/>
      <c r="C448" s="24">
        <f t="shared" si="75"/>
        <v>1</v>
      </c>
      <c r="D448" s="675"/>
      <c r="E448" s="24">
        <f t="shared" si="76"/>
        <v>1</v>
      </c>
      <c r="F448" s="675"/>
      <c r="G448" s="24">
        <f t="shared" si="77"/>
        <v>1</v>
      </c>
      <c r="H448" s="675"/>
      <c r="I448" s="24">
        <f t="shared" si="78"/>
        <v>1</v>
      </c>
      <c r="J448" s="675"/>
      <c r="K448" s="24">
        <f t="shared" si="79"/>
        <v>1</v>
      </c>
      <c r="L448" s="675"/>
      <c r="M448" s="24">
        <f t="shared" si="80"/>
        <v>1</v>
      </c>
      <c r="N448" s="675"/>
      <c r="O448" s="24">
        <f t="shared" si="81"/>
        <v>1</v>
      </c>
      <c r="P448" s="675"/>
      <c r="Q448" s="24">
        <f t="shared" si="82"/>
        <v>0</v>
      </c>
      <c r="R448" s="671">
        <f t="shared" si="83"/>
        <v>0</v>
      </c>
      <c r="S448" s="322">
        <f t="shared" si="84"/>
        <v>0</v>
      </c>
    </row>
    <row r="449" spans="1:19">
      <c r="A449" s="155"/>
      <c r="B449" s="57"/>
      <c r="C449" s="24">
        <f t="shared" si="75"/>
        <v>1</v>
      </c>
      <c r="D449" s="675"/>
      <c r="E449" s="24">
        <f t="shared" si="76"/>
        <v>1</v>
      </c>
      <c r="F449" s="675"/>
      <c r="G449" s="24">
        <f t="shared" si="77"/>
        <v>1</v>
      </c>
      <c r="H449" s="675"/>
      <c r="I449" s="24">
        <f t="shared" si="78"/>
        <v>1</v>
      </c>
      <c r="J449" s="675"/>
      <c r="K449" s="24">
        <f t="shared" si="79"/>
        <v>1</v>
      </c>
      <c r="L449" s="675"/>
      <c r="M449" s="24">
        <f t="shared" si="80"/>
        <v>1</v>
      </c>
      <c r="N449" s="675"/>
      <c r="O449" s="24">
        <f t="shared" si="81"/>
        <v>1</v>
      </c>
      <c r="P449" s="675"/>
      <c r="Q449" s="24">
        <f t="shared" si="82"/>
        <v>0</v>
      </c>
      <c r="R449" s="671">
        <f t="shared" si="83"/>
        <v>0</v>
      </c>
      <c r="S449" s="322">
        <f t="shared" si="84"/>
        <v>0</v>
      </c>
    </row>
    <row r="450" spans="1:19">
      <c r="A450" s="155"/>
      <c r="B450" s="57"/>
      <c r="C450" s="24">
        <f t="shared" si="75"/>
        <v>1</v>
      </c>
      <c r="D450" s="675"/>
      <c r="E450" s="24">
        <f t="shared" si="76"/>
        <v>1</v>
      </c>
      <c r="F450" s="675"/>
      <c r="G450" s="24">
        <f t="shared" si="77"/>
        <v>1</v>
      </c>
      <c r="H450" s="675"/>
      <c r="I450" s="24">
        <f t="shared" si="78"/>
        <v>1</v>
      </c>
      <c r="J450" s="675"/>
      <c r="K450" s="24">
        <f t="shared" si="79"/>
        <v>1</v>
      </c>
      <c r="L450" s="675"/>
      <c r="M450" s="24">
        <f t="shared" si="80"/>
        <v>1</v>
      </c>
      <c r="N450" s="675"/>
      <c r="O450" s="24">
        <f t="shared" si="81"/>
        <v>1</v>
      </c>
      <c r="P450" s="675"/>
      <c r="Q450" s="24">
        <f t="shared" si="82"/>
        <v>0</v>
      </c>
      <c r="R450" s="671">
        <f t="shared" si="83"/>
        <v>0</v>
      </c>
      <c r="S450" s="322">
        <f t="shared" si="84"/>
        <v>0</v>
      </c>
    </row>
    <row r="451" spans="1:19">
      <c r="A451" s="155"/>
      <c r="B451" s="57"/>
      <c r="C451" s="24">
        <f t="shared" si="75"/>
        <v>1</v>
      </c>
      <c r="D451" s="675"/>
      <c r="E451" s="24">
        <f t="shared" si="76"/>
        <v>1</v>
      </c>
      <c r="F451" s="675"/>
      <c r="G451" s="24">
        <f t="shared" si="77"/>
        <v>1</v>
      </c>
      <c r="H451" s="675"/>
      <c r="I451" s="24">
        <f t="shared" si="78"/>
        <v>1</v>
      </c>
      <c r="J451" s="675"/>
      <c r="K451" s="24">
        <f t="shared" si="79"/>
        <v>1</v>
      </c>
      <c r="L451" s="675"/>
      <c r="M451" s="24">
        <f t="shared" si="80"/>
        <v>1</v>
      </c>
      <c r="N451" s="675"/>
      <c r="O451" s="24">
        <f t="shared" si="81"/>
        <v>1</v>
      </c>
      <c r="P451" s="675"/>
      <c r="Q451" s="24">
        <f t="shared" si="82"/>
        <v>0</v>
      </c>
      <c r="R451" s="671">
        <f t="shared" si="83"/>
        <v>0</v>
      </c>
      <c r="S451" s="322">
        <f t="shared" si="84"/>
        <v>0</v>
      </c>
    </row>
    <row r="452" spans="1:19">
      <c r="A452" s="155"/>
      <c r="B452" s="57"/>
      <c r="C452" s="24">
        <f t="shared" si="75"/>
        <v>1</v>
      </c>
      <c r="D452" s="675"/>
      <c r="E452" s="24">
        <f t="shared" si="76"/>
        <v>1</v>
      </c>
      <c r="F452" s="675"/>
      <c r="G452" s="24">
        <f t="shared" si="77"/>
        <v>1</v>
      </c>
      <c r="H452" s="675"/>
      <c r="I452" s="24">
        <f t="shared" si="78"/>
        <v>1</v>
      </c>
      <c r="J452" s="675"/>
      <c r="K452" s="24">
        <f t="shared" si="79"/>
        <v>1</v>
      </c>
      <c r="L452" s="675"/>
      <c r="M452" s="24">
        <f t="shared" si="80"/>
        <v>1</v>
      </c>
      <c r="N452" s="675"/>
      <c r="O452" s="24">
        <f t="shared" si="81"/>
        <v>1</v>
      </c>
      <c r="P452" s="675"/>
      <c r="Q452" s="24">
        <f t="shared" si="82"/>
        <v>0</v>
      </c>
      <c r="R452" s="671">
        <f t="shared" si="83"/>
        <v>0</v>
      </c>
      <c r="S452" s="322">
        <f t="shared" si="84"/>
        <v>0</v>
      </c>
    </row>
    <row r="453" spans="1:19">
      <c r="A453" s="155"/>
      <c r="B453" s="57"/>
      <c r="C453" s="24">
        <f t="shared" si="75"/>
        <v>1</v>
      </c>
      <c r="D453" s="675"/>
      <c r="E453" s="24">
        <f t="shared" si="76"/>
        <v>1</v>
      </c>
      <c r="F453" s="675"/>
      <c r="G453" s="24">
        <f t="shared" si="77"/>
        <v>1</v>
      </c>
      <c r="H453" s="675"/>
      <c r="I453" s="24">
        <f t="shared" si="78"/>
        <v>1</v>
      </c>
      <c r="J453" s="675"/>
      <c r="K453" s="24">
        <f t="shared" si="79"/>
        <v>1</v>
      </c>
      <c r="L453" s="675"/>
      <c r="M453" s="24">
        <f t="shared" si="80"/>
        <v>1</v>
      </c>
      <c r="N453" s="675"/>
      <c r="O453" s="24">
        <f t="shared" si="81"/>
        <v>1</v>
      </c>
      <c r="P453" s="675"/>
      <c r="Q453" s="24">
        <f t="shared" si="82"/>
        <v>0</v>
      </c>
      <c r="R453" s="671">
        <f t="shared" si="83"/>
        <v>0</v>
      </c>
      <c r="S453" s="322">
        <f t="shared" si="84"/>
        <v>0</v>
      </c>
    </row>
    <row r="454" spans="1:19">
      <c r="A454" s="155"/>
      <c r="B454" s="57"/>
      <c r="C454" s="24">
        <f t="shared" si="75"/>
        <v>1</v>
      </c>
      <c r="D454" s="675"/>
      <c r="E454" s="24">
        <f t="shared" si="76"/>
        <v>1</v>
      </c>
      <c r="F454" s="675"/>
      <c r="G454" s="24">
        <f t="shared" si="77"/>
        <v>1</v>
      </c>
      <c r="H454" s="675"/>
      <c r="I454" s="24">
        <f t="shared" si="78"/>
        <v>1</v>
      </c>
      <c r="J454" s="675"/>
      <c r="K454" s="24">
        <f t="shared" si="79"/>
        <v>1</v>
      </c>
      <c r="L454" s="675"/>
      <c r="M454" s="24">
        <f t="shared" si="80"/>
        <v>1</v>
      </c>
      <c r="N454" s="675"/>
      <c r="O454" s="24">
        <f t="shared" si="81"/>
        <v>1</v>
      </c>
      <c r="P454" s="675"/>
      <c r="Q454" s="24">
        <f t="shared" si="82"/>
        <v>0</v>
      </c>
      <c r="R454" s="671">
        <f t="shared" si="83"/>
        <v>0</v>
      </c>
      <c r="S454" s="322">
        <f t="shared" si="84"/>
        <v>0</v>
      </c>
    </row>
    <row r="455" spans="1:19">
      <c r="A455" s="155"/>
      <c r="B455" s="57"/>
      <c r="C455" s="24">
        <f t="shared" si="75"/>
        <v>1</v>
      </c>
      <c r="D455" s="675"/>
      <c r="E455" s="24">
        <f t="shared" si="76"/>
        <v>1</v>
      </c>
      <c r="F455" s="675"/>
      <c r="G455" s="24">
        <f t="shared" si="77"/>
        <v>1</v>
      </c>
      <c r="H455" s="675"/>
      <c r="I455" s="24">
        <f t="shared" si="78"/>
        <v>1</v>
      </c>
      <c r="J455" s="675"/>
      <c r="K455" s="24">
        <f t="shared" si="79"/>
        <v>1</v>
      </c>
      <c r="L455" s="675"/>
      <c r="M455" s="24">
        <f t="shared" si="80"/>
        <v>1</v>
      </c>
      <c r="N455" s="675"/>
      <c r="O455" s="24">
        <f t="shared" si="81"/>
        <v>1</v>
      </c>
      <c r="P455" s="675"/>
      <c r="Q455" s="24">
        <f t="shared" si="82"/>
        <v>0</v>
      </c>
      <c r="R455" s="671">
        <f t="shared" si="83"/>
        <v>0</v>
      </c>
      <c r="S455" s="322">
        <f t="shared" si="84"/>
        <v>0</v>
      </c>
    </row>
    <row r="456" spans="1:19">
      <c r="A456" s="155"/>
      <c r="B456" s="57"/>
      <c r="C456" s="24">
        <f t="shared" si="75"/>
        <v>1</v>
      </c>
      <c r="D456" s="675"/>
      <c r="E456" s="24">
        <f t="shared" si="76"/>
        <v>1</v>
      </c>
      <c r="F456" s="675"/>
      <c r="G456" s="24">
        <f t="shared" si="77"/>
        <v>1</v>
      </c>
      <c r="H456" s="675"/>
      <c r="I456" s="24">
        <f t="shared" si="78"/>
        <v>1</v>
      </c>
      <c r="J456" s="675"/>
      <c r="K456" s="24">
        <f t="shared" si="79"/>
        <v>1</v>
      </c>
      <c r="L456" s="675"/>
      <c r="M456" s="24">
        <f t="shared" si="80"/>
        <v>1</v>
      </c>
      <c r="N456" s="675"/>
      <c r="O456" s="24">
        <f t="shared" si="81"/>
        <v>1</v>
      </c>
      <c r="P456" s="675"/>
      <c r="Q456" s="24">
        <f t="shared" si="82"/>
        <v>0</v>
      </c>
      <c r="R456" s="671">
        <f t="shared" si="83"/>
        <v>0</v>
      </c>
      <c r="S456" s="322">
        <f t="shared" si="84"/>
        <v>0</v>
      </c>
    </row>
    <row r="457" spans="1:19">
      <c r="A457" s="155"/>
      <c r="B457" s="57"/>
      <c r="C457" s="24">
        <f t="shared" si="75"/>
        <v>1</v>
      </c>
      <c r="D457" s="675"/>
      <c r="E457" s="24">
        <f t="shared" si="76"/>
        <v>1</v>
      </c>
      <c r="F457" s="675"/>
      <c r="G457" s="24">
        <f t="shared" si="77"/>
        <v>1</v>
      </c>
      <c r="H457" s="675"/>
      <c r="I457" s="24">
        <f t="shared" si="78"/>
        <v>1</v>
      </c>
      <c r="J457" s="675"/>
      <c r="K457" s="24">
        <f t="shared" si="79"/>
        <v>1</v>
      </c>
      <c r="L457" s="675"/>
      <c r="M457" s="24">
        <f t="shared" si="80"/>
        <v>1</v>
      </c>
      <c r="N457" s="675"/>
      <c r="O457" s="24">
        <f t="shared" si="81"/>
        <v>1</v>
      </c>
      <c r="P457" s="675"/>
      <c r="Q457" s="24">
        <f t="shared" si="82"/>
        <v>0</v>
      </c>
      <c r="R457" s="671">
        <f t="shared" si="83"/>
        <v>0</v>
      </c>
      <c r="S457" s="322">
        <f t="shared" si="84"/>
        <v>0</v>
      </c>
    </row>
    <row r="458" spans="1:19">
      <c r="A458" s="155"/>
      <c r="B458" s="57"/>
      <c r="C458" s="24">
        <f t="shared" si="75"/>
        <v>1</v>
      </c>
      <c r="D458" s="675"/>
      <c r="E458" s="24">
        <f t="shared" si="76"/>
        <v>1</v>
      </c>
      <c r="F458" s="675"/>
      <c r="G458" s="24">
        <f t="shared" si="77"/>
        <v>1</v>
      </c>
      <c r="H458" s="675"/>
      <c r="I458" s="24">
        <f t="shared" si="78"/>
        <v>1</v>
      </c>
      <c r="J458" s="675"/>
      <c r="K458" s="24">
        <f t="shared" si="79"/>
        <v>1</v>
      </c>
      <c r="L458" s="675"/>
      <c r="M458" s="24">
        <f t="shared" si="80"/>
        <v>1</v>
      </c>
      <c r="N458" s="675"/>
      <c r="O458" s="24">
        <f t="shared" si="81"/>
        <v>1</v>
      </c>
      <c r="P458" s="675"/>
      <c r="Q458" s="24">
        <f t="shared" si="82"/>
        <v>0</v>
      </c>
      <c r="R458" s="671">
        <f t="shared" si="83"/>
        <v>0</v>
      </c>
      <c r="S458" s="322">
        <f t="shared" si="84"/>
        <v>0</v>
      </c>
    </row>
    <row r="459" spans="1:19">
      <c r="A459" s="155"/>
      <c r="B459" s="57"/>
      <c r="C459" s="24">
        <f t="shared" si="75"/>
        <v>1</v>
      </c>
      <c r="D459" s="675"/>
      <c r="E459" s="24">
        <f t="shared" si="76"/>
        <v>1</v>
      </c>
      <c r="F459" s="675"/>
      <c r="G459" s="24">
        <f t="shared" si="77"/>
        <v>1</v>
      </c>
      <c r="H459" s="675"/>
      <c r="I459" s="24">
        <f t="shared" si="78"/>
        <v>1</v>
      </c>
      <c r="J459" s="675"/>
      <c r="K459" s="24">
        <f t="shared" si="79"/>
        <v>1</v>
      </c>
      <c r="L459" s="675"/>
      <c r="M459" s="24">
        <f t="shared" si="80"/>
        <v>1</v>
      </c>
      <c r="N459" s="675"/>
      <c r="O459" s="24">
        <f t="shared" si="81"/>
        <v>1</v>
      </c>
      <c r="P459" s="675"/>
      <c r="Q459" s="24">
        <f t="shared" si="82"/>
        <v>0</v>
      </c>
      <c r="R459" s="671">
        <f t="shared" si="83"/>
        <v>0</v>
      </c>
      <c r="S459" s="322">
        <f t="shared" si="84"/>
        <v>0</v>
      </c>
    </row>
    <row r="460" spans="1:19">
      <c r="A460" s="155"/>
      <c r="B460" s="57"/>
      <c r="C460" s="24">
        <f t="shared" si="75"/>
        <v>1</v>
      </c>
      <c r="D460" s="675"/>
      <c r="E460" s="24">
        <f t="shared" si="76"/>
        <v>1</v>
      </c>
      <c r="F460" s="675"/>
      <c r="G460" s="24">
        <f t="shared" si="77"/>
        <v>1</v>
      </c>
      <c r="H460" s="675"/>
      <c r="I460" s="24">
        <f t="shared" si="78"/>
        <v>1</v>
      </c>
      <c r="J460" s="675"/>
      <c r="K460" s="24">
        <f t="shared" si="79"/>
        <v>1</v>
      </c>
      <c r="L460" s="675"/>
      <c r="M460" s="24">
        <f t="shared" si="80"/>
        <v>1</v>
      </c>
      <c r="N460" s="675"/>
      <c r="O460" s="24">
        <f t="shared" si="81"/>
        <v>1</v>
      </c>
      <c r="P460" s="675"/>
      <c r="Q460" s="24">
        <f t="shared" si="82"/>
        <v>0</v>
      </c>
      <c r="R460" s="671">
        <f t="shared" si="83"/>
        <v>0</v>
      </c>
      <c r="S460" s="322">
        <f t="shared" si="84"/>
        <v>0</v>
      </c>
    </row>
    <row r="461" spans="1:19">
      <c r="A461" s="155"/>
      <c r="B461" s="57"/>
      <c r="C461" s="24">
        <f t="shared" si="75"/>
        <v>1</v>
      </c>
      <c r="D461" s="675"/>
      <c r="E461" s="24">
        <f t="shared" si="76"/>
        <v>1</v>
      </c>
      <c r="F461" s="675"/>
      <c r="G461" s="24">
        <f t="shared" si="77"/>
        <v>1</v>
      </c>
      <c r="H461" s="675"/>
      <c r="I461" s="24">
        <f t="shared" si="78"/>
        <v>1</v>
      </c>
      <c r="J461" s="675"/>
      <c r="K461" s="24">
        <f t="shared" si="79"/>
        <v>1</v>
      </c>
      <c r="L461" s="675"/>
      <c r="M461" s="24">
        <f t="shared" si="80"/>
        <v>1</v>
      </c>
      <c r="N461" s="675"/>
      <c r="O461" s="24">
        <f t="shared" si="81"/>
        <v>1</v>
      </c>
      <c r="P461" s="675"/>
      <c r="Q461" s="24">
        <f t="shared" si="82"/>
        <v>0</v>
      </c>
      <c r="R461" s="671">
        <f t="shared" si="83"/>
        <v>0</v>
      </c>
      <c r="S461" s="322">
        <f t="shared" si="84"/>
        <v>0</v>
      </c>
    </row>
    <row r="462" spans="1:19">
      <c r="A462" s="155"/>
      <c r="B462" s="57"/>
      <c r="C462" s="24">
        <f t="shared" si="75"/>
        <v>1</v>
      </c>
      <c r="D462" s="675"/>
      <c r="E462" s="24">
        <f t="shared" si="76"/>
        <v>1</v>
      </c>
      <c r="F462" s="675"/>
      <c r="G462" s="24">
        <f t="shared" si="77"/>
        <v>1</v>
      </c>
      <c r="H462" s="675"/>
      <c r="I462" s="24">
        <f t="shared" si="78"/>
        <v>1</v>
      </c>
      <c r="J462" s="675"/>
      <c r="K462" s="24">
        <f t="shared" si="79"/>
        <v>1</v>
      </c>
      <c r="L462" s="675"/>
      <c r="M462" s="24">
        <f t="shared" si="80"/>
        <v>1</v>
      </c>
      <c r="N462" s="675"/>
      <c r="O462" s="24">
        <f t="shared" si="81"/>
        <v>1</v>
      </c>
      <c r="P462" s="675"/>
      <c r="Q462" s="24">
        <f t="shared" si="82"/>
        <v>0</v>
      </c>
      <c r="R462" s="671">
        <f t="shared" si="83"/>
        <v>0</v>
      </c>
      <c r="S462" s="322">
        <f t="shared" si="84"/>
        <v>0</v>
      </c>
    </row>
    <row r="463" spans="1:19">
      <c r="A463" s="155"/>
      <c r="B463" s="57"/>
      <c r="C463" s="24">
        <f t="shared" si="75"/>
        <v>1</v>
      </c>
      <c r="D463" s="675"/>
      <c r="E463" s="24">
        <f t="shared" si="76"/>
        <v>1</v>
      </c>
      <c r="F463" s="675"/>
      <c r="G463" s="24">
        <f t="shared" si="77"/>
        <v>1</v>
      </c>
      <c r="H463" s="675"/>
      <c r="I463" s="24">
        <f t="shared" si="78"/>
        <v>1</v>
      </c>
      <c r="J463" s="675"/>
      <c r="K463" s="24">
        <f t="shared" si="79"/>
        <v>1</v>
      </c>
      <c r="L463" s="675"/>
      <c r="M463" s="24">
        <f t="shared" si="80"/>
        <v>1</v>
      </c>
      <c r="N463" s="675"/>
      <c r="O463" s="24">
        <f t="shared" si="81"/>
        <v>1</v>
      </c>
      <c r="P463" s="675"/>
      <c r="Q463" s="24">
        <f t="shared" si="82"/>
        <v>0</v>
      </c>
      <c r="R463" s="671">
        <f t="shared" si="83"/>
        <v>0</v>
      </c>
      <c r="S463" s="322">
        <f t="shared" si="84"/>
        <v>0</v>
      </c>
    </row>
    <row r="464" spans="1:19">
      <c r="A464" s="155"/>
      <c r="B464" s="57"/>
      <c r="C464" s="24">
        <f t="shared" si="75"/>
        <v>1</v>
      </c>
      <c r="D464" s="675"/>
      <c r="E464" s="24">
        <f t="shared" si="76"/>
        <v>1</v>
      </c>
      <c r="F464" s="675"/>
      <c r="G464" s="24">
        <f t="shared" si="77"/>
        <v>1</v>
      </c>
      <c r="H464" s="675"/>
      <c r="I464" s="24">
        <f t="shared" si="78"/>
        <v>1</v>
      </c>
      <c r="J464" s="675"/>
      <c r="K464" s="24">
        <f t="shared" si="79"/>
        <v>1</v>
      </c>
      <c r="L464" s="675"/>
      <c r="M464" s="24">
        <f t="shared" si="80"/>
        <v>1</v>
      </c>
      <c r="N464" s="675"/>
      <c r="O464" s="24">
        <f t="shared" si="81"/>
        <v>1</v>
      </c>
      <c r="P464" s="675"/>
      <c r="Q464" s="24">
        <f t="shared" si="82"/>
        <v>0</v>
      </c>
      <c r="R464" s="671">
        <f t="shared" si="83"/>
        <v>0</v>
      </c>
      <c r="S464" s="322">
        <f t="shared" si="84"/>
        <v>0</v>
      </c>
    </row>
    <row r="465" spans="1:19">
      <c r="A465" s="155"/>
      <c r="B465" s="57"/>
      <c r="C465" s="24">
        <f t="shared" si="75"/>
        <v>1</v>
      </c>
      <c r="D465" s="675"/>
      <c r="E465" s="24">
        <f t="shared" si="76"/>
        <v>1</v>
      </c>
      <c r="F465" s="675"/>
      <c r="G465" s="24">
        <f t="shared" si="77"/>
        <v>1</v>
      </c>
      <c r="H465" s="675"/>
      <c r="I465" s="24">
        <f t="shared" si="78"/>
        <v>1</v>
      </c>
      <c r="J465" s="675"/>
      <c r="K465" s="24">
        <f t="shared" si="79"/>
        <v>1</v>
      </c>
      <c r="L465" s="675"/>
      <c r="M465" s="24">
        <f t="shared" si="80"/>
        <v>1</v>
      </c>
      <c r="N465" s="675"/>
      <c r="O465" s="24">
        <f t="shared" si="81"/>
        <v>1</v>
      </c>
      <c r="P465" s="675"/>
      <c r="Q465" s="24">
        <f t="shared" si="82"/>
        <v>0</v>
      </c>
      <c r="R465" s="671">
        <f t="shared" si="83"/>
        <v>0</v>
      </c>
      <c r="S465" s="322">
        <f t="shared" si="84"/>
        <v>0</v>
      </c>
    </row>
    <row r="466" spans="1:19">
      <c r="A466" s="155"/>
      <c r="B466" s="57"/>
      <c r="C466" s="24">
        <f t="shared" si="75"/>
        <v>1</v>
      </c>
      <c r="D466" s="675"/>
      <c r="E466" s="24">
        <f t="shared" si="76"/>
        <v>1</v>
      </c>
      <c r="F466" s="675"/>
      <c r="G466" s="24">
        <f t="shared" si="77"/>
        <v>1</v>
      </c>
      <c r="H466" s="675"/>
      <c r="I466" s="24">
        <f t="shared" si="78"/>
        <v>1</v>
      </c>
      <c r="J466" s="675"/>
      <c r="K466" s="24">
        <f t="shared" si="79"/>
        <v>1</v>
      </c>
      <c r="L466" s="675"/>
      <c r="M466" s="24">
        <f t="shared" si="80"/>
        <v>1</v>
      </c>
      <c r="N466" s="675"/>
      <c r="O466" s="24">
        <f t="shared" si="81"/>
        <v>1</v>
      </c>
      <c r="P466" s="675"/>
      <c r="Q466" s="24">
        <f t="shared" si="82"/>
        <v>0</v>
      </c>
      <c r="R466" s="671">
        <f t="shared" si="83"/>
        <v>0</v>
      </c>
      <c r="S466" s="322">
        <f t="shared" si="84"/>
        <v>0</v>
      </c>
    </row>
    <row r="467" spans="1:19">
      <c r="A467" s="155"/>
      <c r="B467" s="57"/>
      <c r="C467" s="24">
        <f t="shared" si="75"/>
        <v>1</v>
      </c>
      <c r="D467" s="675"/>
      <c r="E467" s="24">
        <f t="shared" si="76"/>
        <v>1</v>
      </c>
      <c r="F467" s="675"/>
      <c r="G467" s="24">
        <f t="shared" si="77"/>
        <v>1</v>
      </c>
      <c r="H467" s="675"/>
      <c r="I467" s="24">
        <f t="shared" si="78"/>
        <v>1</v>
      </c>
      <c r="J467" s="675"/>
      <c r="K467" s="24">
        <f t="shared" si="79"/>
        <v>1</v>
      </c>
      <c r="L467" s="675"/>
      <c r="M467" s="24">
        <f t="shared" si="80"/>
        <v>1</v>
      </c>
      <c r="N467" s="675"/>
      <c r="O467" s="24">
        <f t="shared" si="81"/>
        <v>1</v>
      </c>
      <c r="P467" s="675"/>
      <c r="Q467" s="24">
        <f t="shared" si="82"/>
        <v>0</v>
      </c>
      <c r="R467" s="671">
        <f t="shared" si="83"/>
        <v>0</v>
      </c>
      <c r="S467" s="322">
        <f t="shared" si="84"/>
        <v>0</v>
      </c>
    </row>
    <row r="468" spans="1:19">
      <c r="A468" s="155"/>
      <c r="B468" s="57"/>
      <c r="C468" s="24">
        <f t="shared" si="75"/>
        <v>1</v>
      </c>
      <c r="D468" s="675"/>
      <c r="E468" s="24">
        <f t="shared" si="76"/>
        <v>1</v>
      </c>
      <c r="F468" s="675"/>
      <c r="G468" s="24">
        <f t="shared" si="77"/>
        <v>1</v>
      </c>
      <c r="H468" s="675"/>
      <c r="I468" s="24">
        <f t="shared" si="78"/>
        <v>1</v>
      </c>
      <c r="J468" s="675"/>
      <c r="K468" s="24">
        <f t="shared" si="79"/>
        <v>1</v>
      </c>
      <c r="L468" s="675"/>
      <c r="M468" s="24">
        <f t="shared" si="80"/>
        <v>1</v>
      </c>
      <c r="N468" s="675"/>
      <c r="O468" s="24">
        <f t="shared" si="81"/>
        <v>1</v>
      </c>
      <c r="P468" s="675"/>
      <c r="Q468" s="24">
        <f t="shared" si="82"/>
        <v>0</v>
      </c>
      <c r="R468" s="671">
        <f t="shared" si="83"/>
        <v>0</v>
      </c>
      <c r="S468" s="322">
        <f t="shared" ref="S468:S497" si="85">ROUND(R468*B468/10000,0)</f>
        <v>0</v>
      </c>
    </row>
    <row r="469" spans="1:19">
      <c r="A469" s="155"/>
      <c r="B469" s="57"/>
      <c r="C469" s="24">
        <f t="shared" si="75"/>
        <v>1</v>
      </c>
      <c r="D469" s="675"/>
      <c r="E469" s="24">
        <f t="shared" si="76"/>
        <v>1</v>
      </c>
      <c r="F469" s="675"/>
      <c r="G469" s="24">
        <f t="shared" si="77"/>
        <v>1</v>
      </c>
      <c r="H469" s="675"/>
      <c r="I469" s="24">
        <f t="shared" si="78"/>
        <v>1</v>
      </c>
      <c r="J469" s="675"/>
      <c r="K469" s="24">
        <f t="shared" si="79"/>
        <v>1</v>
      </c>
      <c r="L469" s="675"/>
      <c r="M469" s="24">
        <f t="shared" si="80"/>
        <v>1</v>
      </c>
      <c r="N469" s="675"/>
      <c r="O469" s="24">
        <f t="shared" si="81"/>
        <v>1</v>
      </c>
      <c r="P469" s="675"/>
      <c r="Q469" s="24">
        <f t="shared" si="82"/>
        <v>0</v>
      </c>
      <c r="R469" s="671">
        <f t="shared" si="83"/>
        <v>0</v>
      </c>
      <c r="S469" s="322">
        <f t="shared" si="85"/>
        <v>0</v>
      </c>
    </row>
    <row r="470" spans="1:19">
      <c r="A470" s="155"/>
      <c r="B470" s="57"/>
      <c r="C470" s="24">
        <f t="shared" si="75"/>
        <v>1</v>
      </c>
      <c r="D470" s="675"/>
      <c r="E470" s="24">
        <f t="shared" si="76"/>
        <v>1</v>
      </c>
      <c r="F470" s="675"/>
      <c r="G470" s="24">
        <f t="shared" si="77"/>
        <v>1</v>
      </c>
      <c r="H470" s="675"/>
      <c r="I470" s="24">
        <f t="shared" si="78"/>
        <v>1</v>
      </c>
      <c r="J470" s="675"/>
      <c r="K470" s="24">
        <f t="shared" si="79"/>
        <v>1</v>
      </c>
      <c r="L470" s="675"/>
      <c r="M470" s="24">
        <f t="shared" si="80"/>
        <v>1</v>
      </c>
      <c r="N470" s="675"/>
      <c r="O470" s="24">
        <f t="shared" si="81"/>
        <v>1</v>
      </c>
      <c r="P470" s="675"/>
      <c r="Q470" s="24">
        <f t="shared" si="82"/>
        <v>0</v>
      </c>
      <c r="R470" s="671">
        <f t="shared" si="83"/>
        <v>0</v>
      </c>
      <c r="S470" s="322">
        <f t="shared" si="85"/>
        <v>0</v>
      </c>
    </row>
    <row r="471" spans="1:19">
      <c r="A471" s="155"/>
      <c r="B471" s="57"/>
      <c r="C471" s="24">
        <f t="shared" si="75"/>
        <v>1</v>
      </c>
      <c r="D471" s="675"/>
      <c r="E471" s="24">
        <f t="shared" si="76"/>
        <v>1</v>
      </c>
      <c r="F471" s="675"/>
      <c r="G471" s="24">
        <f t="shared" si="77"/>
        <v>1</v>
      </c>
      <c r="H471" s="675"/>
      <c r="I471" s="24">
        <f t="shared" si="78"/>
        <v>1</v>
      </c>
      <c r="J471" s="675"/>
      <c r="K471" s="24">
        <f t="shared" si="79"/>
        <v>1</v>
      </c>
      <c r="L471" s="675"/>
      <c r="M471" s="24">
        <f t="shared" si="80"/>
        <v>1</v>
      </c>
      <c r="N471" s="675"/>
      <c r="O471" s="24">
        <f t="shared" si="81"/>
        <v>1</v>
      </c>
      <c r="P471" s="675"/>
      <c r="Q471" s="24">
        <f t="shared" si="82"/>
        <v>0</v>
      </c>
      <c r="R471" s="671">
        <f t="shared" si="83"/>
        <v>0</v>
      </c>
      <c r="S471" s="322">
        <f t="shared" si="85"/>
        <v>0</v>
      </c>
    </row>
    <row r="472" spans="1:19">
      <c r="A472" s="155"/>
      <c r="B472" s="57"/>
      <c r="C472" s="24">
        <f t="shared" si="75"/>
        <v>1</v>
      </c>
      <c r="D472" s="675"/>
      <c r="E472" s="24">
        <f t="shared" si="76"/>
        <v>1</v>
      </c>
      <c r="F472" s="675"/>
      <c r="G472" s="24">
        <f t="shared" si="77"/>
        <v>1</v>
      </c>
      <c r="H472" s="675"/>
      <c r="I472" s="24">
        <f t="shared" si="78"/>
        <v>1</v>
      </c>
      <c r="J472" s="675"/>
      <c r="K472" s="24">
        <f t="shared" si="79"/>
        <v>1</v>
      </c>
      <c r="L472" s="675"/>
      <c r="M472" s="24">
        <f t="shared" si="80"/>
        <v>1</v>
      </c>
      <c r="N472" s="675"/>
      <c r="O472" s="24">
        <f t="shared" si="81"/>
        <v>1</v>
      </c>
      <c r="P472" s="675"/>
      <c r="Q472" s="24">
        <f t="shared" si="82"/>
        <v>0</v>
      </c>
      <c r="R472" s="671">
        <f t="shared" si="83"/>
        <v>0</v>
      </c>
      <c r="S472" s="322">
        <f t="shared" si="85"/>
        <v>0</v>
      </c>
    </row>
    <row r="473" spans="1:19">
      <c r="A473" s="155"/>
      <c r="B473" s="57"/>
      <c r="C473" s="24">
        <f t="shared" si="75"/>
        <v>1</v>
      </c>
      <c r="D473" s="675"/>
      <c r="E473" s="24">
        <f t="shared" si="76"/>
        <v>1</v>
      </c>
      <c r="F473" s="675"/>
      <c r="G473" s="24">
        <f t="shared" si="77"/>
        <v>1</v>
      </c>
      <c r="H473" s="675"/>
      <c r="I473" s="24">
        <f t="shared" si="78"/>
        <v>1</v>
      </c>
      <c r="J473" s="675"/>
      <c r="K473" s="24">
        <f t="shared" si="79"/>
        <v>1</v>
      </c>
      <c r="L473" s="675"/>
      <c r="M473" s="24">
        <f t="shared" si="80"/>
        <v>1</v>
      </c>
      <c r="N473" s="675"/>
      <c r="O473" s="24">
        <f t="shared" si="81"/>
        <v>1</v>
      </c>
      <c r="P473" s="675"/>
      <c r="Q473" s="24">
        <f t="shared" si="82"/>
        <v>0</v>
      </c>
      <c r="R473" s="671">
        <f t="shared" si="83"/>
        <v>0</v>
      </c>
      <c r="S473" s="322">
        <f t="shared" si="85"/>
        <v>0</v>
      </c>
    </row>
    <row r="474" spans="1:19">
      <c r="A474" s="155"/>
      <c r="B474" s="57"/>
      <c r="C474" s="24">
        <f t="shared" ref="C474:C524" si="86">IF(B474="",1,(LOOKUP(B474,$3:$3,$4:$4)-LOOKUP($B$24,$3:$3,$4:$4)+100)/100)</f>
        <v>1</v>
      </c>
      <c r="D474" s="675"/>
      <c r="E474" s="24">
        <f t="shared" ref="E474:E524" si="87">(SUMIF($5:$5,D474,$6:$6)-SUMIF($5:$5,$D$24,$6:$6)+100)/100</f>
        <v>1</v>
      </c>
      <c r="F474" s="675"/>
      <c r="G474" s="24">
        <f t="shared" ref="G474:G524" si="88">(SUMIF($7:$7,F474,$8:$8)-SUMIF($7:$7,$F$24,$8:$8)+100)/100</f>
        <v>1</v>
      </c>
      <c r="H474" s="675"/>
      <c r="I474" s="24">
        <f t="shared" ref="I474:I524" si="89">(SUMIF($9:$9,H474,$10:$10)-SUMIF($9:$9,$H$24,$10:$10)+100)/100</f>
        <v>1</v>
      </c>
      <c r="J474" s="675"/>
      <c r="K474" s="24">
        <f t="shared" ref="K474:K524" si="90">(SUMIF($11:$11,J474,$12:$12)-SUMIF($11:$11,$J$24,$12:$12)+100)/100</f>
        <v>1</v>
      </c>
      <c r="L474" s="675"/>
      <c r="M474" s="24">
        <f t="shared" ref="M474:M524" si="91">(SUMIF($13:$13,L474,$14:$14)-SUMIF($13:$13,$L$24,$14:$14)+100)/100</f>
        <v>1</v>
      </c>
      <c r="N474" s="675"/>
      <c r="O474" s="24">
        <f t="shared" ref="O474:O524" si="92">(SUMIF($15:$15,N474,$16:$16)-SUMIF($15:$15,$N$24,$16:$16)+100)/100</f>
        <v>1</v>
      </c>
      <c r="P474" s="675"/>
      <c r="Q474" s="24">
        <f t="shared" ref="Q474:Q524" si="93">(SUMIF($17:$17,P474,$18:$18)-SUMIF($17:$17,$P$24,$18:$18)+100)/100</f>
        <v>0</v>
      </c>
      <c r="R474" s="671">
        <f t="shared" ref="R474:R524" si="94">IF(B474="",0,ROUND($R$24*C474*E474*G474*I474*K474*M474*O474*Q474,0))</f>
        <v>0</v>
      </c>
      <c r="S474" s="322">
        <f t="shared" si="85"/>
        <v>0</v>
      </c>
    </row>
    <row r="475" spans="1:19">
      <c r="A475" s="155"/>
      <c r="B475" s="57"/>
      <c r="C475" s="24">
        <f t="shared" si="86"/>
        <v>1</v>
      </c>
      <c r="D475" s="675"/>
      <c r="E475" s="24">
        <f t="shared" si="87"/>
        <v>1</v>
      </c>
      <c r="F475" s="675"/>
      <c r="G475" s="24">
        <f t="shared" si="88"/>
        <v>1</v>
      </c>
      <c r="H475" s="675"/>
      <c r="I475" s="24">
        <f t="shared" si="89"/>
        <v>1</v>
      </c>
      <c r="J475" s="675"/>
      <c r="K475" s="24">
        <f t="shared" si="90"/>
        <v>1</v>
      </c>
      <c r="L475" s="675"/>
      <c r="M475" s="24">
        <f t="shared" si="91"/>
        <v>1</v>
      </c>
      <c r="N475" s="675"/>
      <c r="O475" s="24">
        <f t="shared" si="92"/>
        <v>1</v>
      </c>
      <c r="P475" s="675"/>
      <c r="Q475" s="24">
        <f t="shared" si="93"/>
        <v>0</v>
      </c>
      <c r="R475" s="671">
        <f t="shared" si="94"/>
        <v>0</v>
      </c>
      <c r="S475" s="322">
        <f t="shared" si="85"/>
        <v>0</v>
      </c>
    </row>
    <row r="476" spans="1:19">
      <c r="A476" s="155"/>
      <c r="B476" s="57"/>
      <c r="C476" s="24">
        <f t="shared" si="86"/>
        <v>1</v>
      </c>
      <c r="D476" s="675"/>
      <c r="E476" s="24">
        <f t="shared" si="87"/>
        <v>1</v>
      </c>
      <c r="F476" s="675"/>
      <c r="G476" s="24">
        <f t="shared" si="88"/>
        <v>1</v>
      </c>
      <c r="H476" s="675"/>
      <c r="I476" s="24">
        <f t="shared" si="89"/>
        <v>1</v>
      </c>
      <c r="J476" s="675"/>
      <c r="K476" s="24">
        <f t="shared" si="90"/>
        <v>1</v>
      </c>
      <c r="L476" s="675"/>
      <c r="M476" s="24">
        <f t="shared" si="91"/>
        <v>1</v>
      </c>
      <c r="N476" s="675"/>
      <c r="O476" s="24">
        <f t="shared" si="92"/>
        <v>1</v>
      </c>
      <c r="P476" s="675"/>
      <c r="Q476" s="24">
        <f t="shared" si="93"/>
        <v>0</v>
      </c>
      <c r="R476" s="671">
        <f t="shared" si="94"/>
        <v>0</v>
      </c>
      <c r="S476" s="322">
        <f t="shared" si="85"/>
        <v>0</v>
      </c>
    </row>
    <row r="477" spans="1:19">
      <c r="A477" s="155"/>
      <c r="B477" s="57"/>
      <c r="C477" s="24">
        <f t="shared" si="86"/>
        <v>1</v>
      </c>
      <c r="D477" s="675"/>
      <c r="E477" s="24">
        <f t="shared" si="87"/>
        <v>1</v>
      </c>
      <c r="F477" s="675"/>
      <c r="G477" s="24">
        <f t="shared" si="88"/>
        <v>1</v>
      </c>
      <c r="H477" s="675"/>
      <c r="I477" s="24">
        <f t="shared" si="89"/>
        <v>1</v>
      </c>
      <c r="J477" s="675"/>
      <c r="K477" s="24">
        <f t="shared" si="90"/>
        <v>1</v>
      </c>
      <c r="L477" s="675"/>
      <c r="M477" s="24">
        <f t="shared" si="91"/>
        <v>1</v>
      </c>
      <c r="N477" s="675"/>
      <c r="O477" s="24">
        <f t="shared" si="92"/>
        <v>1</v>
      </c>
      <c r="P477" s="675"/>
      <c r="Q477" s="24">
        <f t="shared" si="93"/>
        <v>0</v>
      </c>
      <c r="R477" s="671">
        <f t="shared" si="94"/>
        <v>0</v>
      </c>
      <c r="S477" s="322">
        <f t="shared" si="85"/>
        <v>0</v>
      </c>
    </row>
    <row r="478" spans="1:19">
      <c r="A478" s="155"/>
      <c r="B478" s="57"/>
      <c r="C478" s="24">
        <f t="shared" si="86"/>
        <v>1</v>
      </c>
      <c r="D478" s="675"/>
      <c r="E478" s="24">
        <f t="shared" si="87"/>
        <v>1</v>
      </c>
      <c r="F478" s="675"/>
      <c r="G478" s="24">
        <f t="shared" si="88"/>
        <v>1</v>
      </c>
      <c r="H478" s="675"/>
      <c r="I478" s="24">
        <f t="shared" si="89"/>
        <v>1</v>
      </c>
      <c r="J478" s="675"/>
      <c r="K478" s="24">
        <f t="shared" si="90"/>
        <v>1</v>
      </c>
      <c r="L478" s="675"/>
      <c r="M478" s="24">
        <f t="shared" si="91"/>
        <v>1</v>
      </c>
      <c r="N478" s="675"/>
      <c r="O478" s="24">
        <f t="shared" si="92"/>
        <v>1</v>
      </c>
      <c r="P478" s="675"/>
      <c r="Q478" s="24">
        <f t="shared" si="93"/>
        <v>0</v>
      </c>
      <c r="R478" s="671">
        <f t="shared" si="94"/>
        <v>0</v>
      </c>
      <c r="S478" s="322">
        <f t="shared" si="85"/>
        <v>0</v>
      </c>
    </row>
    <row r="479" spans="1:19">
      <c r="A479" s="155"/>
      <c r="B479" s="57"/>
      <c r="C479" s="24">
        <f t="shared" si="86"/>
        <v>1</v>
      </c>
      <c r="D479" s="675"/>
      <c r="E479" s="24">
        <f t="shared" si="87"/>
        <v>1</v>
      </c>
      <c r="F479" s="675"/>
      <c r="G479" s="24">
        <f t="shared" si="88"/>
        <v>1</v>
      </c>
      <c r="H479" s="675"/>
      <c r="I479" s="24">
        <f t="shared" si="89"/>
        <v>1</v>
      </c>
      <c r="J479" s="675"/>
      <c r="K479" s="24">
        <f t="shared" si="90"/>
        <v>1</v>
      </c>
      <c r="L479" s="675"/>
      <c r="M479" s="24">
        <f t="shared" si="91"/>
        <v>1</v>
      </c>
      <c r="N479" s="675"/>
      <c r="O479" s="24">
        <f t="shared" si="92"/>
        <v>1</v>
      </c>
      <c r="P479" s="675"/>
      <c r="Q479" s="24">
        <f t="shared" si="93"/>
        <v>0</v>
      </c>
      <c r="R479" s="671">
        <f t="shared" si="94"/>
        <v>0</v>
      </c>
      <c r="S479" s="322">
        <f t="shared" si="85"/>
        <v>0</v>
      </c>
    </row>
    <row r="480" spans="1:19">
      <c r="A480" s="155"/>
      <c r="B480" s="57"/>
      <c r="C480" s="24">
        <f t="shared" si="86"/>
        <v>1</v>
      </c>
      <c r="D480" s="675"/>
      <c r="E480" s="24">
        <f t="shared" si="87"/>
        <v>1</v>
      </c>
      <c r="F480" s="675"/>
      <c r="G480" s="24">
        <f t="shared" si="88"/>
        <v>1</v>
      </c>
      <c r="H480" s="675"/>
      <c r="I480" s="24">
        <f t="shared" si="89"/>
        <v>1</v>
      </c>
      <c r="J480" s="675"/>
      <c r="K480" s="24">
        <f t="shared" si="90"/>
        <v>1</v>
      </c>
      <c r="L480" s="675"/>
      <c r="M480" s="24">
        <f t="shared" si="91"/>
        <v>1</v>
      </c>
      <c r="N480" s="675"/>
      <c r="O480" s="24">
        <f t="shared" si="92"/>
        <v>1</v>
      </c>
      <c r="P480" s="675"/>
      <c r="Q480" s="24">
        <f t="shared" si="93"/>
        <v>0</v>
      </c>
      <c r="R480" s="671">
        <f t="shared" si="94"/>
        <v>0</v>
      </c>
      <c r="S480" s="322">
        <f t="shared" si="85"/>
        <v>0</v>
      </c>
    </row>
    <row r="481" spans="1:19">
      <c r="A481" s="155"/>
      <c r="B481" s="57"/>
      <c r="C481" s="24">
        <f t="shared" si="86"/>
        <v>1</v>
      </c>
      <c r="D481" s="675"/>
      <c r="E481" s="24">
        <f t="shared" si="87"/>
        <v>1</v>
      </c>
      <c r="F481" s="675"/>
      <c r="G481" s="24">
        <f t="shared" si="88"/>
        <v>1</v>
      </c>
      <c r="H481" s="675"/>
      <c r="I481" s="24">
        <f t="shared" si="89"/>
        <v>1</v>
      </c>
      <c r="J481" s="675"/>
      <c r="K481" s="24">
        <f t="shared" si="90"/>
        <v>1</v>
      </c>
      <c r="L481" s="675"/>
      <c r="M481" s="24">
        <f t="shared" si="91"/>
        <v>1</v>
      </c>
      <c r="N481" s="675"/>
      <c r="O481" s="24">
        <f t="shared" si="92"/>
        <v>1</v>
      </c>
      <c r="P481" s="675"/>
      <c r="Q481" s="24">
        <f t="shared" si="93"/>
        <v>0</v>
      </c>
      <c r="R481" s="671">
        <f t="shared" si="94"/>
        <v>0</v>
      </c>
      <c r="S481" s="322">
        <f t="shared" si="85"/>
        <v>0</v>
      </c>
    </row>
    <row r="482" spans="1:19">
      <c r="A482" s="155"/>
      <c r="B482" s="57"/>
      <c r="C482" s="24">
        <f t="shared" si="86"/>
        <v>1</v>
      </c>
      <c r="D482" s="675"/>
      <c r="E482" s="24">
        <f t="shared" si="87"/>
        <v>1</v>
      </c>
      <c r="F482" s="675"/>
      <c r="G482" s="24">
        <f t="shared" si="88"/>
        <v>1</v>
      </c>
      <c r="H482" s="675"/>
      <c r="I482" s="24">
        <f t="shared" si="89"/>
        <v>1</v>
      </c>
      <c r="J482" s="675"/>
      <c r="K482" s="24">
        <f t="shared" si="90"/>
        <v>1</v>
      </c>
      <c r="L482" s="675"/>
      <c r="M482" s="24">
        <f t="shared" si="91"/>
        <v>1</v>
      </c>
      <c r="N482" s="675"/>
      <c r="O482" s="24">
        <f t="shared" si="92"/>
        <v>1</v>
      </c>
      <c r="P482" s="675"/>
      <c r="Q482" s="24">
        <f t="shared" si="93"/>
        <v>0</v>
      </c>
      <c r="R482" s="671">
        <f t="shared" si="94"/>
        <v>0</v>
      </c>
      <c r="S482" s="322">
        <f t="shared" si="85"/>
        <v>0</v>
      </c>
    </row>
    <row r="483" spans="1:19">
      <c r="A483" s="155"/>
      <c r="B483" s="57"/>
      <c r="C483" s="24">
        <f t="shared" si="86"/>
        <v>1</v>
      </c>
      <c r="D483" s="675"/>
      <c r="E483" s="24">
        <f t="shared" si="87"/>
        <v>1</v>
      </c>
      <c r="F483" s="675"/>
      <c r="G483" s="24">
        <f t="shared" si="88"/>
        <v>1</v>
      </c>
      <c r="H483" s="675"/>
      <c r="I483" s="24">
        <f t="shared" si="89"/>
        <v>1</v>
      </c>
      <c r="J483" s="675"/>
      <c r="K483" s="24">
        <f t="shared" si="90"/>
        <v>1</v>
      </c>
      <c r="L483" s="675"/>
      <c r="M483" s="24">
        <f t="shared" si="91"/>
        <v>1</v>
      </c>
      <c r="N483" s="675"/>
      <c r="O483" s="24">
        <f t="shared" si="92"/>
        <v>1</v>
      </c>
      <c r="P483" s="675"/>
      <c r="Q483" s="24">
        <f t="shared" si="93"/>
        <v>0</v>
      </c>
      <c r="R483" s="671">
        <f t="shared" si="94"/>
        <v>0</v>
      </c>
      <c r="S483" s="322">
        <f t="shared" si="85"/>
        <v>0</v>
      </c>
    </row>
    <row r="484" spans="1:19">
      <c r="A484" s="155"/>
      <c r="B484" s="57"/>
      <c r="C484" s="24">
        <f t="shared" si="86"/>
        <v>1</v>
      </c>
      <c r="D484" s="675"/>
      <c r="E484" s="24">
        <f t="shared" si="87"/>
        <v>1</v>
      </c>
      <c r="F484" s="675"/>
      <c r="G484" s="24">
        <f t="shared" si="88"/>
        <v>1</v>
      </c>
      <c r="H484" s="675"/>
      <c r="I484" s="24">
        <f t="shared" si="89"/>
        <v>1</v>
      </c>
      <c r="J484" s="675"/>
      <c r="K484" s="24">
        <f t="shared" si="90"/>
        <v>1</v>
      </c>
      <c r="L484" s="675"/>
      <c r="M484" s="24">
        <f t="shared" si="91"/>
        <v>1</v>
      </c>
      <c r="N484" s="675"/>
      <c r="O484" s="24">
        <f t="shared" si="92"/>
        <v>1</v>
      </c>
      <c r="P484" s="675"/>
      <c r="Q484" s="24">
        <f t="shared" si="93"/>
        <v>0</v>
      </c>
      <c r="R484" s="671">
        <f t="shared" si="94"/>
        <v>0</v>
      </c>
      <c r="S484" s="322">
        <f t="shared" si="85"/>
        <v>0</v>
      </c>
    </row>
    <row r="485" spans="1:19">
      <c r="A485" s="155"/>
      <c r="B485" s="57"/>
      <c r="C485" s="24">
        <f t="shared" si="86"/>
        <v>1</v>
      </c>
      <c r="D485" s="675"/>
      <c r="E485" s="24">
        <f t="shared" si="87"/>
        <v>1</v>
      </c>
      <c r="F485" s="675"/>
      <c r="G485" s="24">
        <f t="shared" si="88"/>
        <v>1</v>
      </c>
      <c r="H485" s="675"/>
      <c r="I485" s="24">
        <f t="shared" si="89"/>
        <v>1</v>
      </c>
      <c r="J485" s="675"/>
      <c r="K485" s="24">
        <f t="shared" si="90"/>
        <v>1</v>
      </c>
      <c r="L485" s="675"/>
      <c r="M485" s="24">
        <f t="shared" si="91"/>
        <v>1</v>
      </c>
      <c r="N485" s="675"/>
      <c r="O485" s="24">
        <f t="shared" si="92"/>
        <v>1</v>
      </c>
      <c r="P485" s="675"/>
      <c r="Q485" s="24">
        <f t="shared" si="93"/>
        <v>0</v>
      </c>
      <c r="R485" s="671">
        <f t="shared" si="94"/>
        <v>0</v>
      </c>
      <c r="S485" s="322">
        <f t="shared" si="85"/>
        <v>0</v>
      </c>
    </row>
    <row r="486" spans="1:19">
      <c r="A486" s="155"/>
      <c r="B486" s="57"/>
      <c r="C486" s="24">
        <f t="shared" si="86"/>
        <v>1</v>
      </c>
      <c r="D486" s="675"/>
      <c r="E486" s="24">
        <f t="shared" si="87"/>
        <v>1</v>
      </c>
      <c r="F486" s="675"/>
      <c r="G486" s="24">
        <f t="shared" si="88"/>
        <v>1</v>
      </c>
      <c r="H486" s="675"/>
      <c r="I486" s="24">
        <f t="shared" si="89"/>
        <v>1</v>
      </c>
      <c r="J486" s="675"/>
      <c r="K486" s="24">
        <f t="shared" si="90"/>
        <v>1</v>
      </c>
      <c r="L486" s="675"/>
      <c r="M486" s="24">
        <f t="shared" si="91"/>
        <v>1</v>
      </c>
      <c r="N486" s="675"/>
      <c r="O486" s="24">
        <f t="shared" si="92"/>
        <v>1</v>
      </c>
      <c r="P486" s="675"/>
      <c r="Q486" s="24">
        <f t="shared" si="93"/>
        <v>0</v>
      </c>
      <c r="R486" s="671">
        <f t="shared" si="94"/>
        <v>0</v>
      </c>
      <c r="S486" s="322">
        <f t="shared" si="85"/>
        <v>0</v>
      </c>
    </row>
    <row r="487" spans="1:19">
      <c r="A487" s="155"/>
      <c r="B487" s="57"/>
      <c r="C487" s="24">
        <f t="shared" si="86"/>
        <v>1</v>
      </c>
      <c r="D487" s="675"/>
      <c r="E487" s="24">
        <f t="shared" si="87"/>
        <v>1</v>
      </c>
      <c r="F487" s="675"/>
      <c r="G487" s="24">
        <f t="shared" si="88"/>
        <v>1</v>
      </c>
      <c r="H487" s="675"/>
      <c r="I487" s="24">
        <f t="shared" si="89"/>
        <v>1</v>
      </c>
      <c r="J487" s="675"/>
      <c r="K487" s="24">
        <f t="shared" si="90"/>
        <v>1</v>
      </c>
      <c r="L487" s="675"/>
      <c r="M487" s="24">
        <f t="shared" si="91"/>
        <v>1</v>
      </c>
      <c r="N487" s="675"/>
      <c r="O487" s="24">
        <f t="shared" si="92"/>
        <v>1</v>
      </c>
      <c r="P487" s="675"/>
      <c r="Q487" s="24">
        <f t="shared" si="93"/>
        <v>0</v>
      </c>
      <c r="R487" s="671">
        <f t="shared" si="94"/>
        <v>0</v>
      </c>
      <c r="S487" s="322">
        <f t="shared" si="85"/>
        <v>0</v>
      </c>
    </row>
    <row r="488" spans="1:19">
      <c r="A488" s="155"/>
      <c r="B488" s="57"/>
      <c r="C488" s="24">
        <f t="shared" si="86"/>
        <v>1</v>
      </c>
      <c r="D488" s="675"/>
      <c r="E488" s="24">
        <f t="shared" si="87"/>
        <v>1</v>
      </c>
      <c r="F488" s="675"/>
      <c r="G488" s="24">
        <f t="shared" si="88"/>
        <v>1</v>
      </c>
      <c r="H488" s="675"/>
      <c r="I488" s="24">
        <f t="shared" si="89"/>
        <v>1</v>
      </c>
      <c r="J488" s="675"/>
      <c r="K488" s="24">
        <f t="shared" si="90"/>
        <v>1</v>
      </c>
      <c r="L488" s="675"/>
      <c r="M488" s="24">
        <f t="shared" si="91"/>
        <v>1</v>
      </c>
      <c r="N488" s="675"/>
      <c r="O488" s="24">
        <f t="shared" si="92"/>
        <v>1</v>
      </c>
      <c r="P488" s="675"/>
      <c r="Q488" s="24">
        <f t="shared" si="93"/>
        <v>0</v>
      </c>
      <c r="R488" s="671">
        <f t="shared" si="94"/>
        <v>0</v>
      </c>
      <c r="S488" s="322">
        <f t="shared" si="85"/>
        <v>0</v>
      </c>
    </row>
    <row r="489" spans="1:19">
      <c r="A489" s="155"/>
      <c r="B489" s="57"/>
      <c r="C489" s="24">
        <f t="shared" si="86"/>
        <v>1</v>
      </c>
      <c r="D489" s="675"/>
      <c r="E489" s="24">
        <f t="shared" si="87"/>
        <v>1</v>
      </c>
      <c r="F489" s="675"/>
      <c r="G489" s="24">
        <f t="shared" si="88"/>
        <v>1</v>
      </c>
      <c r="H489" s="675"/>
      <c r="I489" s="24">
        <f t="shared" si="89"/>
        <v>1</v>
      </c>
      <c r="J489" s="675"/>
      <c r="K489" s="24">
        <f t="shared" si="90"/>
        <v>1</v>
      </c>
      <c r="L489" s="675"/>
      <c r="M489" s="24">
        <f t="shared" si="91"/>
        <v>1</v>
      </c>
      <c r="N489" s="675"/>
      <c r="O489" s="24">
        <f t="shared" si="92"/>
        <v>1</v>
      </c>
      <c r="P489" s="675"/>
      <c r="Q489" s="24">
        <f t="shared" si="93"/>
        <v>0</v>
      </c>
      <c r="R489" s="671">
        <f t="shared" si="94"/>
        <v>0</v>
      </c>
      <c r="S489" s="322">
        <f t="shared" si="85"/>
        <v>0</v>
      </c>
    </row>
    <row r="490" spans="1:19">
      <c r="A490" s="155"/>
      <c r="B490" s="57"/>
      <c r="C490" s="24">
        <f t="shared" si="86"/>
        <v>1</v>
      </c>
      <c r="D490" s="675"/>
      <c r="E490" s="24">
        <f t="shared" si="87"/>
        <v>1</v>
      </c>
      <c r="F490" s="675"/>
      <c r="G490" s="24">
        <f t="shared" si="88"/>
        <v>1</v>
      </c>
      <c r="H490" s="675"/>
      <c r="I490" s="24">
        <f t="shared" si="89"/>
        <v>1</v>
      </c>
      <c r="J490" s="675"/>
      <c r="K490" s="24">
        <f t="shared" si="90"/>
        <v>1</v>
      </c>
      <c r="L490" s="675"/>
      <c r="M490" s="24">
        <f t="shared" si="91"/>
        <v>1</v>
      </c>
      <c r="N490" s="675"/>
      <c r="O490" s="24">
        <f t="shared" si="92"/>
        <v>1</v>
      </c>
      <c r="P490" s="675"/>
      <c r="Q490" s="24">
        <f t="shared" si="93"/>
        <v>0</v>
      </c>
      <c r="R490" s="671">
        <f t="shared" si="94"/>
        <v>0</v>
      </c>
      <c r="S490" s="322">
        <f t="shared" si="85"/>
        <v>0</v>
      </c>
    </row>
    <row r="491" spans="1:19">
      <c r="A491" s="155"/>
      <c r="B491" s="57"/>
      <c r="C491" s="24">
        <f t="shared" si="86"/>
        <v>1</v>
      </c>
      <c r="D491" s="675"/>
      <c r="E491" s="24">
        <f t="shared" si="87"/>
        <v>1</v>
      </c>
      <c r="F491" s="675"/>
      <c r="G491" s="24">
        <f t="shared" si="88"/>
        <v>1</v>
      </c>
      <c r="H491" s="675"/>
      <c r="I491" s="24">
        <f t="shared" si="89"/>
        <v>1</v>
      </c>
      <c r="J491" s="675"/>
      <c r="K491" s="24">
        <f t="shared" si="90"/>
        <v>1</v>
      </c>
      <c r="L491" s="675"/>
      <c r="M491" s="24">
        <f t="shared" si="91"/>
        <v>1</v>
      </c>
      <c r="N491" s="675"/>
      <c r="O491" s="24">
        <f t="shared" si="92"/>
        <v>1</v>
      </c>
      <c r="P491" s="675"/>
      <c r="Q491" s="24">
        <f t="shared" si="93"/>
        <v>0</v>
      </c>
      <c r="R491" s="671">
        <f t="shared" si="94"/>
        <v>0</v>
      </c>
      <c r="S491" s="322">
        <f t="shared" si="85"/>
        <v>0</v>
      </c>
    </row>
    <row r="492" spans="1:19">
      <c r="A492" s="155"/>
      <c r="B492" s="57"/>
      <c r="C492" s="24">
        <f t="shared" si="86"/>
        <v>1</v>
      </c>
      <c r="D492" s="675"/>
      <c r="E492" s="24">
        <f t="shared" si="87"/>
        <v>1</v>
      </c>
      <c r="F492" s="675"/>
      <c r="G492" s="24">
        <f t="shared" si="88"/>
        <v>1</v>
      </c>
      <c r="H492" s="675"/>
      <c r="I492" s="24">
        <f t="shared" si="89"/>
        <v>1</v>
      </c>
      <c r="J492" s="675"/>
      <c r="K492" s="24">
        <f t="shared" si="90"/>
        <v>1</v>
      </c>
      <c r="L492" s="675"/>
      <c r="M492" s="24">
        <f t="shared" si="91"/>
        <v>1</v>
      </c>
      <c r="N492" s="675"/>
      <c r="O492" s="24">
        <f t="shared" si="92"/>
        <v>1</v>
      </c>
      <c r="P492" s="675"/>
      <c r="Q492" s="24">
        <f t="shared" si="93"/>
        <v>0</v>
      </c>
      <c r="R492" s="671">
        <f t="shared" si="94"/>
        <v>0</v>
      </c>
      <c r="S492" s="322">
        <f t="shared" si="85"/>
        <v>0</v>
      </c>
    </row>
    <row r="493" spans="1:19">
      <c r="A493" s="155"/>
      <c r="B493" s="57"/>
      <c r="C493" s="24">
        <f t="shared" si="86"/>
        <v>1</v>
      </c>
      <c r="D493" s="675"/>
      <c r="E493" s="24">
        <f t="shared" si="87"/>
        <v>1</v>
      </c>
      <c r="F493" s="675"/>
      <c r="G493" s="24">
        <f t="shared" si="88"/>
        <v>1</v>
      </c>
      <c r="H493" s="675"/>
      <c r="I493" s="24">
        <f t="shared" si="89"/>
        <v>1</v>
      </c>
      <c r="J493" s="675"/>
      <c r="K493" s="24">
        <f t="shared" si="90"/>
        <v>1</v>
      </c>
      <c r="L493" s="675"/>
      <c r="M493" s="24">
        <f t="shared" si="91"/>
        <v>1</v>
      </c>
      <c r="N493" s="675"/>
      <c r="O493" s="24">
        <f t="shared" si="92"/>
        <v>1</v>
      </c>
      <c r="P493" s="675"/>
      <c r="Q493" s="24">
        <f t="shared" si="93"/>
        <v>0</v>
      </c>
      <c r="R493" s="671">
        <f t="shared" si="94"/>
        <v>0</v>
      </c>
      <c r="S493" s="322">
        <f t="shared" si="85"/>
        <v>0</v>
      </c>
    </row>
    <row r="494" spans="1:19">
      <c r="A494" s="155"/>
      <c r="B494" s="57"/>
      <c r="C494" s="24">
        <f t="shared" si="86"/>
        <v>1</v>
      </c>
      <c r="D494" s="675"/>
      <c r="E494" s="24">
        <f t="shared" si="87"/>
        <v>1</v>
      </c>
      <c r="F494" s="675"/>
      <c r="G494" s="24">
        <f t="shared" si="88"/>
        <v>1</v>
      </c>
      <c r="H494" s="675"/>
      <c r="I494" s="24">
        <f t="shared" si="89"/>
        <v>1</v>
      </c>
      <c r="J494" s="675"/>
      <c r="K494" s="24">
        <f t="shared" si="90"/>
        <v>1</v>
      </c>
      <c r="L494" s="675"/>
      <c r="M494" s="24">
        <f t="shared" si="91"/>
        <v>1</v>
      </c>
      <c r="N494" s="675"/>
      <c r="O494" s="24">
        <f t="shared" si="92"/>
        <v>1</v>
      </c>
      <c r="P494" s="675"/>
      <c r="Q494" s="24">
        <f t="shared" si="93"/>
        <v>0</v>
      </c>
      <c r="R494" s="671">
        <f t="shared" si="94"/>
        <v>0</v>
      </c>
      <c r="S494" s="322">
        <f t="shared" si="85"/>
        <v>0</v>
      </c>
    </row>
    <row r="495" spans="1:19">
      <c r="A495" s="155"/>
      <c r="B495" s="57"/>
      <c r="C495" s="24">
        <f t="shared" si="86"/>
        <v>1</v>
      </c>
      <c r="D495" s="675"/>
      <c r="E495" s="24">
        <f t="shared" si="87"/>
        <v>1</v>
      </c>
      <c r="F495" s="675"/>
      <c r="G495" s="24">
        <f t="shared" si="88"/>
        <v>1</v>
      </c>
      <c r="H495" s="675"/>
      <c r="I495" s="24">
        <f t="shared" si="89"/>
        <v>1</v>
      </c>
      <c r="J495" s="675"/>
      <c r="K495" s="24">
        <f t="shared" si="90"/>
        <v>1</v>
      </c>
      <c r="L495" s="675"/>
      <c r="M495" s="24">
        <f t="shared" si="91"/>
        <v>1</v>
      </c>
      <c r="N495" s="675"/>
      <c r="O495" s="24">
        <f t="shared" si="92"/>
        <v>1</v>
      </c>
      <c r="P495" s="675"/>
      <c r="Q495" s="24">
        <f t="shared" si="93"/>
        <v>0</v>
      </c>
      <c r="R495" s="671">
        <f t="shared" si="94"/>
        <v>0</v>
      </c>
      <c r="S495" s="322">
        <f t="shared" si="85"/>
        <v>0</v>
      </c>
    </row>
    <row r="496" spans="1:19">
      <c r="A496" s="155"/>
      <c r="B496" s="57"/>
      <c r="C496" s="24">
        <f t="shared" si="86"/>
        <v>1</v>
      </c>
      <c r="D496" s="675"/>
      <c r="E496" s="24">
        <f t="shared" si="87"/>
        <v>1</v>
      </c>
      <c r="F496" s="675"/>
      <c r="G496" s="24">
        <f t="shared" si="88"/>
        <v>1</v>
      </c>
      <c r="H496" s="675"/>
      <c r="I496" s="24">
        <f t="shared" si="89"/>
        <v>1</v>
      </c>
      <c r="J496" s="675"/>
      <c r="K496" s="24">
        <f t="shared" si="90"/>
        <v>1</v>
      </c>
      <c r="L496" s="675"/>
      <c r="M496" s="24">
        <f t="shared" si="91"/>
        <v>1</v>
      </c>
      <c r="N496" s="675"/>
      <c r="O496" s="24">
        <f t="shared" si="92"/>
        <v>1</v>
      </c>
      <c r="P496" s="675"/>
      <c r="Q496" s="24">
        <f t="shared" si="93"/>
        <v>0</v>
      </c>
      <c r="R496" s="671">
        <f t="shared" si="94"/>
        <v>0</v>
      </c>
      <c r="S496" s="322">
        <f t="shared" si="85"/>
        <v>0</v>
      </c>
    </row>
    <row r="497" spans="1:19">
      <c r="A497" s="155"/>
      <c r="B497" s="57"/>
      <c r="C497" s="24">
        <f t="shared" si="86"/>
        <v>1</v>
      </c>
      <c r="D497" s="675"/>
      <c r="E497" s="24">
        <f t="shared" si="87"/>
        <v>1</v>
      </c>
      <c r="F497" s="675"/>
      <c r="G497" s="24">
        <f t="shared" si="88"/>
        <v>1</v>
      </c>
      <c r="H497" s="675"/>
      <c r="I497" s="24">
        <f t="shared" si="89"/>
        <v>1</v>
      </c>
      <c r="J497" s="675"/>
      <c r="K497" s="24">
        <f t="shared" si="90"/>
        <v>1</v>
      </c>
      <c r="L497" s="675"/>
      <c r="M497" s="24">
        <f t="shared" si="91"/>
        <v>1</v>
      </c>
      <c r="N497" s="675"/>
      <c r="O497" s="24">
        <f t="shared" si="92"/>
        <v>1</v>
      </c>
      <c r="P497" s="675"/>
      <c r="Q497" s="24">
        <f t="shared" si="93"/>
        <v>0</v>
      </c>
      <c r="R497" s="671">
        <f t="shared" si="94"/>
        <v>0</v>
      </c>
      <c r="S497" s="322">
        <f t="shared" si="85"/>
        <v>0</v>
      </c>
    </row>
    <row r="498" spans="1:19">
      <c r="A498" s="155"/>
      <c r="B498" s="57"/>
      <c r="C498" s="24">
        <f t="shared" si="86"/>
        <v>1</v>
      </c>
      <c r="D498" s="675"/>
      <c r="E498" s="24">
        <f t="shared" si="87"/>
        <v>1</v>
      </c>
      <c r="F498" s="675"/>
      <c r="G498" s="24">
        <f t="shared" si="88"/>
        <v>1</v>
      </c>
      <c r="H498" s="675"/>
      <c r="I498" s="24">
        <f t="shared" si="89"/>
        <v>1</v>
      </c>
      <c r="J498" s="675"/>
      <c r="K498" s="24">
        <f t="shared" si="90"/>
        <v>1</v>
      </c>
      <c r="L498" s="675"/>
      <c r="M498" s="24">
        <f t="shared" si="91"/>
        <v>1</v>
      </c>
      <c r="N498" s="675"/>
      <c r="O498" s="24">
        <f t="shared" si="92"/>
        <v>1</v>
      </c>
      <c r="P498" s="675"/>
      <c r="Q498" s="24">
        <f t="shared" si="93"/>
        <v>0</v>
      </c>
      <c r="R498" s="671">
        <f t="shared" si="94"/>
        <v>0</v>
      </c>
      <c r="S498" s="322">
        <f t="shared" ref="S498:S524" si="95">ROUND(R498*B498/10000,0)</f>
        <v>0</v>
      </c>
    </row>
    <row r="499" spans="1:19">
      <c r="A499" s="155"/>
      <c r="B499" s="57"/>
      <c r="C499" s="24">
        <f t="shared" si="86"/>
        <v>1</v>
      </c>
      <c r="D499" s="675"/>
      <c r="E499" s="24">
        <f t="shared" si="87"/>
        <v>1</v>
      </c>
      <c r="F499" s="675"/>
      <c r="G499" s="24">
        <f t="shared" si="88"/>
        <v>1</v>
      </c>
      <c r="H499" s="675"/>
      <c r="I499" s="24">
        <f t="shared" si="89"/>
        <v>1</v>
      </c>
      <c r="J499" s="675"/>
      <c r="K499" s="24">
        <f t="shared" si="90"/>
        <v>1</v>
      </c>
      <c r="L499" s="675"/>
      <c r="M499" s="24">
        <f t="shared" si="91"/>
        <v>1</v>
      </c>
      <c r="N499" s="675"/>
      <c r="O499" s="24">
        <f t="shared" si="92"/>
        <v>1</v>
      </c>
      <c r="P499" s="675"/>
      <c r="Q499" s="24">
        <f t="shared" si="93"/>
        <v>0</v>
      </c>
      <c r="R499" s="671">
        <f t="shared" si="94"/>
        <v>0</v>
      </c>
      <c r="S499" s="322">
        <f t="shared" si="95"/>
        <v>0</v>
      </c>
    </row>
    <row r="500" spans="1:19">
      <c r="A500" s="155"/>
      <c r="B500" s="57"/>
      <c r="C500" s="24">
        <f t="shared" si="86"/>
        <v>1</v>
      </c>
      <c r="D500" s="675"/>
      <c r="E500" s="24">
        <f t="shared" si="87"/>
        <v>1</v>
      </c>
      <c r="F500" s="675"/>
      <c r="G500" s="24">
        <f t="shared" si="88"/>
        <v>1</v>
      </c>
      <c r="H500" s="675"/>
      <c r="I500" s="24">
        <f t="shared" si="89"/>
        <v>1</v>
      </c>
      <c r="J500" s="675"/>
      <c r="K500" s="24">
        <f t="shared" si="90"/>
        <v>1</v>
      </c>
      <c r="L500" s="675"/>
      <c r="M500" s="24">
        <f t="shared" si="91"/>
        <v>1</v>
      </c>
      <c r="N500" s="675"/>
      <c r="O500" s="24">
        <f t="shared" si="92"/>
        <v>1</v>
      </c>
      <c r="P500" s="675"/>
      <c r="Q500" s="24">
        <f t="shared" si="93"/>
        <v>0</v>
      </c>
      <c r="R500" s="671">
        <f t="shared" si="94"/>
        <v>0</v>
      </c>
      <c r="S500" s="322">
        <f t="shared" si="95"/>
        <v>0</v>
      </c>
    </row>
    <row r="501" spans="1:19">
      <c r="A501" s="155"/>
      <c r="B501" s="57"/>
      <c r="C501" s="24">
        <f t="shared" si="86"/>
        <v>1</v>
      </c>
      <c r="D501" s="675"/>
      <c r="E501" s="24">
        <f t="shared" si="87"/>
        <v>1</v>
      </c>
      <c r="F501" s="675"/>
      <c r="G501" s="24">
        <f t="shared" si="88"/>
        <v>1</v>
      </c>
      <c r="H501" s="675"/>
      <c r="I501" s="24">
        <f t="shared" si="89"/>
        <v>1</v>
      </c>
      <c r="J501" s="675"/>
      <c r="K501" s="24">
        <f t="shared" si="90"/>
        <v>1</v>
      </c>
      <c r="L501" s="675"/>
      <c r="M501" s="24">
        <f t="shared" si="91"/>
        <v>1</v>
      </c>
      <c r="N501" s="675"/>
      <c r="O501" s="24">
        <f t="shared" si="92"/>
        <v>1</v>
      </c>
      <c r="P501" s="675"/>
      <c r="Q501" s="24">
        <f t="shared" si="93"/>
        <v>0</v>
      </c>
      <c r="R501" s="671">
        <f t="shared" si="94"/>
        <v>0</v>
      </c>
      <c r="S501" s="322">
        <f t="shared" si="95"/>
        <v>0</v>
      </c>
    </row>
    <row r="502" spans="1:19">
      <c r="A502" s="155"/>
      <c r="B502" s="57"/>
      <c r="C502" s="24">
        <f t="shared" si="86"/>
        <v>1</v>
      </c>
      <c r="D502" s="675"/>
      <c r="E502" s="24">
        <f t="shared" si="87"/>
        <v>1</v>
      </c>
      <c r="F502" s="675"/>
      <c r="G502" s="24">
        <f t="shared" si="88"/>
        <v>1</v>
      </c>
      <c r="H502" s="675"/>
      <c r="I502" s="24">
        <f t="shared" si="89"/>
        <v>1</v>
      </c>
      <c r="J502" s="675"/>
      <c r="K502" s="24">
        <f t="shared" si="90"/>
        <v>1</v>
      </c>
      <c r="L502" s="675"/>
      <c r="M502" s="24">
        <f t="shared" si="91"/>
        <v>1</v>
      </c>
      <c r="N502" s="675"/>
      <c r="O502" s="24">
        <f t="shared" si="92"/>
        <v>1</v>
      </c>
      <c r="P502" s="675"/>
      <c r="Q502" s="24">
        <f t="shared" si="93"/>
        <v>0</v>
      </c>
      <c r="R502" s="671">
        <f t="shared" si="94"/>
        <v>0</v>
      </c>
      <c r="S502" s="322">
        <f t="shared" si="95"/>
        <v>0</v>
      </c>
    </row>
    <row r="503" spans="1:19">
      <c r="A503" s="155"/>
      <c r="B503" s="57"/>
      <c r="C503" s="24">
        <f t="shared" si="86"/>
        <v>1</v>
      </c>
      <c r="D503" s="675"/>
      <c r="E503" s="24">
        <f t="shared" si="87"/>
        <v>1</v>
      </c>
      <c r="F503" s="675"/>
      <c r="G503" s="24">
        <f t="shared" si="88"/>
        <v>1</v>
      </c>
      <c r="H503" s="675"/>
      <c r="I503" s="24">
        <f t="shared" si="89"/>
        <v>1</v>
      </c>
      <c r="J503" s="675"/>
      <c r="K503" s="24">
        <f t="shared" si="90"/>
        <v>1</v>
      </c>
      <c r="L503" s="675"/>
      <c r="M503" s="24">
        <f t="shared" si="91"/>
        <v>1</v>
      </c>
      <c r="N503" s="675"/>
      <c r="O503" s="24">
        <f t="shared" si="92"/>
        <v>1</v>
      </c>
      <c r="P503" s="675"/>
      <c r="Q503" s="24">
        <f t="shared" si="93"/>
        <v>0</v>
      </c>
      <c r="R503" s="671">
        <f t="shared" si="94"/>
        <v>0</v>
      </c>
      <c r="S503" s="322">
        <f t="shared" si="95"/>
        <v>0</v>
      </c>
    </row>
    <row r="504" spans="1:19">
      <c r="A504" s="155"/>
      <c r="B504" s="57"/>
      <c r="C504" s="24">
        <f t="shared" si="86"/>
        <v>1</v>
      </c>
      <c r="D504" s="675"/>
      <c r="E504" s="24">
        <f t="shared" si="87"/>
        <v>1</v>
      </c>
      <c r="F504" s="675"/>
      <c r="G504" s="24">
        <f t="shared" si="88"/>
        <v>1</v>
      </c>
      <c r="H504" s="675"/>
      <c r="I504" s="24">
        <f t="shared" si="89"/>
        <v>1</v>
      </c>
      <c r="J504" s="675"/>
      <c r="K504" s="24">
        <f t="shared" si="90"/>
        <v>1</v>
      </c>
      <c r="L504" s="675"/>
      <c r="M504" s="24">
        <f t="shared" si="91"/>
        <v>1</v>
      </c>
      <c r="N504" s="675"/>
      <c r="O504" s="24">
        <f t="shared" si="92"/>
        <v>1</v>
      </c>
      <c r="P504" s="675"/>
      <c r="Q504" s="24">
        <f t="shared" si="93"/>
        <v>0</v>
      </c>
      <c r="R504" s="671">
        <f t="shared" si="94"/>
        <v>0</v>
      </c>
      <c r="S504" s="322">
        <f t="shared" si="95"/>
        <v>0</v>
      </c>
    </row>
    <row r="505" spans="1:19">
      <c r="A505" s="155"/>
      <c r="B505" s="57"/>
      <c r="C505" s="24">
        <f t="shared" si="86"/>
        <v>1</v>
      </c>
      <c r="D505" s="675"/>
      <c r="E505" s="24">
        <f t="shared" si="87"/>
        <v>1</v>
      </c>
      <c r="F505" s="675"/>
      <c r="G505" s="24">
        <f t="shared" si="88"/>
        <v>1</v>
      </c>
      <c r="H505" s="675"/>
      <c r="I505" s="24">
        <f t="shared" si="89"/>
        <v>1</v>
      </c>
      <c r="J505" s="675"/>
      <c r="K505" s="24">
        <f t="shared" si="90"/>
        <v>1</v>
      </c>
      <c r="L505" s="675"/>
      <c r="M505" s="24">
        <f t="shared" si="91"/>
        <v>1</v>
      </c>
      <c r="N505" s="675"/>
      <c r="O505" s="24">
        <f t="shared" si="92"/>
        <v>1</v>
      </c>
      <c r="P505" s="675"/>
      <c r="Q505" s="24">
        <f t="shared" si="93"/>
        <v>0</v>
      </c>
      <c r="R505" s="671">
        <f t="shared" si="94"/>
        <v>0</v>
      </c>
      <c r="S505" s="322">
        <f t="shared" si="95"/>
        <v>0</v>
      </c>
    </row>
    <row r="506" spans="1:19">
      <c r="A506" s="155"/>
      <c r="B506" s="57"/>
      <c r="C506" s="24">
        <f t="shared" si="86"/>
        <v>1</v>
      </c>
      <c r="D506" s="675"/>
      <c r="E506" s="24">
        <f t="shared" si="87"/>
        <v>1</v>
      </c>
      <c r="F506" s="675"/>
      <c r="G506" s="24">
        <f t="shared" si="88"/>
        <v>1</v>
      </c>
      <c r="H506" s="675"/>
      <c r="I506" s="24">
        <f t="shared" si="89"/>
        <v>1</v>
      </c>
      <c r="J506" s="675"/>
      <c r="K506" s="24">
        <f t="shared" si="90"/>
        <v>1</v>
      </c>
      <c r="L506" s="675"/>
      <c r="M506" s="24">
        <f t="shared" si="91"/>
        <v>1</v>
      </c>
      <c r="N506" s="675"/>
      <c r="O506" s="24">
        <f t="shared" si="92"/>
        <v>1</v>
      </c>
      <c r="P506" s="675"/>
      <c r="Q506" s="24">
        <f t="shared" si="93"/>
        <v>0</v>
      </c>
      <c r="R506" s="671">
        <f t="shared" si="94"/>
        <v>0</v>
      </c>
      <c r="S506" s="322">
        <f t="shared" si="95"/>
        <v>0</v>
      </c>
    </row>
    <row r="507" spans="1:19">
      <c r="A507" s="155"/>
      <c r="B507" s="57"/>
      <c r="C507" s="24">
        <f t="shared" si="86"/>
        <v>1</v>
      </c>
      <c r="D507" s="675"/>
      <c r="E507" s="24">
        <f t="shared" si="87"/>
        <v>1</v>
      </c>
      <c r="F507" s="675"/>
      <c r="G507" s="24">
        <f t="shared" si="88"/>
        <v>1</v>
      </c>
      <c r="H507" s="675"/>
      <c r="I507" s="24">
        <f t="shared" si="89"/>
        <v>1</v>
      </c>
      <c r="J507" s="675"/>
      <c r="K507" s="24">
        <f t="shared" si="90"/>
        <v>1</v>
      </c>
      <c r="L507" s="675"/>
      <c r="M507" s="24">
        <f t="shared" si="91"/>
        <v>1</v>
      </c>
      <c r="N507" s="675"/>
      <c r="O507" s="24">
        <f t="shared" si="92"/>
        <v>1</v>
      </c>
      <c r="P507" s="675"/>
      <c r="Q507" s="24">
        <f t="shared" si="93"/>
        <v>0</v>
      </c>
      <c r="R507" s="671">
        <f t="shared" si="94"/>
        <v>0</v>
      </c>
      <c r="S507" s="322">
        <f t="shared" si="95"/>
        <v>0</v>
      </c>
    </row>
    <row r="508" spans="1:19">
      <c r="A508" s="155"/>
      <c r="B508" s="57"/>
      <c r="C508" s="24">
        <f t="shared" si="86"/>
        <v>1</v>
      </c>
      <c r="D508" s="675"/>
      <c r="E508" s="24">
        <f t="shared" si="87"/>
        <v>1</v>
      </c>
      <c r="F508" s="675"/>
      <c r="G508" s="24">
        <f t="shared" si="88"/>
        <v>1</v>
      </c>
      <c r="H508" s="675"/>
      <c r="I508" s="24">
        <f t="shared" si="89"/>
        <v>1</v>
      </c>
      <c r="J508" s="675"/>
      <c r="K508" s="24">
        <f t="shared" si="90"/>
        <v>1</v>
      </c>
      <c r="L508" s="675"/>
      <c r="M508" s="24">
        <f t="shared" si="91"/>
        <v>1</v>
      </c>
      <c r="N508" s="675"/>
      <c r="O508" s="24">
        <f t="shared" si="92"/>
        <v>1</v>
      </c>
      <c r="P508" s="675"/>
      <c r="Q508" s="24">
        <f t="shared" si="93"/>
        <v>0</v>
      </c>
      <c r="R508" s="671">
        <f t="shared" si="94"/>
        <v>0</v>
      </c>
      <c r="S508" s="322">
        <f t="shared" si="95"/>
        <v>0</v>
      </c>
    </row>
    <row r="509" spans="1:19">
      <c r="A509" s="155"/>
      <c r="B509" s="57"/>
      <c r="C509" s="24">
        <f t="shared" si="86"/>
        <v>1</v>
      </c>
      <c r="D509" s="675"/>
      <c r="E509" s="24">
        <f t="shared" si="87"/>
        <v>1</v>
      </c>
      <c r="F509" s="675"/>
      <c r="G509" s="24">
        <f t="shared" si="88"/>
        <v>1</v>
      </c>
      <c r="H509" s="675"/>
      <c r="I509" s="24">
        <f t="shared" si="89"/>
        <v>1</v>
      </c>
      <c r="J509" s="675"/>
      <c r="K509" s="24">
        <f t="shared" si="90"/>
        <v>1</v>
      </c>
      <c r="L509" s="675"/>
      <c r="M509" s="24">
        <f t="shared" si="91"/>
        <v>1</v>
      </c>
      <c r="N509" s="675"/>
      <c r="O509" s="24">
        <f t="shared" si="92"/>
        <v>1</v>
      </c>
      <c r="P509" s="675"/>
      <c r="Q509" s="24">
        <f t="shared" si="93"/>
        <v>0</v>
      </c>
      <c r="R509" s="671">
        <f t="shared" si="94"/>
        <v>0</v>
      </c>
      <c r="S509" s="322">
        <f t="shared" si="95"/>
        <v>0</v>
      </c>
    </row>
    <row r="510" spans="1:19">
      <c r="A510" s="155"/>
      <c r="B510" s="57"/>
      <c r="C510" s="24">
        <f t="shared" si="86"/>
        <v>1</v>
      </c>
      <c r="D510" s="675"/>
      <c r="E510" s="24">
        <f t="shared" si="87"/>
        <v>1</v>
      </c>
      <c r="F510" s="675"/>
      <c r="G510" s="24">
        <f t="shared" si="88"/>
        <v>1</v>
      </c>
      <c r="H510" s="675"/>
      <c r="I510" s="24">
        <f t="shared" si="89"/>
        <v>1</v>
      </c>
      <c r="J510" s="675"/>
      <c r="K510" s="24">
        <f t="shared" si="90"/>
        <v>1</v>
      </c>
      <c r="L510" s="675"/>
      <c r="M510" s="24">
        <f t="shared" si="91"/>
        <v>1</v>
      </c>
      <c r="N510" s="675"/>
      <c r="O510" s="24">
        <f t="shared" si="92"/>
        <v>1</v>
      </c>
      <c r="P510" s="675"/>
      <c r="Q510" s="24">
        <f t="shared" si="93"/>
        <v>0</v>
      </c>
      <c r="R510" s="671">
        <f t="shared" si="94"/>
        <v>0</v>
      </c>
      <c r="S510" s="322">
        <f t="shared" si="95"/>
        <v>0</v>
      </c>
    </row>
    <row r="511" spans="1:19">
      <c r="A511" s="155"/>
      <c r="B511" s="57"/>
      <c r="C511" s="24">
        <f t="shared" si="86"/>
        <v>1</v>
      </c>
      <c r="D511" s="675"/>
      <c r="E511" s="24">
        <f t="shared" si="87"/>
        <v>1</v>
      </c>
      <c r="F511" s="675"/>
      <c r="G511" s="24">
        <f t="shared" si="88"/>
        <v>1</v>
      </c>
      <c r="H511" s="675"/>
      <c r="I511" s="24">
        <f t="shared" si="89"/>
        <v>1</v>
      </c>
      <c r="J511" s="675"/>
      <c r="K511" s="24">
        <f t="shared" si="90"/>
        <v>1</v>
      </c>
      <c r="L511" s="675"/>
      <c r="M511" s="24">
        <f t="shared" si="91"/>
        <v>1</v>
      </c>
      <c r="N511" s="675"/>
      <c r="O511" s="24">
        <f t="shared" si="92"/>
        <v>1</v>
      </c>
      <c r="P511" s="675"/>
      <c r="Q511" s="24">
        <f t="shared" si="93"/>
        <v>0</v>
      </c>
      <c r="R511" s="671">
        <f t="shared" si="94"/>
        <v>0</v>
      </c>
      <c r="S511" s="322">
        <f t="shared" si="95"/>
        <v>0</v>
      </c>
    </row>
    <row r="512" spans="1:19">
      <c r="A512" s="155"/>
      <c r="B512" s="57"/>
      <c r="C512" s="24">
        <f t="shared" si="86"/>
        <v>1</v>
      </c>
      <c r="D512" s="675"/>
      <c r="E512" s="24">
        <f t="shared" si="87"/>
        <v>1</v>
      </c>
      <c r="F512" s="675"/>
      <c r="G512" s="24">
        <f t="shared" si="88"/>
        <v>1</v>
      </c>
      <c r="H512" s="675"/>
      <c r="I512" s="24">
        <f t="shared" si="89"/>
        <v>1</v>
      </c>
      <c r="J512" s="675"/>
      <c r="K512" s="24">
        <f t="shared" si="90"/>
        <v>1</v>
      </c>
      <c r="L512" s="675"/>
      <c r="M512" s="24">
        <f t="shared" si="91"/>
        <v>1</v>
      </c>
      <c r="N512" s="675"/>
      <c r="O512" s="24">
        <f t="shared" si="92"/>
        <v>1</v>
      </c>
      <c r="P512" s="675"/>
      <c r="Q512" s="24">
        <f t="shared" si="93"/>
        <v>0</v>
      </c>
      <c r="R512" s="671">
        <f t="shared" si="94"/>
        <v>0</v>
      </c>
      <c r="S512" s="322">
        <f t="shared" si="95"/>
        <v>0</v>
      </c>
    </row>
    <row r="513" spans="1:19">
      <c r="A513" s="155"/>
      <c r="B513" s="57"/>
      <c r="C513" s="24">
        <f t="shared" si="86"/>
        <v>1</v>
      </c>
      <c r="D513" s="675"/>
      <c r="E513" s="24">
        <f t="shared" si="87"/>
        <v>1</v>
      </c>
      <c r="F513" s="675"/>
      <c r="G513" s="24">
        <f t="shared" si="88"/>
        <v>1</v>
      </c>
      <c r="H513" s="675"/>
      <c r="I513" s="24">
        <f t="shared" si="89"/>
        <v>1</v>
      </c>
      <c r="J513" s="675"/>
      <c r="K513" s="24">
        <f t="shared" si="90"/>
        <v>1</v>
      </c>
      <c r="L513" s="675"/>
      <c r="M513" s="24">
        <f t="shared" si="91"/>
        <v>1</v>
      </c>
      <c r="N513" s="675"/>
      <c r="O513" s="24">
        <f t="shared" si="92"/>
        <v>1</v>
      </c>
      <c r="P513" s="675"/>
      <c r="Q513" s="24">
        <f t="shared" si="93"/>
        <v>0</v>
      </c>
      <c r="R513" s="671">
        <f t="shared" si="94"/>
        <v>0</v>
      </c>
      <c r="S513" s="322">
        <f t="shared" si="95"/>
        <v>0</v>
      </c>
    </row>
    <row r="514" spans="1:19">
      <c r="A514" s="155"/>
      <c r="B514" s="57"/>
      <c r="C514" s="24">
        <f t="shared" si="86"/>
        <v>1</v>
      </c>
      <c r="D514" s="675"/>
      <c r="E514" s="24">
        <f t="shared" si="87"/>
        <v>1</v>
      </c>
      <c r="F514" s="675"/>
      <c r="G514" s="24">
        <f t="shared" si="88"/>
        <v>1</v>
      </c>
      <c r="H514" s="675"/>
      <c r="I514" s="24">
        <f t="shared" si="89"/>
        <v>1</v>
      </c>
      <c r="J514" s="675"/>
      <c r="K514" s="24">
        <f t="shared" si="90"/>
        <v>1</v>
      </c>
      <c r="L514" s="675"/>
      <c r="M514" s="24">
        <f t="shared" si="91"/>
        <v>1</v>
      </c>
      <c r="N514" s="675"/>
      <c r="O514" s="24">
        <f t="shared" si="92"/>
        <v>1</v>
      </c>
      <c r="P514" s="675"/>
      <c r="Q514" s="24">
        <f t="shared" si="93"/>
        <v>0</v>
      </c>
      <c r="R514" s="671">
        <f t="shared" si="94"/>
        <v>0</v>
      </c>
      <c r="S514" s="322">
        <f t="shared" si="95"/>
        <v>0</v>
      </c>
    </row>
    <row r="515" spans="1:19">
      <c r="A515" s="155"/>
      <c r="B515" s="57"/>
      <c r="C515" s="24">
        <f t="shared" si="86"/>
        <v>1</v>
      </c>
      <c r="D515" s="675"/>
      <c r="E515" s="24">
        <f t="shared" si="87"/>
        <v>1</v>
      </c>
      <c r="F515" s="675"/>
      <c r="G515" s="24">
        <f t="shared" si="88"/>
        <v>1</v>
      </c>
      <c r="H515" s="675"/>
      <c r="I515" s="24">
        <f t="shared" si="89"/>
        <v>1</v>
      </c>
      <c r="J515" s="675"/>
      <c r="K515" s="24">
        <f t="shared" si="90"/>
        <v>1</v>
      </c>
      <c r="L515" s="675"/>
      <c r="M515" s="24">
        <f t="shared" si="91"/>
        <v>1</v>
      </c>
      <c r="N515" s="675"/>
      <c r="O515" s="24">
        <f t="shared" si="92"/>
        <v>1</v>
      </c>
      <c r="P515" s="675"/>
      <c r="Q515" s="24">
        <f t="shared" si="93"/>
        <v>0</v>
      </c>
      <c r="R515" s="671">
        <f t="shared" si="94"/>
        <v>0</v>
      </c>
      <c r="S515" s="322">
        <f t="shared" si="95"/>
        <v>0</v>
      </c>
    </row>
    <row r="516" spans="1:19">
      <c r="A516" s="155"/>
      <c r="B516" s="57"/>
      <c r="C516" s="24">
        <f t="shared" si="86"/>
        <v>1</v>
      </c>
      <c r="D516" s="675"/>
      <c r="E516" s="24">
        <f t="shared" si="87"/>
        <v>1</v>
      </c>
      <c r="F516" s="675"/>
      <c r="G516" s="24">
        <f t="shared" si="88"/>
        <v>1</v>
      </c>
      <c r="H516" s="675"/>
      <c r="I516" s="24">
        <f t="shared" si="89"/>
        <v>1</v>
      </c>
      <c r="J516" s="675"/>
      <c r="K516" s="24">
        <f t="shared" si="90"/>
        <v>1</v>
      </c>
      <c r="L516" s="675"/>
      <c r="M516" s="24">
        <f t="shared" si="91"/>
        <v>1</v>
      </c>
      <c r="N516" s="675"/>
      <c r="O516" s="24">
        <f t="shared" si="92"/>
        <v>1</v>
      </c>
      <c r="P516" s="675"/>
      <c r="Q516" s="24">
        <f t="shared" si="93"/>
        <v>0</v>
      </c>
      <c r="R516" s="671">
        <f t="shared" si="94"/>
        <v>0</v>
      </c>
      <c r="S516" s="322">
        <f t="shared" si="95"/>
        <v>0</v>
      </c>
    </row>
    <row r="517" spans="1:19">
      <c r="A517" s="155"/>
      <c r="B517" s="57"/>
      <c r="C517" s="24">
        <f t="shared" si="86"/>
        <v>1</v>
      </c>
      <c r="D517" s="675"/>
      <c r="E517" s="24">
        <f t="shared" si="87"/>
        <v>1</v>
      </c>
      <c r="F517" s="675"/>
      <c r="G517" s="24">
        <f t="shared" si="88"/>
        <v>1</v>
      </c>
      <c r="H517" s="675"/>
      <c r="I517" s="24">
        <f t="shared" si="89"/>
        <v>1</v>
      </c>
      <c r="J517" s="675"/>
      <c r="K517" s="24">
        <f t="shared" si="90"/>
        <v>1</v>
      </c>
      <c r="L517" s="675"/>
      <c r="M517" s="24">
        <f t="shared" si="91"/>
        <v>1</v>
      </c>
      <c r="N517" s="675"/>
      <c r="O517" s="24">
        <f t="shared" si="92"/>
        <v>1</v>
      </c>
      <c r="P517" s="675"/>
      <c r="Q517" s="24">
        <f t="shared" si="93"/>
        <v>0</v>
      </c>
      <c r="R517" s="671">
        <f t="shared" si="94"/>
        <v>0</v>
      </c>
      <c r="S517" s="322">
        <f t="shared" si="95"/>
        <v>0</v>
      </c>
    </row>
    <row r="518" spans="1:19">
      <c r="A518" s="155"/>
      <c r="B518" s="57"/>
      <c r="C518" s="24">
        <f t="shared" si="86"/>
        <v>1</v>
      </c>
      <c r="D518" s="675"/>
      <c r="E518" s="24">
        <f t="shared" si="87"/>
        <v>1</v>
      </c>
      <c r="F518" s="675"/>
      <c r="G518" s="24">
        <f t="shared" si="88"/>
        <v>1</v>
      </c>
      <c r="H518" s="675"/>
      <c r="I518" s="24">
        <f t="shared" si="89"/>
        <v>1</v>
      </c>
      <c r="J518" s="675"/>
      <c r="K518" s="24">
        <f t="shared" si="90"/>
        <v>1</v>
      </c>
      <c r="L518" s="675"/>
      <c r="M518" s="24">
        <f t="shared" si="91"/>
        <v>1</v>
      </c>
      <c r="N518" s="675"/>
      <c r="O518" s="24">
        <f t="shared" si="92"/>
        <v>1</v>
      </c>
      <c r="P518" s="675"/>
      <c r="Q518" s="24">
        <f t="shared" si="93"/>
        <v>0</v>
      </c>
      <c r="R518" s="671">
        <f t="shared" si="94"/>
        <v>0</v>
      </c>
      <c r="S518" s="322">
        <f t="shared" si="95"/>
        <v>0</v>
      </c>
    </row>
    <row r="519" spans="1:19">
      <c r="A519" s="155"/>
      <c r="B519" s="57"/>
      <c r="C519" s="24">
        <f t="shared" si="86"/>
        <v>1</v>
      </c>
      <c r="D519" s="675"/>
      <c r="E519" s="24">
        <f t="shared" si="87"/>
        <v>1</v>
      </c>
      <c r="F519" s="675"/>
      <c r="G519" s="24">
        <f t="shared" si="88"/>
        <v>1</v>
      </c>
      <c r="H519" s="675"/>
      <c r="I519" s="24">
        <f t="shared" si="89"/>
        <v>1</v>
      </c>
      <c r="J519" s="675"/>
      <c r="K519" s="24">
        <f t="shared" si="90"/>
        <v>1</v>
      </c>
      <c r="L519" s="675"/>
      <c r="M519" s="24">
        <f t="shared" si="91"/>
        <v>1</v>
      </c>
      <c r="N519" s="675"/>
      <c r="O519" s="24">
        <f t="shared" si="92"/>
        <v>1</v>
      </c>
      <c r="P519" s="675"/>
      <c r="Q519" s="24">
        <f t="shared" si="93"/>
        <v>0</v>
      </c>
      <c r="R519" s="671">
        <f t="shared" si="94"/>
        <v>0</v>
      </c>
      <c r="S519" s="322">
        <f t="shared" si="95"/>
        <v>0</v>
      </c>
    </row>
    <row r="520" spans="1:19">
      <c r="A520" s="155"/>
      <c r="B520" s="57"/>
      <c r="C520" s="24">
        <f t="shared" si="86"/>
        <v>1</v>
      </c>
      <c r="D520" s="675"/>
      <c r="E520" s="24">
        <f t="shared" si="87"/>
        <v>1</v>
      </c>
      <c r="F520" s="675"/>
      <c r="G520" s="24">
        <f t="shared" si="88"/>
        <v>1</v>
      </c>
      <c r="H520" s="675"/>
      <c r="I520" s="24">
        <f t="shared" si="89"/>
        <v>1</v>
      </c>
      <c r="J520" s="675"/>
      <c r="K520" s="24">
        <f t="shared" si="90"/>
        <v>1</v>
      </c>
      <c r="L520" s="675"/>
      <c r="M520" s="24">
        <f t="shared" si="91"/>
        <v>1</v>
      </c>
      <c r="N520" s="675"/>
      <c r="O520" s="24">
        <f t="shared" si="92"/>
        <v>1</v>
      </c>
      <c r="P520" s="675"/>
      <c r="Q520" s="24">
        <f t="shared" si="93"/>
        <v>0</v>
      </c>
      <c r="R520" s="671">
        <f t="shared" si="94"/>
        <v>0</v>
      </c>
      <c r="S520" s="322">
        <f t="shared" si="95"/>
        <v>0</v>
      </c>
    </row>
    <row r="521" spans="1:19">
      <c r="A521" s="155"/>
      <c r="B521" s="57"/>
      <c r="C521" s="24">
        <f t="shared" si="86"/>
        <v>1</v>
      </c>
      <c r="D521" s="675"/>
      <c r="E521" s="24">
        <f t="shared" si="87"/>
        <v>1</v>
      </c>
      <c r="F521" s="675"/>
      <c r="G521" s="24">
        <f t="shared" si="88"/>
        <v>1</v>
      </c>
      <c r="H521" s="675"/>
      <c r="I521" s="24">
        <f t="shared" si="89"/>
        <v>1</v>
      </c>
      <c r="J521" s="675"/>
      <c r="K521" s="24">
        <f t="shared" si="90"/>
        <v>1</v>
      </c>
      <c r="L521" s="675"/>
      <c r="M521" s="24">
        <f t="shared" si="91"/>
        <v>1</v>
      </c>
      <c r="N521" s="675"/>
      <c r="O521" s="24">
        <f t="shared" si="92"/>
        <v>1</v>
      </c>
      <c r="P521" s="675"/>
      <c r="Q521" s="24">
        <f t="shared" si="93"/>
        <v>0</v>
      </c>
      <c r="R521" s="671">
        <f t="shared" si="94"/>
        <v>0</v>
      </c>
      <c r="S521" s="322">
        <f t="shared" si="95"/>
        <v>0</v>
      </c>
    </row>
    <row r="522" spans="1:19">
      <c r="A522" s="155"/>
      <c r="B522" s="57"/>
      <c r="C522" s="24">
        <f t="shared" si="86"/>
        <v>1</v>
      </c>
      <c r="D522" s="675"/>
      <c r="E522" s="24">
        <f t="shared" si="87"/>
        <v>1</v>
      </c>
      <c r="F522" s="675"/>
      <c r="G522" s="24">
        <f t="shared" si="88"/>
        <v>1</v>
      </c>
      <c r="H522" s="675"/>
      <c r="I522" s="24">
        <f t="shared" si="89"/>
        <v>1</v>
      </c>
      <c r="J522" s="675"/>
      <c r="K522" s="24">
        <f t="shared" si="90"/>
        <v>1</v>
      </c>
      <c r="L522" s="675"/>
      <c r="M522" s="24">
        <f t="shared" si="91"/>
        <v>1</v>
      </c>
      <c r="N522" s="675"/>
      <c r="O522" s="24">
        <f t="shared" si="92"/>
        <v>1</v>
      </c>
      <c r="P522" s="675"/>
      <c r="Q522" s="24">
        <f t="shared" si="93"/>
        <v>0</v>
      </c>
      <c r="R522" s="671">
        <f t="shared" si="94"/>
        <v>0</v>
      </c>
      <c r="S522" s="322">
        <f t="shared" si="95"/>
        <v>0</v>
      </c>
    </row>
    <row r="523" spans="1:19">
      <c r="A523" s="155"/>
      <c r="B523" s="57"/>
      <c r="C523" s="24">
        <f t="shared" si="86"/>
        <v>1</v>
      </c>
      <c r="D523" s="675"/>
      <c r="E523" s="24">
        <f t="shared" si="87"/>
        <v>1</v>
      </c>
      <c r="F523" s="675"/>
      <c r="G523" s="24">
        <f t="shared" si="88"/>
        <v>1</v>
      </c>
      <c r="H523" s="675"/>
      <c r="I523" s="24">
        <f t="shared" si="89"/>
        <v>1</v>
      </c>
      <c r="J523" s="675"/>
      <c r="K523" s="24">
        <f t="shared" si="90"/>
        <v>1</v>
      </c>
      <c r="L523" s="675"/>
      <c r="M523" s="24">
        <f t="shared" si="91"/>
        <v>1</v>
      </c>
      <c r="N523" s="675"/>
      <c r="O523" s="24">
        <f t="shared" si="92"/>
        <v>1</v>
      </c>
      <c r="P523" s="675"/>
      <c r="Q523" s="24">
        <f t="shared" si="93"/>
        <v>0</v>
      </c>
      <c r="R523" s="671">
        <f t="shared" si="94"/>
        <v>0</v>
      </c>
      <c r="S523" s="322">
        <f t="shared" si="95"/>
        <v>0</v>
      </c>
    </row>
    <row r="524" spans="1:19">
      <c r="A524" s="155"/>
      <c r="B524" s="57"/>
      <c r="C524" s="24">
        <f t="shared" si="86"/>
        <v>1</v>
      </c>
      <c r="D524" s="675"/>
      <c r="E524" s="24">
        <f t="shared" si="87"/>
        <v>1</v>
      </c>
      <c r="F524" s="675"/>
      <c r="G524" s="24">
        <f t="shared" si="88"/>
        <v>1</v>
      </c>
      <c r="H524" s="675"/>
      <c r="I524" s="24">
        <f t="shared" si="89"/>
        <v>1</v>
      </c>
      <c r="J524" s="675"/>
      <c r="K524" s="24">
        <f t="shared" si="90"/>
        <v>1</v>
      </c>
      <c r="L524" s="675"/>
      <c r="M524" s="24">
        <f t="shared" si="91"/>
        <v>1</v>
      </c>
      <c r="N524" s="675"/>
      <c r="O524" s="24">
        <f t="shared" si="92"/>
        <v>1</v>
      </c>
      <c r="P524" s="675"/>
      <c r="Q524" s="24">
        <f t="shared" si="93"/>
        <v>0</v>
      </c>
      <c r="R524" s="671">
        <f t="shared" si="94"/>
        <v>0</v>
      </c>
      <c r="S524" s="322">
        <f t="shared" si="95"/>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42150</v>
      </c>
      <c r="C2" s="2" t="s">
        <v>133</v>
      </c>
      <c r="D2" s="205"/>
      <c r="E2" s="205"/>
      <c r="F2" s="205"/>
      <c r="G2" s="205"/>
    </row>
    <row r="3" spans="1:7" s="206" customFormat="1" ht="18" customHeight="1" thickBot="1">
      <c r="A3" s="209" t="s">
        <v>85</v>
      </c>
      <c r="B3" s="210">
        <f ca="1">ROUND(B2*10000/'数据-汇总表'!E3,0)</f>
        <v>15075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5" t="s">
        <v>791</v>
      </c>
      <c r="B6" s="221" t="s">
        <v>91</v>
      </c>
      <c r="C6" s="222">
        <v>20000</v>
      </c>
      <c r="D6" s="223"/>
      <c r="E6" s="224"/>
      <c r="F6" s="224"/>
      <c r="G6" s="225"/>
    </row>
    <row r="7" spans="1:7" s="220" customFormat="1" ht="13.5" customHeight="1">
      <c r="A7" s="885" t="s">
        <v>792</v>
      </c>
      <c r="B7" s="221" t="s">
        <v>57</v>
      </c>
      <c r="C7" s="226">
        <f>ROUND(C6*F7,0)</f>
        <v>610</v>
      </c>
      <c r="D7" s="226"/>
      <c r="E7" s="224"/>
      <c r="F7" s="227">
        <f>'数据-取费表'!B48+'数据-取费表'!B49</f>
        <v>3.0499999999999999E-2</v>
      </c>
      <c r="G7" s="225"/>
    </row>
    <row r="8" spans="1:7" s="229" customFormat="1">
      <c r="A8" s="885" t="s">
        <v>793</v>
      </c>
      <c r="B8" s="221" t="s">
        <v>92</v>
      </c>
      <c r="C8" s="226" t="str">
        <f>IF(G8="已包含在土地购买价格中","0",'数据-取费表'!B29)</f>
        <v>0</v>
      </c>
      <c r="D8" s="228"/>
      <c r="E8" s="226"/>
      <c r="F8" s="227"/>
      <c r="G8" s="1" t="s">
        <v>1116</v>
      </c>
    </row>
    <row r="9" spans="1:7" s="220" customFormat="1" ht="13.5" customHeight="1">
      <c r="A9" s="886" t="s">
        <v>800</v>
      </c>
      <c r="B9" s="230" t="s">
        <v>93</v>
      </c>
      <c r="C9" s="231">
        <f>ROUND(D9*E9/10000,0)</f>
        <v>0</v>
      </c>
      <c r="D9" s="953">
        <f>'数据-汇总表'!E5</f>
        <v>0</v>
      </c>
      <c r="E9" s="231">
        <f>'数据-取费表'!B27</f>
        <v>180</v>
      </c>
      <c r="F9" s="227"/>
      <c r="G9" s="232"/>
    </row>
    <row r="10" spans="1:7" s="220" customFormat="1" ht="13.5" customHeight="1">
      <c r="A10" s="886" t="s">
        <v>801</v>
      </c>
      <c r="B10" s="230" t="s">
        <v>94</v>
      </c>
      <c r="C10" s="231">
        <f>ROUND(D10*E10/10000,0)</f>
        <v>503</v>
      </c>
      <c r="D10" s="953">
        <f>'数据-汇总表'!E6</f>
        <v>27960.83</v>
      </c>
      <c r="E10" s="231">
        <f>'数据-取费表'!B28</f>
        <v>180</v>
      </c>
      <c r="F10" s="227"/>
      <c r="G10" s="232"/>
    </row>
    <row r="11" spans="1:7" s="220" customFormat="1" ht="13.5" hidden="1" customHeight="1">
      <c r="A11" s="233" t="s">
        <v>7</v>
      </c>
      <c r="B11" s="221" t="s">
        <v>95</v>
      </c>
      <c r="C11" s="217"/>
      <c r="D11" s="955"/>
      <c r="E11" s="224"/>
      <c r="F11" s="224"/>
      <c r="G11" s="225"/>
    </row>
    <row r="12" spans="1:7" s="220" customFormat="1" ht="13.5" hidden="1" customHeight="1">
      <c r="A12" s="233" t="s">
        <v>8</v>
      </c>
      <c r="B12" s="221" t="s">
        <v>96</v>
      </c>
      <c r="C12" s="217">
        <v>0</v>
      </c>
      <c r="D12" s="955"/>
      <c r="E12" s="234"/>
      <c r="F12" s="227">
        <v>3.0499999999999999E-2</v>
      </c>
      <c r="G12" s="225"/>
    </row>
    <row r="13" spans="1:7" s="220" customFormat="1" ht="13.5" hidden="1" customHeight="1">
      <c r="A13" s="233" t="s">
        <v>9</v>
      </c>
      <c r="B13" s="221" t="s">
        <v>97</v>
      </c>
      <c r="C13" s="217"/>
      <c r="D13" s="955"/>
      <c r="E13" s="224"/>
      <c r="F13" s="224"/>
      <c r="G13" s="225"/>
    </row>
    <row r="14" spans="1:7" s="220" customFormat="1" ht="13.5" hidden="1" customHeight="1">
      <c r="A14" s="233" t="s">
        <v>10</v>
      </c>
      <c r="B14" s="221" t="s">
        <v>92</v>
      </c>
      <c r="C14" s="217"/>
      <c r="D14" s="955"/>
      <c r="E14" s="224"/>
      <c r="F14" s="224"/>
      <c r="G14" s="225" t="s">
        <v>98</v>
      </c>
    </row>
    <row r="15" spans="1:7" s="220" customFormat="1" ht="13.5" hidden="1" customHeight="1">
      <c r="A15" s="233" t="s">
        <v>11</v>
      </c>
      <c r="B15" s="221" t="s">
        <v>99</v>
      </c>
      <c r="C15" s="226"/>
      <c r="D15" s="955"/>
      <c r="E15" s="224"/>
      <c r="F15" s="224"/>
      <c r="G15" s="225" t="s">
        <v>100</v>
      </c>
    </row>
    <row r="16" spans="1:7" s="220" customFormat="1" ht="13.5" hidden="1" customHeight="1">
      <c r="A16" s="233" t="s">
        <v>12</v>
      </c>
      <c r="B16" s="221" t="s">
        <v>92</v>
      </c>
      <c r="C16" s="226"/>
      <c r="D16" s="955"/>
      <c r="E16" s="224"/>
      <c r="F16" s="224"/>
      <c r="G16" s="225"/>
    </row>
    <row r="17" spans="1:7" s="220" customFormat="1" ht="13.5" hidden="1" customHeight="1">
      <c r="A17" s="233" t="s">
        <v>13</v>
      </c>
      <c r="B17" s="221" t="s">
        <v>101</v>
      </c>
      <c r="C17" s="235"/>
      <c r="D17" s="956"/>
      <c r="E17" s="235"/>
      <c r="F17" s="235"/>
      <c r="G17" s="225" t="s">
        <v>100</v>
      </c>
    </row>
    <row r="18" spans="1:7" s="220" customFormat="1" ht="13.5" hidden="1" customHeight="1">
      <c r="A18" s="233" t="s">
        <v>14</v>
      </c>
      <c r="B18" s="221" t="s">
        <v>102</v>
      </c>
      <c r="C18" s="226">
        <v>0</v>
      </c>
      <c r="D18" s="955"/>
      <c r="E18" s="224"/>
      <c r="F18" s="227">
        <v>3.0499999999999999E-2</v>
      </c>
      <c r="G18" s="225" t="s">
        <v>103</v>
      </c>
    </row>
    <row r="19" spans="1:7" s="229" customFormat="1" ht="13.5" customHeight="1">
      <c r="A19" s="884" t="s">
        <v>1023</v>
      </c>
      <c r="B19" s="216" t="s">
        <v>111</v>
      </c>
      <c r="C19" s="217">
        <f>IF(G19="已包含在土地取得成本中","0",ROUND(D19*E19/10000,0))</f>
        <v>559</v>
      </c>
      <c r="D19" s="957">
        <f>'数据-汇总表'!E3</f>
        <v>27960.83</v>
      </c>
      <c r="E19" s="217">
        <f>'数据-取费表'!B31</f>
        <v>200</v>
      </c>
      <c r="F19" s="237"/>
      <c r="G19" s="1" t="s">
        <v>1042</v>
      </c>
    </row>
    <row r="20" spans="1:7" s="220" customFormat="1" ht="13.5" customHeight="1">
      <c r="A20" s="884" t="s">
        <v>1025</v>
      </c>
      <c r="B20" s="216" t="s">
        <v>104</v>
      </c>
      <c r="C20" s="238">
        <f>ROUND((C5+C19)*F20,0)</f>
        <v>635</v>
      </c>
      <c r="D20" s="238"/>
      <c r="E20" s="238"/>
      <c r="F20" s="239">
        <f>'数据-取费表'!B37</f>
        <v>0.03</v>
      </c>
      <c r="G20" s="1197" t="s">
        <v>1036</v>
      </c>
    </row>
    <row r="21" spans="1:7" s="220" customFormat="1" ht="13.5" customHeight="1">
      <c r="A21" s="884" t="s">
        <v>1027</v>
      </c>
      <c r="B21" s="216" t="s">
        <v>105</v>
      </c>
      <c r="C21" s="241">
        <f>F21</f>
        <v>0.03</v>
      </c>
      <c r="D21" s="242" t="s">
        <v>126</v>
      </c>
      <c r="E21" s="238"/>
      <c r="F21" s="239">
        <f>'数据-取费表'!B38</f>
        <v>0.03</v>
      </c>
      <c r="G21" s="240" t="s">
        <v>106</v>
      </c>
    </row>
    <row r="22" spans="1:7" s="220" customFormat="1" ht="13.5" customHeight="1">
      <c r="A22" s="884" t="s">
        <v>786</v>
      </c>
      <c r="B22" s="216" t="s">
        <v>107</v>
      </c>
      <c r="C22" s="1262">
        <f ca="1">ROUND(SUM(C23:C25),0)</f>
        <v>1548</v>
      </c>
      <c r="D22" s="241">
        <f ca="1">C26</f>
        <v>1.1000000000000001E-3</v>
      </c>
      <c r="E22" s="242" t="s">
        <v>126</v>
      </c>
      <c r="F22" s="243">
        <f ca="1">'数据-取费表'!B40</f>
        <v>4.7500000000000001E-2</v>
      </c>
      <c r="G22" s="1197" t="str">
        <f>IF('数据-取费表'!B22&lt;=1,"单利计息","复利计息")</f>
        <v>复利计息</v>
      </c>
    </row>
    <row r="23" spans="1:7" s="220" customFormat="1" ht="13.5" customHeight="1">
      <c r="A23" s="887" t="s">
        <v>794</v>
      </c>
      <c r="B23" s="221" t="s">
        <v>1029</v>
      </c>
      <c r="C23" s="1263">
        <f ca="1">ROUND(IF('数据-取费表'!B22&lt;=1,C5*F22*'数据-取费表'!B23,C5*(POWER((1+F22),'数据-取费表'!B23)-1)),0)</f>
        <v>1486</v>
      </c>
      <c r="D23" s="244"/>
      <c r="E23" s="244"/>
      <c r="F23" s="245"/>
      <c r="G23" s="246" t="s">
        <v>108</v>
      </c>
    </row>
    <row r="24" spans="1:7" s="220" customFormat="1" ht="13.5" customHeight="1">
      <c r="A24" s="887" t="s">
        <v>792</v>
      </c>
      <c r="B24" s="221" t="s">
        <v>1024</v>
      </c>
      <c r="C24" s="1263">
        <f ca="1">ROUND(IF('数据-取费表'!B22&lt;=1,C19*F22*('数据-取费表'!B19/2+'数据-取费表'!B21),C19*(POWER((1+F22),('数据-取费表'!B19/2+'数据-取费表'!B21))-1)),0)</f>
        <v>40</v>
      </c>
      <c r="D24" s="244"/>
      <c r="E24" s="244"/>
      <c r="F24" s="245"/>
      <c r="G24" s="246" t="s">
        <v>109</v>
      </c>
    </row>
    <row r="25" spans="1:7" s="220" customFormat="1" ht="24">
      <c r="A25" s="887" t="s">
        <v>793</v>
      </c>
      <c r="B25" s="221" t="s">
        <v>1026</v>
      </c>
      <c r="C25" s="1263">
        <f ca="1">ROUND(IF('数据-取费表'!B22&lt;=1,C20*F22*'数据-取费表'!B23/2,C20*(POWER((1+F22),'数据-取费表'!B23/2)-1)),0)</f>
        <v>22</v>
      </c>
      <c r="D25" s="244"/>
      <c r="E25" s="247"/>
      <c r="F25" s="245"/>
      <c r="G25" s="248" t="s">
        <v>110</v>
      </c>
    </row>
    <row r="26" spans="1:7" s="220" customFormat="1">
      <c r="A26" s="887" t="s">
        <v>795</v>
      </c>
      <c r="B26" s="221" t="s">
        <v>1028</v>
      </c>
      <c r="C26" s="244">
        <f ca="1">ROUND(IF('数据-取费表'!B22&lt;=1,F21*F22*'数据-取费表'!B23/2,F21*(POWER((1+F22),'数据-取费表'!B23/2)-1)),4)</f>
        <v>1.1000000000000001E-3</v>
      </c>
      <c r="D26" s="244"/>
      <c r="E26" s="247"/>
      <c r="F26" s="245"/>
      <c r="G26" s="249"/>
    </row>
    <row r="27" spans="1:7" s="220" customFormat="1" ht="24.75">
      <c r="A27" s="884" t="s">
        <v>787</v>
      </c>
      <c r="B27" s="250" t="s">
        <v>112</v>
      </c>
      <c r="C27" s="251">
        <f>C28</f>
        <v>3489</v>
      </c>
      <c r="D27" s="241">
        <f>C29</f>
        <v>4.7999999999999996E-3</v>
      </c>
      <c r="E27" s="242" t="s">
        <v>126</v>
      </c>
      <c r="F27" s="252">
        <f>'数据-取费表'!Q16</f>
        <v>0.16</v>
      </c>
      <c r="G27" s="253" t="s">
        <v>1037</v>
      </c>
    </row>
    <row r="28" spans="1:7" s="220" customFormat="1" ht="13.5" customHeight="1">
      <c r="A28" s="887" t="s">
        <v>794</v>
      </c>
      <c r="B28" s="254" t="s">
        <v>1030</v>
      </c>
      <c r="C28" s="255">
        <f>ROUND((C5+C19+C20)*F27*'数据-取费表'!B21/'数据-取费表'!B20,0)</f>
        <v>3489</v>
      </c>
      <c r="D28" s="241"/>
      <c r="E28" s="242"/>
      <c r="F28" s="252"/>
      <c r="G28" s="253"/>
    </row>
    <row r="29" spans="1:7" s="220" customFormat="1" ht="13.5" customHeight="1">
      <c r="A29" s="887" t="s">
        <v>792</v>
      </c>
      <c r="B29" s="254" t="s">
        <v>1031</v>
      </c>
      <c r="C29" s="244">
        <f>ROUND(C21*F27*'数据-取费表'!B21/'数据-取费表'!B20,4)</f>
        <v>4.7999999999999996E-3</v>
      </c>
      <c r="D29" s="241"/>
      <c r="E29" s="242"/>
      <c r="F29" s="252"/>
      <c r="G29" s="253"/>
    </row>
    <row r="30" spans="1:7" s="220" customFormat="1" ht="13.5" customHeight="1">
      <c r="A30" s="884"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29471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11437</v>
      </c>
      <c r="D33" s="238"/>
      <c r="E33" s="218"/>
      <c r="F33" s="247"/>
      <c r="G33" s="240"/>
    </row>
    <row r="34" spans="1:7" s="264" customFormat="1" ht="13.5" customHeight="1">
      <c r="A34" s="887" t="s">
        <v>794</v>
      </c>
      <c r="B34" s="221" t="s">
        <v>59</v>
      </c>
      <c r="C34" s="226">
        <f>IF(F34=100%,'数据-取费表'!M16-SUMIF('数据-取费表'!C:C,"公共配套",'数据-取费表'!M:M),'数据-取费表'!O16-SUMIF('数据-取费表'!C:C,"公共配套",'数据-取费表'!O:O))</f>
        <v>10214</v>
      </c>
      <c r="D34" s="223"/>
      <c r="E34" s="226"/>
      <c r="F34" s="263">
        <f>IF('数据-取费表'!B24=0,1,'数据-取费表'!N16)</f>
        <v>1</v>
      </c>
      <c r="G34" s="225" t="s">
        <v>116</v>
      </c>
    </row>
    <row r="35" spans="1:7" ht="13.5" customHeight="1">
      <c r="A35" s="887" t="s">
        <v>796</v>
      </c>
      <c r="B35" s="221" t="s">
        <v>60</v>
      </c>
      <c r="C35" s="226">
        <f>ROUND(C34*F35,0)</f>
        <v>511</v>
      </c>
      <c r="D35" s="226"/>
      <c r="E35" s="226"/>
      <c r="F35" s="265">
        <f>'数据-取费表'!B33</f>
        <v>0.05</v>
      </c>
      <c r="G35" s="225" t="s">
        <v>117</v>
      </c>
    </row>
    <row r="36" spans="1:7" ht="24">
      <c r="A36" s="887"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7" t="s">
        <v>798</v>
      </c>
      <c r="B37" s="221" t="s">
        <v>118</v>
      </c>
      <c r="C37" s="255">
        <f>ROUND(E37*D37*F34/10000,0)</f>
        <v>559</v>
      </c>
      <c r="D37" s="223">
        <f>'数据-汇总表'!E3</f>
        <v>27960.83</v>
      </c>
      <c r="E37" s="255">
        <f>'数据-取费表'!B35</f>
        <v>200</v>
      </c>
      <c r="F37" s="265"/>
      <c r="G37" s="267" t="s">
        <v>119</v>
      </c>
    </row>
    <row r="38" spans="1:7" ht="13.5" customHeight="1">
      <c r="A38" s="887" t="s">
        <v>799</v>
      </c>
      <c r="B38" s="221" t="s">
        <v>63</v>
      </c>
      <c r="C38" s="226">
        <f>ROUND(C34*F38,0)</f>
        <v>153</v>
      </c>
      <c r="D38" s="226"/>
      <c r="E38" s="226"/>
      <c r="F38" s="265">
        <f>'数据-取费表'!B36</f>
        <v>1.4999999999999999E-2</v>
      </c>
      <c r="G38" s="225" t="s">
        <v>117</v>
      </c>
    </row>
    <row r="39" spans="1:7" s="220" customFormat="1" ht="13.5" customHeight="1">
      <c r="A39" s="884" t="s">
        <v>783</v>
      </c>
      <c r="B39" s="216" t="s">
        <v>104</v>
      </c>
      <c r="C39" s="238">
        <f>ROUND(C33*F20,0)</f>
        <v>343</v>
      </c>
      <c r="D39" s="238"/>
      <c r="E39" s="238"/>
      <c r="F39" s="239"/>
      <c r="G39" s="1197" t="s">
        <v>1039</v>
      </c>
    </row>
    <row r="40" spans="1:7" s="220" customFormat="1" ht="13.5" customHeight="1">
      <c r="A40" s="884" t="s">
        <v>784</v>
      </c>
      <c r="B40" s="216" t="s">
        <v>105</v>
      </c>
      <c r="C40" s="268">
        <f>F21</f>
        <v>0.03</v>
      </c>
      <c r="D40" s="242" t="s">
        <v>129</v>
      </c>
      <c r="E40" s="238"/>
      <c r="F40" s="239"/>
      <c r="G40" s="240" t="s">
        <v>120</v>
      </c>
    </row>
    <row r="41" spans="1:7" s="220" customFormat="1" ht="13.5" customHeight="1">
      <c r="A41" s="884" t="s">
        <v>785</v>
      </c>
      <c r="B41" s="216" t="s">
        <v>107</v>
      </c>
      <c r="C41" s="238">
        <f ca="1">ROUND(SUM(C42:C43),0)</f>
        <v>417</v>
      </c>
      <c r="D41" s="241">
        <f ca="1">C44</f>
        <v>1.1000000000000001E-3</v>
      </c>
      <c r="E41" s="242" t="s">
        <v>129</v>
      </c>
      <c r="F41" s="243"/>
      <c r="G41" s="1197" t="str">
        <f>IF('数据-取费表'!B22&lt;=1,"单利计息","复利计息")</f>
        <v>复利计息</v>
      </c>
    </row>
    <row r="42" spans="1:7" ht="13.5" customHeight="1">
      <c r="A42" s="887" t="s">
        <v>794</v>
      </c>
      <c r="B42" s="221" t="s">
        <v>1029</v>
      </c>
      <c r="C42" s="244">
        <f ca="1">ROUND(IF('数据-取费表'!B22&lt;=1,C33*F22*'数据-取费表'!B21/2,C33*(POWER((1+F22),'数据-取费表'!B21/2)-1)),0)</f>
        <v>405</v>
      </c>
      <c r="D42" s="244"/>
      <c r="E42" s="244"/>
      <c r="F42" s="245"/>
      <c r="G42" s="3256" t="s">
        <v>121</v>
      </c>
    </row>
    <row r="43" spans="1:7" ht="13.5" customHeight="1">
      <c r="A43" s="887" t="s">
        <v>792</v>
      </c>
      <c r="B43" s="221" t="s">
        <v>1032</v>
      </c>
      <c r="C43" s="244">
        <f ca="1">ROUND(IF('数据-取费表'!B22&lt;=1,C39*F22*'数据-取费表'!B21/2,C39*(POWER((1+F22),'数据-取费表'!B21/2)-1)),0)</f>
        <v>12</v>
      </c>
      <c r="D43" s="244"/>
      <c r="E43" s="244"/>
      <c r="F43" s="245"/>
      <c r="G43" s="3257"/>
    </row>
    <row r="44" spans="1:7" ht="13.5" customHeight="1">
      <c r="A44" s="887" t="s">
        <v>793</v>
      </c>
      <c r="B44" s="221" t="s">
        <v>1034</v>
      </c>
      <c r="C44" s="244">
        <f ca="1">ROUND(IF('数据-取费表'!B22&lt;=1,C40*F22*'数据-取费表'!B21/2,C40*(POWER((1+F22),'数据-取费表'!B21/2)-1)),4)</f>
        <v>1.1000000000000001E-3</v>
      </c>
      <c r="D44" s="244"/>
      <c r="E44" s="244"/>
      <c r="F44" s="245"/>
      <c r="G44" s="3258"/>
    </row>
    <row r="45" spans="1:7" s="220" customFormat="1" ht="13.5" customHeight="1">
      <c r="A45" s="884" t="s">
        <v>786</v>
      </c>
      <c r="B45" s="250" t="s">
        <v>112</v>
      </c>
      <c r="C45" s="251">
        <f>C46</f>
        <v>1885</v>
      </c>
      <c r="D45" s="241">
        <f>C47</f>
        <v>4.7999999999999996E-3</v>
      </c>
      <c r="E45" s="242" t="s">
        <v>129</v>
      </c>
      <c r="F45" s="252"/>
      <c r="G45" s="253" t="s">
        <v>1040</v>
      </c>
    </row>
    <row r="46" spans="1:7" s="220" customFormat="1" ht="13.5" customHeight="1">
      <c r="A46" s="887" t="s">
        <v>794</v>
      </c>
      <c r="B46" s="254" t="s">
        <v>1033</v>
      </c>
      <c r="C46" s="255">
        <f>ROUND((C33+C39)*F27,0)</f>
        <v>1885</v>
      </c>
      <c r="D46" s="269"/>
      <c r="E46" s="242"/>
      <c r="F46" s="252"/>
      <c r="G46" s="253"/>
    </row>
    <row r="47" spans="1:7" s="220" customFormat="1" ht="13.5" customHeight="1">
      <c r="A47" s="887" t="s">
        <v>792</v>
      </c>
      <c r="B47" s="254" t="s">
        <v>1035</v>
      </c>
      <c r="C47" s="244">
        <f>ROUND(C40*F27,4)</f>
        <v>4.7999999999999996E-3</v>
      </c>
      <c r="D47" s="269"/>
      <c r="E47" s="242"/>
      <c r="F47" s="252"/>
      <c r="G47" s="253"/>
    </row>
    <row r="48" spans="1:7" s="220" customFormat="1" ht="13.5" customHeight="1">
      <c r="A48" s="884" t="s">
        <v>787</v>
      </c>
      <c r="B48" s="216" t="s">
        <v>122</v>
      </c>
      <c r="C48" s="268">
        <f>F30</f>
        <v>5.6000000000000001E-2</v>
      </c>
      <c r="D48" s="242" t="s">
        <v>130</v>
      </c>
      <c r="E48" s="238"/>
      <c r="F48" s="243"/>
      <c r="G48" s="240" t="s">
        <v>123</v>
      </c>
    </row>
    <row r="49" spans="1:7" ht="16.5" customHeight="1">
      <c r="A49" s="884" t="s">
        <v>788</v>
      </c>
      <c r="B49" s="216" t="s">
        <v>131</v>
      </c>
      <c r="C49" s="238">
        <f ca="1">ROUND((C33+C39+C41+C45)/(1-C40-D41-D45-C48/(1+'数据-取费表'!B42)),0)</f>
        <v>15462</v>
      </c>
      <c r="D49" s="238"/>
      <c r="E49" s="238"/>
      <c r="F49" s="270"/>
      <c r="G49" s="240" t="s">
        <v>1041</v>
      </c>
    </row>
    <row r="50" spans="1:7" s="264" customFormat="1" ht="24">
      <c r="A50" s="884" t="s">
        <v>789</v>
      </c>
      <c r="B50" s="216" t="s">
        <v>124</v>
      </c>
      <c r="C50" s="238"/>
      <c r="D50" s="238"/>
      <c r="E50" s="238"/>
      <c r="F50" s="270">
        <f>IF('数据-取费表'!B24=0,'数据-取费表'!N16,1)</f>
        <v>0.82</v>
      </c>
      <c r="G50" s="253" t="s">
        <v>125</v>
      </c>
    </row>
    <row r="51" spans="1:7" ht="16.5" customHeight="1">
      <c r="A51" s="884" t="s">
        <v>790</v>
      </c>
      <c r="B51" s="216" t="s">
        <v>132</v>
      </c>
      <c r="C51" s="238">
        <f ca="1">ROUND(C49*F50,0)</f>
        <v>12679</v>
      </c>
      <c r="D51" s="238"/>
      <c r="E51" s="238"/>
      <c r="F51" s="270"/>
      <c r="G51" s="240" t="s">
        <v>64</v>
      </c>
    </row>
    <row r="52" spans="1:7" s="214" customFormat="1" ht="16.5" thickBot="1">
      <c r="A52" s="271" t="s">
        <v>65</v>
      </c>
      <c r="B52" s="272"/>
      <c r="C52" s="273">
        <f ca="1">C31+C51</f>
        <v>42150</v>
      </c>
      <c r="D52" s="272"/>
      <c r="E52" s="272"/>
      <c r="F52" s="272"/>
      <c r="G52" s="274"/>
    </row>
    <row r="55" spans="1:7" ht="15">
      <c r="B55" s="276" t="s">
        <v>66</v>
      </c>
      <c r="C55" s="277"/>
    </row>
    <row r="56" spans="1:7">
      <c r="B56" s="279" t="s">
        <v>67</v>
      </c>
      <c r="C56" s="280">
        <f ca="1">ROUND(C51/C52,3)</f>
        <v>0.30099999999999999</v>
      </c>
    </row>
    <row r="57" spans="1:7">
      <c r="B57" s="279" t="s">
        <v>68</v>
      </c>
      <c r="C57" s="281">
        <f ca="1">1-C56</f>
        <v>0.69900000000000007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topLeftCell="D1" workbookViewId="0">
      <selection activeCell="Q32" sqref="Q32"/>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04" t="s">
        <v>156</v>
      </c>
      <c r="B1" s="3404"/>
      <c r="C1" s="3404"/>
      <c r="D1" s="3404"/>
      <c r="E1" s="3404"/>
      <c r="F1" s="3404"/>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05" t="s">
        <v>169</v>
      </c>
      <c r="B2" s="3405"/>
      <c r="C2" s="3405"/>
      <c r="D2" s="3405"/>
      <c r="E2" s="3405"/>
      <c r="F2" s="3405"/>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06"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07"/>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04" t="s">
        <v>839</v>
      </c>
      <c r="B1" s="3404"/>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8" customWidth="1"/>
    <col min="2" max="2" width="13.25" style="1414" customWidth="1"/>
    <col min="3" max="3" width="15.625" style="1414" customWidth="1"/>
    <col min="4" max="4" width="9.375" style="1414" bestFit="1" customWidth="1"/>
    <col min="5" max="5" width="13.5" style="1414" customWidth="1"/>
    <col min="6" max="6" width="9" style="1414"/>
    <col min="7" max="7" width="9.375" style="1414" bestFit="1" customWidth="1"/>
    <col min="8" max="8" width="12.25" style="1414" customWidth="1"/>
    <col min="9" max="9" width="9" style="1414"/>
    <col min="10" max="10" width="9.375" style="1414" bestFit="1" customWidth="1"/>
    <col min="11" max="11" width="4" style="1408" customWidth="1"/>
    <col min="12" max="12" width="5.125" style="1414" customWidth="1"/>
    <col min="13" max="13" width="13.75" style="1414" customWidth="1"/>
    <col min="14" max="256" width="9" style="1414"/>
    <col min="257" max="257" width="4.875" style="1405" customWidth="1"/>
    <col min="258" max="258" width="13.25" style="1405" customWidth="1"/>
    <col min="259" max="259" width="15.625" style="1405" customWidth="1"/>
    <col min="260" max="260" width="9.375" style="1405" bestFit="1" customWidth="1"/>
    <col min="261" max="261" width="13.5" style="1405" customWidth="1"/>
    <col min="262" max="262" width="9" style="1405"/>
    <col min="263" max="263" width="9.375" style="1405" bestFit="1" customWidth="1"/>
    <col min="264" max="265" width="9" style="1405"/>
    <col min="266" max="266" width="9.375" style="1405" bestFit="1" customWidth="1"/>
    <col min="267" max="267" width="4" style="1405" customWidth="1"/>
    <col min="268" max="268" width="5.125" style="1405" customWidth="1"/>
    <col min="269" max="269" width="13.75" style="1405" customWidth="1"/>
    <col min="270" max="512" width="9" style="1405"/>
    <col min="513" max="513" width="4.875" style="1405" customWidth="1"/>
    <col min="514" max="514" width="13.25" style="1405" customWidth="1"/>
    <col min="515" max="515" width="15.625" style="1405" customWidth="1"/>
    <col min="516" max="516" width="9.375" style="1405" bestFit="1" customWidth="1"/>
    <col min="517" max="517" width="13.5" style="1405" customWidth="1"/>
    <col min="518" max="518" width="9" style="1405"/>
    <col min="519" max="519" width="9.375" style="1405" bestFit="1" customWidth="1"/>
    <col min="520" max="521" width="9" style="1405"/>
    <col min="522" max="522" width="9.375" style="1405" bestFit="1" customWidth="1"/>
    <col min="523" max="523" width="4" style="1405" customWidth="1"/>
    <col min="524" max="524" width="5.125" style="1405" customWidth="1"/>
    <col min="525" max="525" width="13.75" style="1405" customWidth="1"/>
    <col min="526" max="768" width="9" style="1405"/>
    <col min="769" max="769" width="4.875" style="1405" customWidth="1"/>
    <col min="770" max="770" width="13.25" style="1405" customWidth="1"/>
    <col min="771" max="771" width="15.625" style="1405" customWidth="1"/>
    <col min="772" max="772" width="9.375" style="1405" bestFit="1" customWidth="1"/>
    <col min="773" max="773" width="13.5" style="1405" customWidth="1"/>
    <col min="774" max="774" width="9" style="1405"/>
    <col min="775" max="775" width="9.375" style="1405" bestFit="1" customWidth="1"/>
    <col min="776" max="777" width="9" style="1405"/>
    <col min="778" max="778" width="9.375" style="1405" bestFit="1" customWidth="1"/>
    <col min="779" max="779" width="4" style="1405" customWidth="1"/>
    <col min="780" max="780" width="5.125" style="1405" customWidth="1"/>
    <col min="781" max="781" width="13.75" style="1405" customWidth="1"/>
    <col min="782" max="1024" width="9" style="1405"/>
    <col min="1025" max="1025" width="4.875" style="1405" customWidth="1"/>
    <col min="1026" max="1026" width="13.25" style="1405" customWidth="1"/>
    <col min="1027" max="1027" width="15.625" style="1405" customWidth="1"/>
    <col min="1028" max="1028" width="9.375" style="1405" bestFit="1" customWidth="1"/>
    <col min="1029" max="1029" width="13.5" style="1405" customWidth="1"/>
    <col min="1030" max="1030" width="9" style="1405"/>
    <col min="1031" max="1031" width="9.375" style="1405" bestFit="1" customWidth="1"/>
    <col min="1032" max="1033" width="9" style="1405"/>
    <col min="1034" max="1034" width="9.375" style="1405" bestFit="1" customWidth="1"/>
    <col min="1035" max="1035" width="4" style="1405" customWidth="1"/>
    <col min="1036" max="1036" width="5.125" style="1405" customWidth="1"/>
    <col min="1037" max="1037" width="13.75" style="1405" customWidth="1"/>
    <col min="1038" max="1280" width="9" style="1405"/>
    <col min="1281" max="1281" width="4.875" style="1405" customWidth="1"/>
    <col min="1282" max="1282" width="13.25" style="1405" customWidth="1"/>
    <col min="1283" max="1283" width="15.625" style="1405" customWidth="1"/>
    <col min="1284" max="1284" width="9.375" style="1405" bestFit="1" customWidth="1"/>
    <col min="1285" max="1285" width="13.5" style="1405" customWidth="1"/>
    <col min="1286" max="1286" width="9" style="1405"/>
    <col min="1287" max="1287" width="9.375" style="1405" bestFit="1" customWidth="1"/>
    <col min="1288" max="1289" width="9" style="1405"/>
    <col min="1290" max="1290" width="9.375" style="1405" bestFit="1" customWidth="1"/>
    <col min="1291" max="1291" width="4" style="1405" customWidth="1"/>
    <col min="1292" max="1292" width="5.125" style="1405" customWidth="1"/>
    <col min="1293" max="1293" width="13.75" style="1405" customWidth="1"/>
    <col min="1294" max="1536" width="9" style="1405"/>
    <col min="1537" max="1537" width="4.875" style="1405" customWidth="1"/>
    <col min="1538" max="1538" width="13.25" style="1405" customWidth="1"/>
    <col min="1539" max="1539" width="15.625" style="1405" customWidth="1"/>
    <col min="1540" max="1540" width="9.375" style="1405" bestFit="1" customWidth="1"/>
    <col min="1541" max="1541" width="13.5" style="1405" customWidth="1"/>
    <col min="1542" max="1542" width="9" style="1405"/>
    <col min="1543" max="1543" width="9.375" style="1405" bestFit="1" customWidth="1"/>
    <col min="1544" max="1545" width="9" style="1405"/>
    <col min="1546" max="1546" width="9.375" style="1405" bestFit="1" customWidth="1"/>
    <col min="1547" max="1547" width="4" style="1405" customWidth="1"/>
    <col min="1548" max="1548" width="5.125" style="1405" customWidth="1"/>
    <col min="1549" max="1549" width="13.75" style="1405" customWidth="1"/>
    <col min="1550" max="1792" width="9" style="1405"/>
    <col min="1793" max="1793" width="4.875" style="1405" customWidth="1"/>
    <col min="1794" max="1794" width="13.25" style="1405" customWidth="1"/>
    <col min="1795" max="1795" width="15.625" style="1405" customWidth="1"/>
    <col min="1796" max="1796" width="9.375" style="1405" bestFit="1" customWidth="1"/>
    <col min="1797" max="1797" width="13.5" style="1405" customWidth="1"/>
    <col min="1798" max="1798" width="9" style="1405"/>
    <col min="1799" max="1799" width="9.375" style="1405" bestFit="1" customWidth="1"/>
    <col min="1800" max="1801" width="9" style="1405"/>
    <col min="1802" max="1802" width="9.375" style="1405" bestFit="1" customWidth="1"/>
    <col min="1803" max="1803" width="4" style="1405" customWidth="1"/>
    <col min="1804" max="1804" width="5.125" style="1405" customWidth="1"/>
    <col min="1805" max="1805" width="13.75" style="1405" customWidth="1"/>
    <col min="1806" max="2048" width="9" style="1405"/>
    <col min="2049" max="2049" width="4.875" style="1405" customWidth="1"/>
    <col min="2050" max="2050" width="13.25" style="1405" customWidth="1"/>
    <col min="2051" max="2051" width="15.625" style="1405" customWidth="1"/>
    <col min="2052" max="2052" width="9.375" style="1405" bestFit="1" customWidth="1"/>
    <col min="2053" max="2053" width="13.5" style="1405" customWidth="1"/>
    <col min="2054" max="2054" width="9" style="1405"/>
    <col min="2055" max="2055" width="9.375" style="1405" bestFit="1" customWidth="1"/>
    <col min="2056" max="2057" width="9" style="1405"/>
    <col min="2058" max="2058" width="9.375" style="1405" bestFit="1" customWidth="1"/>
    <col min="2059" max="2059" width="4" style="1405" customWidth="1"/>
    <col min="2060" max="2060" width="5.125" style="1405" customWidth="1"/>
    <col min="2061" max="2061" width="13.75" style="1405" customWidth="1"/>
    <col min="2062" max="2304" width="9" style="1405"/>
    <col min="2305" max="2305" width="4.875" style="1405" customWidth="1"/>
    <col min="2306" max="2306" width="13.25" style="1405" customWidth="1"/>
    <col min="2307" max="2307" width="15.625" style="1405" customWidth="1"/>
    <col min="2308" max="2308" width="9.375" style="1405" bestFit="1" customWidth="1"/>
    <col min="2309" max="2309" width="13.5" style="1405" customWidth="1"/>
    <col min="2310" max="2310" width="9" style="1405"/>
    <col min="2311" max="2311" width="9.375" style="1405" bestFit="1" customWidth="1"/>
    <col min="2312" max="2313" width="9" style="1405"/>
    <col min="2314" max="2314" width="9.375" style="1405" bestFit="1" customWidth="1"/>
    <col min="2315" max="2315" width="4" style="1405" customWidth="1"/>
    <col min="2316" max="2316" width="5.125" style="1405" customWidth="1"/>
    <col min="2317" max="2317" width="13.75" style="1405" customWidth="1"/>
    <col min="2318" max="2560" width="9" style="1405"/>
    <col min="2561" max="2561" width="4.875" style="1405" customWidth="1"/>
    <col min="2562" max="2562" width="13.25" style="1405" customWidth="1"/>
    <col min="2563" max="2563" width="15.625" style="1405" customWidth="1"/>
    <col min="2564" max="2564" width="9.375" style="1405" bestFit="1" customWidth="1"/>
    <col min="2565" max="2565" width="13.5" style="1405" customWidth="1"/>
    <col min="2566" max="2566" width="9" style="1405"/>
    <col min="2567" max="2567" width="9.375" style="1405" bestFit="1" customWidth="1"/>
    <col min="2568" max="2569" width="9" style="1405"/>
    <col min="2570" max="2570" width="9.375" style="1405" bestFit="1" customWidth="1"/>
    <col min="2571" max="2571" width="4" style="1405" customWidth="1"/>
    <col min="2572" max="2572" width="5.125" style="1405" customWidth="1"/>
    <col min="2573" max="2573" width="13.75" style="1405" customWidth="1"/>
    <col min="2574" max="2816" width="9" style="1405"/>
    <col min="2817" max="2817" width="4.875" style="1405" customWidth="1"/>
    <col min="2818" max="2818" width="13.25" style="1405" customWidth="1"/>
    <col min="2819" max="2819" width="15.625" style="1405" customWidth="1"/>
    <col min="2820" max="2820" width="9.375" style="1405" bestFit="1" customWidth="1"/>
    <col min="2821" max="2821" width="13.5" style="1405" customWidth="1"/>
    <col min="2822" max="2822" width="9" style="1405"/>
    <col min="2823" max="2823" width="9.375" style="1405" bestFit="1" customWidth="1"/>
    <col min="2824" max="2825" width="9" style="1405"/>
    <col min="2826" max="2826" width="9.375" style="1405" bestFit="1" customWidth="1"/>
    <col min="2827" max="2827" width="4" style="1405" customWidth="1"/>
    <col min="2828" max="2828" width="5.125" style="1405" customWidth="1"/>
    <col min="2829" max="2829" width="13.75" style="1405" customWidth="1"/>
    <col min="2830" max="3072" width="9" style="1405"/>
    <col min="3073" max="3073" width="4.875" style="1405" customWidth="1"/>
    <col min="3074" max="3074" width="13.25" style="1405" customWidth="1"/>
    <col min="3075" max="3075" width="15.625" style="1405" customWidth="1"/>
    <col min="3076" max="3076" width="9.375" style="1405" bestFit="1" customWidth="1"/>
    <col min="3077" max="3077" width="13.5" style="1405" customWidth="1"/>
    <col min="3078" max="3078" width="9" style="1405"/>
    <col min="3079" max="3079" width="9.375" style="1405" bestFit="1" customWidth="1"/>
    <col min="3080" max="3081" width="9" style="1405"/>
    <col min="3082" max="3082" width="9.375" style="1405" bestFit="1" customWidth="1"/>
    <col min="3083" max="3083" width="4" style="1405" customWidth="1"/>
    <col min="3084" max="3084" width="5.125" style="1405" customWidth="1"/>
    <col min="3085" max="3085" width="13.75" style="1405" customWidth="1"/>
    <col min="3086" max="3328" width="9" style="1405"/>
    <col min="3329" max="3329" width="4.875" style="1405" customWidth="1"/>
    <col min="3330" max="3330" width="13.25" style="1405" customWidth="1"/>
    <col min="3331" max="3331" width="15.625" style="1405" customWidth="1"/>
    <col min="3332" max="3332" width="9.375" style="1405" bestFit="1" customWidth="1"/>
    <col min="3333" max="3333" width="13.5" style="1405" customWidth="1"/>
    <col min="3334" max="3334" width="9" style="1405"/>
    <col min="3335" max="3335" width="9.375" style="1405" bestFit="1" customWidth="1"/>
    <col min="3336" max="3337" width="9" style="1405"/>
    <col min="3338" max="3338" width="9.375" style="1405" bestFit="1" customWidth="1"/>
    <col min="3339" max="3339" width="4" style="1405" customWidth="1"/>
    <col min="3340" max="3340" width="5.125" style="1405" customWidth="1"/>
    <col min="3341" max="3341" width="13.75" style="1405" customWidth="1"/>
    <col min="3342" max="3584" width="9" style="1405"/>
    <col min="3585" max="3585" width="4.875" style="1405" customWidth="1"/>
    <col min="3586" max="3586" width="13.25" style="1405" customWidth="1"/>
    <col min="3587" max="3587" width="15.625" style="1405" customWidth="1"/>
    <col min="3588" max="3588" width="9.375" style="1405" bestFit="1" customWidth="1"/>
    <col min="3589" max="3589" width="13.5" style="1405" customWidth="1"/>
    <col min="3590" max="3590" width="9" style="1405"/>
    <col min="3591" max="3591" width="9.375" style="1405" bestFit="1" customWidth="1"/>
    <col min="3592" max="3593" width="9" style="1405"/>
    <col min="3594" max="3594" width="9.375" style="1405" bestFit="1" customWidth="1"/>
    <col min="3595" max="3595" width="4" style="1405" customWidth="1"/>
    <col min="3596" max="3596" width="5.125" style="1405" customWidth="1"/>
    <col min="3597" max="3597" width="13.75" style="1405" customWidth="1"/>
    <col min="3598" max="3840" width="9" style="1405"/>
    <col min="3841" max="3841" width="4.875" style="1405" customWidth="1"/>
    <col min="3842" max="3842" width="13.25" style="1405" customWidth="1"/>
    <col min="3843" max="3843" width="15.625" style="1405" customWidth="1"/>
    <col min="3844" max="3844" width="9.375" style="1405" bestFit="1" customWidth="1"/>
    <col min="3845" max="3845" width="13.5" style="1405" customWidth="1"/>
    <col min="3846" max="3846" width="9" style="1405"/>
    <col min="3847" max="3847" width="9.375" style="1405" bestFit="1" customWidth="1"/>
    <col min="3848" max="3849" width="9" style="1405"/>
    <col min="3850" max="3850" width="9.375" style="1405" bestFit="1" customWidth="1"/>
    <col min="3851" max="3851" width="4" style="1405" customWidth="1"/>
    <col min="3852" max="3852" width="5.125" style="1405" customWidth="1"/>
    <col min="3853" max="3853" width="13.75" style="1405" customWidth="1"/>
    <col min="3854" max="4096" width="9" style="1405"/>
    <col min="4097" max="4097" width="4.875" style="1405" customWidth="1"/>
    <col min="4098" max="4098" width="13.25" style="1405" customWidth="1"/>
    <col min="4099" max="4099" width="15.625" style="1405" customWidth="1"/>
    <col min="4100" max="4100" width="9.375" style="1405" bestFit="1" customWidth="1"/>
    <col min="4101" max="4101" width="13.5" style="1405" customWidth="1"/>
    <col min="4102" max="4102" width="9" style="1405"/>
    <col min="4103" max="4103" width="9.375" style="1405" bestFit="1" customWidth="1"/>
    <col min="4104" max="4105" width="9" style="1405"/>
    <col min="4106" max="4106" width="9.375" style="1405" bestFit="1" customWidth="1"/>
    <col min="4107" max="4107" width="4" style="1405" customWidth="1"/>
    <col min="4108" max="4108" width="5.125" style="1405" customWidth="1"/>
    <col min="4109" max="4109" width="13.75" style="1405" customWidth="1"/>
    <col min="4110" max="4352" width="9" style="1405"/>
    <col min="4353" max="4353" width="4.875" style="1405" customWidth="1"/>
    <col min="4354" max="4354" width="13.25" style="1405" customWidth="1"/>
    <col min="4355" max="4355" width="15.625" style="1405" customWidth="1"/>
    <col min="4356" max="4356" width="9.375" style="1405" bestFit="1" customWidth="1"/>
    <col min="4357" max="4357" width="13.5" style="1405" customWidth="1"/>
    <col min="4358" max="4358" width="9" style="1405"/>
    <col min="4359" max="4359" width="9.375" style="1405" bestFit="1" customWidth="1"/>
    <col min="4360" max="4361" width="9" style="1405"/>
    <col min="4362" max="4362" width="9.375" style="1405" bestFit="1" customWidth="1"/>
    <col min="4363" max="4363" width="4" style="1405" customWidth="1"/>
    <col min="4364" max="4364" width="5.125" style="1405" customWidth="1"/>
    <col min="4365" max="4365" width="13.75" style="1405" customWidth="1"/>
    <col min="4366" max="4608" width="9" style="1405"/>
    <col min="4609" max="4609" width="4.875" style="1405" customWidth="1"/>
    <col min="4610" max="4610" width="13.25" style="1405" customWidth="1"/>
    <col min="4611" max="4611" width="15.625" style="1405" customWidth="1"/>
    <col min="4612" max="4612" width="9.375" style="1405" bestFit="1" customWidth="1"/>
    <col min="4613" max="4613" width="13.5" style="1405" customWidth="1"/>
    <col min="4614" max="4614" width="9" style="1405"/>
    <col min="4615" max="4615" width="9.375" style="1405" bestFit="1" customWidth="1"/>
    <col min="4616" max="4617" width="9" style="1405"/>
    <col min="4618" max="4618" width="9.375" style="1405" bestFit="1" customWidth="1"/>
    <col min="4619" max="4619" width="4" style="1405" customWidth="1"/>
    <col min="4620" max="4620" width="5.125" style="1405" customWidth="1"/>
    <col min="4621" max="4621" width="13.75" style="1405" customWidth="1"/>
    <col min="4622" max="4864" width="9" style="1405"/>
    <col min="4865" max="4865" width="4.875" style="1405" customWidth="1"/>
    <col min="4866" max="4866" width="13.25" style="1405" customWidth="1"/>
    <col min="4867" max="4867" width="15.625" style="1405" customWidth="1"/>
    <col min="4868" max="4868" width="9.375" style="1405" bestFit="1" customWidth="1"/>
    <col min="4869" max="4869" width="13.5" style="1405" customWidth="1"/>
    <col min="4870" max="4870" width="9" style="1405"/>
    <col min="4871" max="4871" width="9.375" style="1405" bestFit="1" customWidth="1"/>
    <col min="4872" max="4873" width="9" style="1405"/>
    <col min="4874" max="4874" width="9.375" style="1405" bestFit="1" customWidth="1"/>
    <col min="4875" max="4875" width="4" style="1405" customWidth="1"/>
    <col min="4876" max="4876" width="5.125" style="1405" customWidth="1"/>
    <col min="4877" max="4877" width="13.75" style="1405" customWidth="1"/>
    <col min="4878" max="5120" width="9" style="1405"/>
    <col min="5121" max="5121" width="4.875" style="1405" customWidth="1"/>
    <col min="5122" max="5122" width="13.25" style="1405" customWidth="1"/>
    <col min="5123" max="5123" width="15.625" style="1405" customWidth="1"/>
    <col min="5124" max="5124" width="9.375" style="1405" bestFit="1" customWidth="1"/>
    <col min="5125" max="5125" width="13.5" style="1405" customWidth="1"/>
    <col min="5126" max="5126" width="9" style="1405"/>
    <col min="5127" max="5127" width="9.375" style="1405" bestFit="1" customWidth="1"/>
    <col min="5128" max="5129" width="9" style="1405"/>
    <col min="5130" max="5130" width="9.375" style="1405" bestFit="1" customWidth="1"/>
    <col min="5131" max="5131" width="4" style="1405" customWidth="1"/>
    <col min="5132" max="5132" width="5.125" style="1405" customWidth="1"/>
    <col min="5133" max="5133" width="13.75" style="1405" customWidth="1"/>
    <col min="5134" max="5376" width="9" style="1405"/>
    <col min="5377" max="5377" width="4.875" style="1405" customWidth="1"/>
    <col min="5378" max="5378" width="13.25" style="1405" customWidth="1"/>
    <col min="5379" max="5379" width="15.625" style="1405" customWidth="1"/>
    <col min="5380" max="5380" width="9.375" style="1405" bestFit="1" customWidth="1"/>
    <col min="5381" max="5381" width="13.5" style="1405" customWidth="1"/>
    <col min="5382" max="5382" width="9" style="1405"/>
    <col min="5383" max="5383" width="9.375" style="1405" bestFit="1" customWidth="1"/>
    <col min="5384" max="5385" width="9" style="1405"/>
    <col min="5386" max="5386" width="9.375" style="1405" bestFit="1" customWidth="1"/>
    <col min="5387" max="5387" width="4" style="1405" customWidth="1"/>
    <col min="5388" max="5388" width="5.125" style="1405" customWidth="1"/>
    <col min="5389" max="5389" width="13.75" style="1405" customWidth="1"/>
    <col min="5390" max="5632" width="9" style="1405"/>
    <col min="5633" max="5633" width="4.875" style="1405" customWidth="1"/>
    <col min="5634" max="5634" width="13.25" style="1405" customWidth="1"/>
    <col min="5635" max="5635" width="15.625" style="1405" customWidth="1"/>
    <col min="5636" max="5636" width="9.375" style="1405" bestFit="1" customWidth="1"/>
    <col min="5637" max="5637" width="13.5" style="1405" customWidth="1"/>
    <col min="5638" max="5638" width="9" style="1405"/>
    <col min="5639" max="5639" width="9.375" style="1405" bestFit="1" customWidth="1"/>
    <col min="5640" max="5641" width="9" style="1405"/>
    <col min="5642" max="5642" width="9.375" style="1405" bestFit="1" customWidth="1"/>
    <col min="5643" max="5643" width="4" style="1405" customWidth="1"/>
    <col min="5644" max="5644" width="5.125" style="1405" customWidth="1"/>
    <col min="5645" max="5645" width="13.75" style="1405" customWidth="1"/>
    <col min="5646" max="5888" width="9" style="1405"/>
    <col min="5889" max="5889" width="4.875" style="1405" customWidth="1"/>
    <col min="5890" max="5890" width="13.25" style="1405" customWidth="1"/>
    <col min="5891" max="5891" width="15.625" style="1405" customWidth="1"/>
    <col min="5892" max="5892" width="9.375" style="1405" bestFit="1" customWidth="1"/>
    <col min="5893" max="5893" width="13.5" style="1405" customWidth="1"/>
    <col min="5894" max="5894" width="9" style="1405"/>
    <col min="5895" max="5895" width="9.375" style="1405" bestFit="1" customWidth="1"/>
    <col min="5896" max="5897" width="9" style="1405"/>
    <col min="5898" max="5898" width="9.375" style="1405" bestFit="1" customWidth="1"/>
    <col min="5899" max="5899" width="4" style="1405" customWidth="1"/>
    <col min="5900" max="5900" width="5.125" style="1405" customWidth="1"/>
    <col min="5901" max="5901" width="13.75" style="1405" customWidth="1"/>
    <col min="5902" max="6144" width="9" style="1405"/>
    <col min="6145" max="6145" width="4.875" style="1405" customWidth="1"/>
    <col min="6146" max="6146" width="13.25" style="1405" customWidth="1"/>
    <col min="6147" max="6147" width="15.625" style="1405" customWidth="1"/>
    <col min="6148" max="6148" width="9.375" style="1405" bestFit="1" customWidth="1"/>
    <col min="6149" max="6149" width="13.5" style="1405" customWidth="1"/>
    <col min="6150" max="6150" width="9" style="1405"/>
    <col min="6151" max="6151" width="9.375" style="1405" bestFit="1" customWidth="1"/>
    <col min="6152" max="6153" width="9" style="1405"/>
    <col min="6154" max="6154" width="9.375" style="1405" bestFit="1" customWidth="1"/>
    <col min="6155" max="6155" width="4" style="1405" customWidth="1"/>
    <col min="6156" max="6156" width="5.125" style="1405" customWidth="1"/>
    <col min="6157" max="6157" width="13.75" style="1405" customWidth="1"/>
    <col min="6158" max="6400" width="9" style="1405"/>
    <col min="6401" max="6401" width="4.875" style="1405" customWidth="1"/>
    <col min="6402" max="6402" width="13.25" style="1405" customWidth="1"/>
    <col min="6403" max="6403" width="15.625" style="1405" customWidth="1"/>
    <col min="6404" max="6404" width="9.375" style="1405" bestFit="1" customWidth="1"/>
    <col min="6405" max="6405" width="13.5" style="1405" customWidth="1"/>
    <col min="6406" max="6406" width="9" style="1405"/>
    <col min="6407" max="6407" width="9.375" style="1405" bestFit="1" customWidth="1"/>
    <col min="6408" max="6409" width="9" style="1405"/>
    <col min="6410" max="6410" width="9.375" style="1405" bestFit="1" customWidth="1"/>
    <col min="6411" max="6411" width="4" style="1405" customWidth="1"/>
    <col min="6412" max="6412" width="5.125" style="1405" customWidth="1"/>
    <col min="6413" max="6413" width="13.75" style="1405" customWidth="1"/>
    <col min="6414" max="6656" width="9" style="1405"/>
    <col min="6657" max="6657" width="4.875" style="1405" customWidth="1"/>
    <col min="6658" max="6658" width="13.25" style="1405" customWidth="1"/>
    <col min="6659" max="6659" width="15.625" style="1405" customWidth="1"/>
    <col min="6660" max="6660" width="9.375" style="1405" bestFit="1" customWidth="1"/>
    <col min="6661" max="6661" width="13.5" style="1405" customWidth="1"/>
    <col min="6662" max="6662" width="9" style="1405"/>
    <col min="6663" max="6663" width="9.375" style="1405" bestFit="1" customWidth="1"/>
    <col min="6664" max="6665" width="9" style="1405"/>
    <col min="6666" max="6666" width="9.375" style="1405" bestFit="1" customWidth="1"/>
    <col min="6667" max="6667" width="4" style="1405" customWidth="1"/>
    <col min="6668" max="6668" width="5.125" style="1405" customWidth="1"/>
    <col min="6669" max="6669" width="13.75" style="1405" customWidth="1"/>
    <col min="6670" max="6912" width="9" style="1405"/>
    <col min="6913" max="6913" width="4.875" style="1405" customWidth="1"/>
    <col min="6914" max="6914" width="13.25" style="1405" customWidth="1"/>
    <col min="6915" max="6915" width="15.625" style="1405" customWidth="1"/>
    <col min="6916" max="6916" width="9.375" style="1405" bestFit="1" customWidth="1"/>
    <col min="6917" max="6917" width="13.5" style="1405" customWidth="1"/>
    <col min="6918" max="6918" width="9" style="1405"/>
    <col min="6919" max="6919" width="9.375" style="1405" bestFit="1" customWidth="1"/>
    <col min="6920" max="6921" width="9" style="1405"/>
    <col min="6922" max="6922" width="9.375" style="1405" bestFit="1" customWidth="1"/>
    <col min="6923" max="6923" width="4" style="1405" customWidth="1"/>
    <col min="6924" max="6924" width="5.125" style="1405" customWidth="1"/>
    <col min="6925" max="6925" width="13.75" style="1405" customWidth="1"/>
    <col min="6926" max="7168" width="9" style="1405"/>
    <col min="7169" max="7169" width="4.875" style="1405" customWidth="1"/>
    <col min="7170" max="7170" width="13.25" style="1405" customWidth="1"/>
    <col min="7171" max="7171" width="15.625" style="1405" customWidth="1"/>
    <col min="7172" max="7172" width="9.375" style="1405" bestFit="1" customWidth="1"/>
    <col min="7173" max="7173" width="13.5" style="1405" customWidth="1"/>
    <col min="7174" max="7174" width="9" style="1405"/>
    <col min="7175" max="7175" width="9.375" style="1405" bestFit="1" customWidth="1"/>
    <col min="7176" max="7177" width="9" style="1405"/>
    <col min="7178" max="7178" width="9.375" style="1405" bestFit="1" customWidth="1"/>
    <col min="7179" max="7179" width="4" style="1405" customWidth="1"/>
    <col min="7180" max="7180" width="5.125" style="1405" customWidth="1"/>
    <col min="7181" max="7181" width="13.75" style="1405" customWidth="1"/>
    <col min="7182" max="7424" width="9" style="1405"/>
    <col min="7425" max="7425" width="4.875" style="1405" customWidth="1"/>
    <col min="7426" max="7426" width="13.25" style="1405" customWidth="1"/>
    <col min="7427" max="7427" width="15.625" style="1405" customWidth="1"/>
    <col min="7428" max="7428" width="9.375" style="1405" bestFit="1" customWidth="1"/>
    <col min="7429" max="7429" width="13.5" style="1405" customWidth="1"/>
    <col min="7430" max="7430" width="9" style="1405"/>
    <col min="7431" max="7431" width="9.375" style="1405" bestFit="1" customWidth="1"/>
    <col min="7432" max="7433" width="9" style="1405"/>
    <col min="7434" max="7434" width="9.375" style="1405" bestFit="1" customWidth="1"/>
    <col min="7435" max="7435" width="4" style="1405" customWidth="1"/>
    <col min="7436" max="7436" width="5.125" style="1405" customWidth="1"/>
    <col min="7437" max="7437" width="13.75" style="1405" customWidth="1"/>
    <col min="7438" max="7680" width="9" style="1405"/>
    <col min="7681" max="7681" width="4.875" style="1405" customWidth="1"/>
    <col min="7682" max="7682" width="13.25" style="1405" customWidth="1"/>
    <col min="7683" max="7683" width="15.625" style="1405" customWidth="1"/>
    <col min="7684" max="7684" width="9.375" style="1405" bestFit="1" customWidth="1"/>
    <col min="7685" max="7685" width="13.5" style="1405" customWidth="1"/>
    <col min="7686" max="7686" width="9" style="1405"/>
    <col min="7687" max="7687" width="9.375" style="1405" bestFit="1" customWidth="1"/>
    <col min="7688" max="7689" width="9" style="1405"/>
    <col min="7690" max="7690" width="9.375" style="1405" bestFit="1" customWidth="1"/>
    <col min="7691" max="7691" width="4" style="1405" customWidth="1"/>
    <col min="7692" max="7692" width="5.125" style="1405" customWidth="1"/>
    <col min="7693" max="7693" width="13.75" style="1405" customWidth="1"/>
    <col min="7694" max="7936" width="9" style="1405"/>
    <col min="7937" max="7937" width="4.875" style="1405" customWidth="1"/>
    <col min="7938" max="7938" width="13.25" style="1405" customWidth="1"/>
    <col min="7939" max="7939" width="15.625" style="1405" customWidth="1"/>
    <col min="7940" max="7940" width="9.375" style="1405" bestFit="1" customWidth="1"/>
    <col min="7941" max="7941" width="13.5" style="1405" customWidth="1"/>
    <col min="7942" max="7942" width="9" style="1405"/>
    <col min="7943" max="7943" width="9.375" style="1405" bestFit="1" customWidth="1"/>
    <col min="7944" max="7945" width="9" style="1405"/>
    <col min="7946" max="7946" width="9.375" style="1405" bestFit="1" customWidth="1"/>
    <col min="7947" max="7947" width="4" style="1405" customWidth="1"/>
    <col min="7948" max="7948" width="5.125" style="1405" customWidth="1"/>
    <col min="7949" max="7949" width="13.75" style="1405" customWidth="1"/>
    <col min="7950" max="8192" width="9" style="1405"/>
    <col min="8193" max="8193" width="4.875" style="1405" customWidth="1"/>
    <col min="8194" max="8194" width="13.25" style="1405" customWidth="1"/>
    <col min="8195" max="8195" width="15.625" style="1405" customWidth="1"/>
    <col min="8196" max="8196" width="9.375" style="1405" bestFit="1" customWidth="1"/>
    <col min="8197" max="8197" width="13.5" style="1405" customWidth="1"/>
    <col min="8198" max="8198" width="9" style="1405"/>
    <col min="8199" max="8199" width="9.375" style="1405" bestFit="1" customWidth="1"/>
    <col min="8200" max="8201" width="9" style="1405"/>
    <col min="8202" max="8202" width="9.375" style="1405" bestFit="1" customWidth="1"/>
    <col min="8203" max="8203" width="4" style="1405" customWidth="1"/>
    <col min="8204" max="8204" width="5.125" style="1405" customWidth="1"/>
    <col min="8205" max="8205" width="13.75" style="1405" customWidth="1"/>
    <col min="8206" max="8448" width="9" style="1405"/>
    <col min="8449" max="8449" width="4.875" style="1405" customWidth="1"/>
    <col min="8450" max="8450" width="13.25" style="1405" customWidth="1"/>
    <col min="8451" max="8451" width="15.625" style="1405" customWidth="1"/>
    <col min="8452" max="8452" width="9.375" style="1405" bestFit="1" customWidth="1"/>
    <col min="8453" max="8453" width="13.5" style="1405" customWidth="1"/>
    <col min="8454" max="8454" width="9" style="1405"/>
    <col min="8455" max="8455" width="9.375" style="1405" bestFit="1" customWidth="1"/>
    <col min="8456" max="8457" width="9" style="1405"/>
    <col min="8458" max="8458" width="9.375" style="1405" bestFit="1" customWidth="1"/>
    <col min="8459" max="8459" width="4" style="1405" customWidth="1"/>
    <col min="8460" max="8460" width="5.125" style="1405" customWidth="1"/>
    <col min="8461" max="8461" width="13.75" style="1405" customWidth="1"/>
    <col min="8462" max="8704" width="9" style="1405"/>
    <col min="8705" max="8705" width="4.875" style="1405" customWidth="1"/>
    <col min="8706" max="8706" width="13.25" style="1405" customWidth="1"/>
    <col min="8707" max="8707" width="15.625" style="1405" customWidth="1"/>
    <col min="8708" max="8708" width="9.375" style="1405" bestFit="1" customWidth="1"/>
    <col min="8709" max="8709" width="13.5" style="1405" customWidth="1"/>
    <col min="8710" max="8710" width="9" style="1405"/>
    <col min="8711" max="8711" width="9.375" style="1405" bestFit="1" customWidth="1"/>
    <col min="8712" max="8713" width="9" style="1405"/>
    <col min="8714" max="8714" width="9.375" style="1405" bestFit="1" customWidth="1"/>
    <col min="8715" max="8715" width="4" style="1405" customWidth="1"/>
    <col min="8716" max="8716" width="5.125" style="1405" customWidth="1"/>
    <col min="8717" max="8717" width="13.75" style="1405" customWidth="1"/>
    <col min="8718" max="8960" width="9" style="1405"/>
    <col min="8961" max="8961" width="4.875" style="1405" customWidth="1"/>
    <col min="8962" max="8962" width="13.25" style="1405" customWidth="1"/>
    <col min="8963" max="8963" width="15.625" style="1405" customWidth="1"/>
    <col min="8964" max="8964" width="9.375" style="1405" bestFit="1" customWidth="1"/>
    <col min="8965" max="8965" width="13.5" style="1405" customWidth="1"/>
    <col min="8966" max="8966" width="9" style="1405"/>
    <col min="8967" max="8967" width="9.375" style="1405" bestFit="1" customWidth="1"/>
    <col min="8968" max="8969" width="9" style="1405"/>
    <col min="8970" max="8970" width="9.375" style="1405" bestFit="1" customWidth="1"/>
    <col min="8971" max="8971" width="4" style="1405" customWidth="1"/>
    <col min="8972" max="8972" width="5.125" style="1405" customWidth="1"/>
    <col min="8973" max="8973" width="13.75" style="1405" customWidth="1"/>
    <col min="8974" max="9216" width="9" style="1405"/>
    <col min="9217" max="9217" width="4.875" style="1405" customWidth="1"/>
    <col min="9218" max="9218" width="13.25" style="1405" customWidth="1"/>
    <col min="9219" max="9219" width="15.625" style="1405" customWidth="1"/>
    <col min="9220" max="9220" width="9.375" style="1405" bestFit="1" customWidth="1"/>
    <col min="9221" max="9221" width="13.5" style="1405" customWidth="1"/>
    <col min="9222" max="9222" width="9" style="1405"/>
    <col min="9223" max="9223" width="9.375" style="1405" bestFit="1" customWidth="1"/>
    <col min="9224" max="9225" width="9" style="1405"/>
    <col min="9226" max="9226" width="9.375" style="1405" bestFit="1" customWidth="1"/>
    <col min="9227" max="9227" width="4" style="1405" customWidth="1"/>
    <col min="9228" max="9228" width="5.125" style="1405" customWidth="1"/>
    <col min="9229" max="9229" width="13.75" style="1405" customWidth="1"/>
    <col min="9230" max="9472" width="9" style="1405"/>
    <col min="9473" max="9473" width="4.875" style="1405" customWidth="1"/>
    <col min="9474" max="9474" width="13.25" style="1405" customWidth="1"/>
    <col min="9475" max="9475" width="15.625" style="1405" customWidth="1"/>
    <col min="9476" max="9476" width="9.375" style="1405" bestFit="1" customWidth="1"/>
    <col min="9477" max="9477" width="13.5" style="1405" customWidth="1"/>
    <col min="9478" max="9478" width="9" style="1405"/>
    <col min="9479" max="9479" width="9.375" style="1405" bestFit="1" customWidth="1"/>
    <col min="9480" max="9481" width="9" style="1405"/>
    <col min="9482" max="9482" width="9.375" style="1405" bestFit="1" customWidth="1"/>
    <col min="9483" max="9483" width="4" style="1405" customWidth="1"/>
    <col min="9484" max="9484" width="5.125" style="1405" customWidth="1"/>
    <col min="9485" max="9485" width="13.75" style="1405" customWidth="1"/>
    <col min="9486" max="9728" width="9" style="1405"/>
    <col min="9729" max="9729" width="4.875" style="1405" customWidth="1"/>
    <col min="9730" max="9730" width="13.25" style="1405" customWidth="1"/>
    <col min="9731" max="9731" width="15.625" style="1405" customWidth="1"/>
    <col min="9732" max="9732" width="9.375" style="1405" bestFit="1" customWidth="1"/>
    <col min="9733" max="9733" width="13.5" style="1405" customWidth="1"/>
    <col min="9734" max="9734" width="9" style="1405"/>
    <col min="9735" max="9735" width="9.375" style="1405" bestFit="1" customWidth="1"/>
    <col min="9736" max="9737" width="9" style="1405"/>
    <col min="9738" max="9738" width="9.375" style="1405" bestFit="1" customWidth="1"/>
    <col min="9739" max="9739" width="4" style="1405" customWidth="1"/>
    <col min="9740" max="9740" width="5.125" style="1405" customWidth="1"/>
    <col min="9741" max="9741" width="13.75" style="1405" customWidth="1"/>
    <col min="9742" max="9984" width="9" style="1405"/>
    <col min="9985" max="9985" width="4.875" style="1405" customWidth="1"/>
    <col min="9986" max="9986" width="13.25" style="1405" customWidth="1"/>
    <col min="9987" max="9987" width="15.625" style="1405" customWidth="1"/>
    <col min="9988" max="9988" width="9.375" style="1405" bestFit="1" customWidth="1"/>
    <col min="9989" max="9989" width="13.5" style="1405" customWidth="1"/>
    <col min="9990" max="9990" width="9" style="1405"/>
    <col min="9991" max="9991" width="9.375" style="1405" bestFit="1" customWidth="1"/>
    <col min="9992" max="9993" width="9" style="1405"/>
    <col min="9994" max="9994" width="9.375" style="1405" bestFit="1" customWidth="1"/>
    <col min="9995" max="9995" width="4" style="1405" customWidth="1"/>
    <col min="9996" max="9996" width="5.125" style="1405" customWidth="1"/>
    <col min="9997" max="9997" width="13.75" style="1405" customWidth="1"/>
    <col min="9998" max="10240" width="9" style="1405"/>
    <col min="10241" max="10241" width="4.875" style="1405" customWidth="1"/>
    <col min="10242" max="10242" width="13.25" style="1405" customWidth="1"/>
    <col min="10243" max="10243" width="15.625" style="1405" customWidth="1"/>
    <col min="10244" max="10244" width="9.375" style="1405" bestFit="1" customWidth="1"/>
    <col min="10245" max="10245" width="13.5" style="1405" customWidth="1"/>
    <col min="10246" max="10246" width="9" style="1405"/>
    <col min="10247" max="10247" width="9.375" style="1405" bestFit="1" customWidth="1"/>
    <col min="10248" max="10249" width="9" style="1405"/>
    <col min="10250" max="10250" width="9.375" style="1405" bestFit="1" customWidth="1"/>
    <col min="10251" max="10251" width="4" style="1405" customWidth="1"/>
    <col min="10252" max="10252" width="5.125" style="1405" customWidth="1"/>
    <col min="10253" max="10253" width="13.75" style="1405" customWidth="1"/>
    <col min="10254" max="10496" width="9" style="1405"/>
    <col min="10497" max="10497" width="4.875" style="1405" customWidth="1"/>
    <col min="10498" max="10498" width="13.25" style="1405" customWidth="1"/>
    <col min="10499" max="10499" width="15.625" style="1405" customWidth="1"/>
    <col min="10500" max="10500" width="9.375" style="1405" bestFit="1" customWidth="1"/>
    <col min="10501" max="10501" width="13.5" style="1405" customWidth="1"/>
    <col min="10502" max="10502" width="9" style="1405"/>
    <col min="10503" max="10503" width="9.375" style="1405" bestFit="1" customWidth="1"/>
    <col min="10504" max="10505" width="9" style="1405"/>
    <col min="10506" max="10506" width="9.375" style="1405" bestFit="1" customWidth="1"/>
    <col min="10507" max="10507" width="4" style="1405" customWidth="1"/>
    <col min="10508" max="10508" width="5.125" style="1405" customWidth="1"/>
    <col min="10509" max="10509" width="13.75" style="1405" customWidth="1"/>
    <col min="10510" max="10752" width="9" style="1405"/>
    <col min="10753" max="10753" width="4.875" style="1405" customWidth="1"/>
    <col min="10754" max="10754" width="13.25" style="1405" customWidth="1"/>
    <col min="10755" max="10755" width="15.625" style="1405" customWidth="1"/>
    <col min="10756" max="10756" width="9.375" style="1405" bestFit="1" customWidth="1"/>
    <col min="10757" max="10757" width="13.5" style="1405" customWidth="1"/>
    <col min="10758" max="10758" width="9" style="1405"/>
    <col min="10759" max="10759" width="9.375" style="1405" bestFit="1" customWidth="1"/>
    <col min="10760" max="10761" width="9" style="1405"/>
    <col min="10762" max="10762" width="9.375" style="1405" bestFit="1" customWidth="1"/>
    <col min="10763" max="10763" width="4" style="1405" customWidth="1"/>
    <col min="10764" max="10764" width="5.125" style="1405" customWidth="1"/>
    <col min="10765" max="10765" width="13.75" style="1405" customWidth="1"/>
    <col min="10766" max="11008" width="9" style="1405"/>
    <col min="11009" max="11009" width="4.875" style="1405" customWidth="1"/>
    <col min="11010" max="11010" width="13.25" style="1405" customWidth="1"/>
    <col min="11011" max="11011" width="15.625" style="1405" customWidth="1"/>
    <col min="11012" max="11012" width="9.375" style="1405" bestFit="1" customWidth="1"/>
    <col min="11013" max="11013" width="13.5" style="1405" customWidth="1"/>
    <col min="11014" max="11014" width="9" style="1405"/>
    <col min="11015" max="11015" width="9.375" style="1405" bestFit="1" customWidth="1"/>
    <col min="11016" max="11017" width="9" style="1405"/>
    <col min="11018" max="11018" width="9.375" style="1405" bestFit="1" customWidth="1"/>
    <col min="11019" max="11019" width="4" style="1405" customWidth="1"/>
    <col min="11020" max="11020" width="5.125" style="1405" customWidth="1"/>
    <col min="11021" max="11021" width="13.75" style="1405" customWidth="1"/>
    <col min="11022" max="11264" width="9" style="1405"/>
    <col min="11265" max="11265" width="4.875" style="1405" customWidth="1"/>
    <col min="11266" max="11266" width="13.25" style="1405" customWidth="1"/>
    <col min="11267" max="11267" width="15.625" style="1405" customWidth="1"/>
    <col min="11268" max="11268" width="9.375" style="1405" bestFit="1" customWidth="1"/>
    <col min="11269" max="11269" width="13.5" style="1405" customWidth="1"/>
    <col min="11270" max="11270" width="9" style="1405"/>
    <col min="11271" max="11271" width="9.375" style="1405" bestFit="1" customWidth="1"/>
    <col min="11272" max="11273" width="9" style="1405"/>
    <col min="11274" max="11274" width="9.375" style="1405" bestFit="1" customWidth="1"/>
    <col min="11275" max="11275" width="4" style="1405" customWidth="1"/>
    <col min="11276" max="11276" width="5.125" style="1405" customWidth="1"/>
    <col min="11277" max="11277" width="13.75" style="1405" customWidth="1"/>
    <col min="11278" max="11520" width="9" style="1405"/>
    <col min="11521" max="11521" width="4.875" style="1405" customWidth="1"/>
    <col min="11522" max="11522" width="13.25" style="1405" customWidth="1"/>
    <col min="11523" max="11523" width="15.625" style="1405" customWidth="1"/>
    <col min="11524" max="11524" width="9.375" style="1405" bestFit="1" customWidth="1"/>
    <col min="11525" max="11525" width="13.5" style="1405" customWidth="1"/>
    <col min="11526" max="11526" width="9" style="1405"/>
    <col min="11527" max="11527" width="9.375" style="1405" bestFit="1" customWidth="1"/>
    <col min="11528" max="11529" width="9" style="1405"/>
    <col min="11530" max="11530" width="9.375" style="1405" bestFit="1" customWidth="1"/>
    <col min="11531" max="11531" width="4" style="1405" customWidth="1"/>
    <col min="11532" max="11532" width="5.125" style="1405" customWidth="1"/>
    <col min="11533" max="11533" width="13.75" style="1405" customWidth="1"/>
    <col min="11534" max="11776" width="9" style="1405"/>
    <col min="11777" max="11777" width="4.875" style="1405" customWidth="1"/>
    <col min="11778" max="11778" width="13.25" style="1405" customWidth="1"/>
    <col min="11779" max="11779" width="15.625" style="1405" customWidth="1"/>
    <col min="11780" max="11780" width="9.375" style="1405" bestFit="1" customWidth="1"/>
    <col min="11781" max="11781" width="13.5" style="1405" customWidth="1"/>
    <col min="11782" max="11782" width="9" style="1405"/>
    <col min="11783" max="11783" width="9.375" style="1405" bestFit="1" customWidth="1"/>
    <col min="11784" max="11785" width="9" style="1405"/>
    <col min="11786" max="11786" width="9.375" style="1405" bestFit="1" customWidth="1"/>
    <col min="11787" max="11787" width="4" style="1405" customWidth="1"/>
    <col min="11788" max="11788" width="5.125" style="1405" customWidth="1"/>
    <col min="11789" max="11789" width="13.75" style="1405" customWidth="1"/>
    <col min="11790" max="12032" width="9" style="1405"/>
    <col min="12033" max="12033" width="4.875" style="1405" customWidth="1"/>
    <col min="12034" max="12034" width="13.25" style="1405" customWidth="1"/>
    <col min="12035" max="12035" width="15.625" style="1405" customWidth="1"/>
    <col min="12036" max="12036" width="9.375" style="1405" bestFit="1" customWidth="1"/>
    <col min="12037" max="12037" width="13.5" style="1405" customWidth="1"/>
    <col min="12038" max="12038" width="9" style="1405"/>
    <col min="12039" max="12039" width="9.375" style="1405" bestFit="1" customWidth="1"/>
    <col min="12040" max="12041" width="9" style="1405"/>
    <col min="12042" max="12042" width="9.375" style="1405" bestFit="1" customWidth="1"/>
    <col min="12043" max="12043" width="4" style="1405" customWidth="1"/>
    <col min="12044" max="12044" width="5.125" style="1405" customWidth="1"/>
    <col min="12045" max="12045" width="13.75" style="1405" customWidth="1"/>
    <col min="12046" max="12288" width="9" style="1405"/>
    <col min="12289" max="12289" width="4.875" style="1405" customWidth="1"/>
    <col min="12290" max="12290" width="13.25" style="1405" customWidth="1"/>
    <col min="12291" max="12291" width="15.625" style="1405" customWidth="1"/>
    <col min="12292" max="12292" width="9.375" style="1405" bestFit="1" customWidth="1"/>
    <col min="12293" max="12293" width="13.5" style="1405" customWidth="1"/>
    <col min="12294" max="12294" width="9" style="1405"/>
    <col min="12295" max="12295" width="9.375" style="1405" bestFit="1" customWidth="1"/>
    <col min="12296" max="12297" width="9" style="1405"/>
    <col min="12298" max="12298" width="9.375" style="1405" bestFit="1" customWidth="1"/>
    <col min="12299" max="12299" width="4" style="1405" customWidth="1"/>
    <col min="12300" max="12300" width="5.125" style="1405" customWidth="1"/>
    <col min="12301" max="12301" width="13.75" style="1405" customWidth="1"/>
    <col min="12302" max="12544" width="9" style="1405"/>
    <col min="12545" max="12545" width="4.875" style="1405" customWidth="1"/>
    <col min="12546" max="12546" width="13.25" style="1405" customWidth="1"/>
    <col min="12547" max="12547" width="15.625" style="1405" customWidth="1"/>
    <col min="12548" max="12548" width="9.375" style="1405" bestFit="1" customWidth="1"/>
    <col min="12549" max="12549" width="13.5" style="1405" customWidth="1"/>
    <col min="12550" max="12550" width="9" style="1405"/>
    <col min="12551" max="12551" width="9.375" style="1405" bestFit="1" customWidth="1"/>
    <col min="12552" max="12553" width="9" style="1405"/>
    <col min="12554" max="12554" width="9.375" style="1405" bestFit="1" customWidth="1"/>
    <col min="12555" max="12555" width="4" style="1405" customWidth="1"/>
    <col min="12556" max="12556" width="5.125" style="1405" customWidth="1"/>
    <col min="12557" max="12557" width="13.75" style="1405" customWidth="1"/>
    <col min="12558" max="12800" width="9" style="1405"/>
    <col min="12801" max="12801" width="4.875" style="1405" customWidth="1"/>
    <col min="12802" max="12802" width="13.25" style="1405" customWidth="1"/>
    <col min="12803" max="12803" width="15.625" style="1405" customWidth="1"/>
    <col min="12804" max="12804" width="9.375" style="1405" bestFit="1" customWidth="1"/>
    <col min="12805" max="12805" width="13.5" style="1405" customWidth="1"/>
    <col min="12806" max="12806" width="9" style="1405"/>
    <col min="12807" max="12807" width="9.375" style="1405" bestFit="1" customWidth="1"/>
    <col min="12808" max="12809" width="9" style="1405"/>
    <col min="12810" max="12810" width="9.375" style="1405" bestFit="1" customWidth="1"/>
    <col min="12811" max="12811" width="4" style="1405" customWidth="1"/>
    <col min="12812" max="12812" width="5.125" style="1405" customWidth="1"/>
    <col min="12813" max="12813" width="13.75" style="1405" customWidth="1"/>
    <col min="12814" max="13056" width="9" style="1405"/>
    <col min="13057" max="13057" width="4.875" style="1405" customWidth="1"/>
    <col min="13058" max="13058" width="13.25" style="1405" customWidth="1"/>
    <col min="13059" max="13059" width="15.625" style="1405" customWidth="1"/>
    <col min="13060" max="13060" width="9.375" style="1405" bestFit="1" customWidth="1"/>
    <col min="13061" max="13061" width="13.5" style="1405" customWidth="1"/>
    <col min="13062" max="13062" width="9" style="1405"/>
    <col min="13063" max="13063" width="9.375" style="1405" bestFit="1" customWidth="1"/>
    <col min="13064" max="13065" width="9" style="1405"/>
    <col min="13066" max="13066" width="9.375" style="1405" bestFit="1" customWidth="1"/>
    <col min="13067" max="13067" width="4" style="1405" customWidth="1"/>
    <col min="13068" max="13068" width="5.125" style="1405" customWidth="1"/>
    <col min="13069" max="13069" width="13.75" style="1405" customWidth="1"/>
    <col min="13070" max="13312" width="9" style="1405"/>
    <col min="13313" max="13313" width="4.875" style="1405" customWidth="1"/>
    <col min="13314" max="13314" width="13.25" style="1405" customWidth="1"/>
    <col min="13315" max="13315" width="15.625" style="1405" customWidth="1"/>
    <col min="13316" max="13316" width="9.375" style="1405" bestFit="1" customWidth="1"/>
    <col min="13317" max="13317" width="13.5" style="1405" customWidth="1"/>
    <col min="13318" max="13318" width="9" style="1405"/>
    <col min="13319" max="13319" width="9.375" style="1405" bestFit="1" customWidth="1"/>
    <col min="13320" max="13321" width="9" style="1405"/>
    <col min="13322" max="13322" width="9.375" style="1405" bestFit="1" customWidth="1"/>
    <col min="13323" max="13323" width="4" style="1405" customWidth="1"/>
    <col min="13324" max="13324" width="5.125" style="1405" customWidth="1"/>
    <col min="13325" max="13325" width="13.75" style="1405" customWidth="1"/>
    <col min="13326" max="13568" width="9" style="1405"/>
    <col min="13569" max="13569" width="4.875" style="1405" customWidth="1"/>
    <col min="13570" max="13570" width="13.25" style="1405" customWidth="1"/>
    <col min="13571" max="13571" width="15.625" style="1405" customWidth="1"/>
    <col min="13572" max="13572" width="9.375" style="1405" bestFit="1" customWidth="1"/>
    <col min="13573" max="13573" width="13.5" style="1405" customWidth="1"/>
    <col min="13574" max="13574" width="9" style="1405"/>
    <col min="13575" max="13575" width="9.375" style="1405" bestFit="1" customWidth="1"/>
    <col min="13576" max="13577" width="9" style="1405"/>
    <col min="13578" max="13578" width="9.375" style="1405" bestFit="1" customWidth="1"/>
    <col min="13579" max="13579" width="4" style="1405" customWidth="1"/>
    <col min="13580" max="13580" width="5.125" style="1405" customWidth="1"/>
    <col min="13581" max="13581" width="13.75" style="1405" customWidth="1"/>
    <col min="13582" max="13824" width="9" style="1405"/>
    <col min="13825" max="13825" width="4.875" style="1405" customWidth="1"/>
    <col min="13826" max="13826" width="13.25" style="1405" customWidth="1"/>
    <col min="13827" max="13827" width="15.625" style="1405" customWidth="1"/>
    <col min="13828" max="13828" width="9.375" style="1405" bestFit="1" customWidth="1"/>
    <col min="13829" max="13829" width="13.5" style="1405" customWidth="1"/>
    <col min="13830" max="13830" width="9" style="1405"/>
    <col min="13831" max="13831" width="9.375" style="1405" bestFit="1" customWidth="1"/>
    <col min="13832" max="13833" width="9" style="1405"/>
    <col min="13834" max="13834" width="9.375" style="1405" bestFit="1" customWidth="1"/>
    <col min="13835" max="13835" width="4" style="1405" customWidth="1"/>
    <col min="13836" max="13836" width="5.125" style="1405" customWidth="1"/>
    <col min="13837" max="13837" width="13.75" style="1405" customWidth="1"/>
    <col min="13838" max="14080" width="9" style="1405"/>
    <col min="14081" max="14081" width="4.875" style="1405" customWidth="1"/>
    <col min="14082" max="14082" width="13.25" style="1405" customWidth="1"/>
    <col min="14083" max="14083" width="15.625" style="1405" customWidth="1"/>
    <col min="14084" max="14084" width="9.375" style="1405" bestFit="1" customWidth="1"/>
    <col min="14085" max="14085" width="13.5" style="1405" customWidth="1"/>
    <col min="14086" max="14086" width="9" style="1405"/>
    <col min="14087" max="14087" width="9.375" style="1405" bestFit="1" customWidth="1"/>
    <col min="14088" max="14089" width="9" style="1405"/>
    <col min="14090" max="14090" width="9.375" style="1405" bestFit="1" customWidth="1"/>
    <col min="14091" max="14091" width="4" style="1405" customWidth="1"/>
    <col min="14092" max="14092" width="5.125" style="1405" customWidth="1"/>
    <col min="14093" max="14093" width="13.75" style="1405" customWidth="1"/>
    <col min="14094" max="14336" width="9" style="1405"/>
    <col min="14337" max="14337" width="4.875" style="1405" customWidth="1"/>
    <col min="14338" max="14338" width="13.25" style="1405" customWidth="1"/>
    <col min="14339" max="14339" width="15.625" style="1405" customWidth="1"/>
    <col min="14340" max="14340" width="9.375" style="1405" bestFit="1" customWidth="1"/>
    <col min="14341" max="14341" width="13.5" style="1405" customWidth="1"/>
    <col min="14342" max="14342" width="9" style="1405"/>
    <col min="14343" max="14343" width="9.375" style="1405" bestFit="1" customWidth="1"/>
    <col min="14344" max="14345" width="9" style="1405"/>
    <col min="14346" max="14346" width="9.375" style="1405" bestFit="1" customWidth="1"/>
    <col min="14347" max="14347" width="4" style="1405" customWidth="1"/>
    <col min="14348" max="14348" width="5.125" style="1405" customWidth="1"/>
    <col min="14349" max="14349" width="13.75" style="1405" customWidth="1"/>
    <col min="14350" max="14592" width="9" style="1405"/>
    <col min="14593" max="14593" width="4.875" style="1405" customWidth="1"/>
    <col min="14594" max="14594" width="13.25" style="1405" customWidth="1"/>
    <col min="14595" max="14595" width="15.625" style="1405" customWidth="1"/>
    <col min="14596" max="14596" width="9.375" style="1405" bestFit="1" customWidth="1"/>
    <col min="14597" max="14597" width="13.5" style="1405" customWidth="1"/>
    <col min="14598" max="14598" width="9" style="1405"/>
    <col min="14599" max="14599" width="9.375" style="1405" bestFit="1" customWidth="1"/>
    <col min="14600" max="14601" width="9" style="1405"/>
    <col min="14602" max="14602" width="9.375" style="1405" bestFit="1" customWidth="1"/>
    <col min="14603" max="14603" width="4" style="1405" customWidth="1"/>
    <col min="14604" max="14604" width="5.125" style="1405" customWidth="1"/>
    <col min="14605" max="14605" width="13.75" style="1405" customWidth="1"/>
    <col min="14606" max="14848" width="9" style="1405"/>
    <col min="14849" max="14849" width="4.875" style="1405" customWidth="1"/>
    <col min="14850" max="14850" width="13.25" style="1405" customWidth="1"/>
    <col min="14851" max="14851" width="15.625" style="1405" customWidth="1"/>
    <col min="14852" max="14852" width="9.375" style="1405" bestFit="1" customWidth="1"/>
    <col min="14853" max="14853" width="13.5" style="1405" customWidth="1"/>
    <col min="14854" max="14854" width="9" style="1405"/>
    <col min="14855" max="14855" width="9.375" style="1405" bestFit="1" customWidth="1"/>
    <col min="14856" max="14857" width="9" style="1405"/>
    <col min="14858" max="14858" width="9.375" style="1405" bestFit="1" customWidth="1"/>
    <col min="14859" max="14859" width="4" style="1405" customWidth="1"/>
    <col min="14860" max="14860" width="5.125" style="1405" customWidth="1"/>
    <col min="14861" max="14861" width="13.75" style="1405" customWidth="1"/>
    <col min="14862" max="15104" width="9" style="1405"/>
    <col min="15105" max="15105" width="4.875" style="1405" customWidth="1"/>
    <col min="15106" max="15106" width="13.25" style="1405" customWidth="1"/>
    <col min="15107" max="15107" width="15.625" style="1405" customWidth="1"/>
    <col min="15108" max="15108" width="9.375" style="1405" bestFit="1" customWidth="1"/>
    <col min="15109" max="15109" width="13.5" style="1405" customWidth="1"/>
    <col min="15110" max="15110" width="9" style="1405"/>
    <col min="15111" max="15111" width="9.375" style="1405" bestFit="1" customWidth="1"/>
    <col min="15112" max="15113" width="9" style="1405"/>
    <col min="15114" max="15114" width="9.375" style="1405" bestFit="1" customWidth="1"/>
    <col min="15115" max="15115" width="4" style="1405" customWidth="1"/>
    <col min="15116" max="15116" width="5.125" style="1405" customWidth="1"/>
    <col min="15117" max="15117" width="13.75" style="1405" customWidth="1"/>
    <col min="15118" max="15360" width="9" style="1405"/>
    <col min="15361" max="15361" width="4.875" style="1405" customWidth="1"/>
    <col min="15362" max="15362" width="13.25" style="1405" customWidth="1"/>
    <col min="15363" max="15363" width="15.625" style="1405" customWidth="1"/>
    <col min="15364" max="15364" width="9.375" style="1405" bestFit="1" customWidth="1"/>
    <col min="15365" max="15365" width="13.5" style="1405" customWidth="1"/>
    <col min="15366" max="15366" width="9" style="1405"/>
    <col min="15367" max="15367" width="9.375" style="1405" bestFit="1" customWidth="1"/>
    <col min="15368" max="15369" width="9" style="1405"/>
    <col min="15370" max="15370" width="9.375" style="1405" bestFit="1" customWidth="1"/>
    <col min="15371" max="15371" width="4" style="1405" customWidth="1"/>
    <col min="15372" max="15372" width="5.125" style="1405" customWidth="1"/>
    <col min="15373" max="15373" width="13.75" style="1405" customWidth="1"/>
    <col min="15374" max="15616" width="9" style="1405"/>
    <col min="15617" max="15617" width="4.875" style="1405" customWidth="1"/>
    <col min="15618" max="15618" width="13.25" style="1405" customWidth="1"/>
    <col min="15619" max="15619" width="15.625" style="1405" customWidth="1"/>
    <col min="15620" max="15620" width="9.375" style="1405" bestFit="1" customWidth="1"/>
    <col min="15621" max="15621" width="13.5" style="1405" customWidth="1"/>
    <col min="15622" max="15622" width="9" style="1405"/>
    <col min="15623" max="15623" width="9.375" style="1405" bestFit="1" customWidth="1"/>
    <col min="15624" max="15625" width="9" style="1405"/>
    <col min="15626" max="15626" width="9.375" style="1405" bestFit="1" customWidth="1"/>
    <col min="15627" max="15627" width="4" style="1405" customWidth="1"/>
    <col min="15628" max="15628" width="5.125" style="1405" customWidth="1"/>
    <col min="15629" max="15629" width="13.75" style="1405" customWidth="1"/>
    <col min="15630" max="15872" width="9" style="1405"/>
    <col min="15873" max="15873" width="4.875" style="1405" customWidth="1"/>
    <col min="15874" max="15874" width="13.25" style="1405" customWidth="1"/>
    <col min="15875" max="15875" width="15.625" style="1405" customWidth="1"/>
    <col min="15876" max="15876" width="9.375" style="1405" bestFit="1" customWidth="1"/>
    <col min="15877" max="15877" width="13.5" style="1405" customWidth="1"/>
    <col min="15878" max="15878" width="9" style="1405"/>
    <col min="15879" max="15879" width="9.375" style="1405" bestFit="1" customWidth="1"/>
    <col min="15880" max="15881" width="9" style="1405"/>
    <col min="15882" max="15882" width="9.375" style="1405" bestFit="1" customWidth="1"/>
    <col min="15883" max="15883" width="4" style="1405" customWidth="1"/>
    <col min="15884" max="15884" width="5.125" style="1405" customWidth="1"/>
    <col min="15885" max="15885" width="13.75" style="1405" customWidth="1"/>
    <col min="15886" max="16128" width="9" style="1405"/>
    <col min="16129" max="16129" width="4.875" style="1405" customWidth="1"/>
    <col min="16130" max="16130" width="13.25" style="1405" customWidth="1"/>
    <col min="16131" max="16131" width="15.625" style="1405" customWidth="1"/>
    <col min="16132" max="16132" width="9.375" style="1405" bestFit="1" customWidth="1"/>
    <col min="16133" max="16133" width="13.5" style="1405" customWidth="1"/>
    <col min="16134" max="16134" width="9" style="1405"/>
    <col min="16135" max="16135" width="9.375" style="1405" bestFit="1" customWidth="1"/>
    <col min="16136" max="16137" width="9" style="1405"/>
    <col min="16138" max="16138" width="9.375" style="1405" bestFit="1" customWidth="1"/>
    <col min="16139" max="16139" width="4" style="1405" customWidth="1"/>
    <col min="16140" max="16140" width="5.125" style="1405" customWidth="1"/>
    <col min="16141" max="16141" width="13.75" style="1405" customWidth="1"/>
    <col min="16142" max="16384" width="9" style="1405"/>
  </cols>
  <sheetData>
    <row r="1" spans="1:257" s="1469" customFormat="1" ht="14.25" thickBot="1">
      <c r="A1" s="1463"/>
      <c r="B1" s="1470" t="s">
        <v>1267</v>
      </c>
      <c r="C1" s="1464">
        <f>项目基本情况!D3</f>
        <v>44224</v>
      </c>
      <c r="D1" s="1470" t="s">
        <v>1268</v>
      </c>
      <c r="E1" s="1465">
        <f>'数据-取费表'!B22</f>
        <v>1.5</v>
      </c>
      <c r="F1" s="1470" t="s">
        <v>1269</v>
      </c>
      <c r="G1" s="1466">
        <f ca="1">INDIRECT("d"&amp;$K$1)/100</f>
        <v>4.7500000000000001E-2</v>
      </c>
      <c r="H1" s="1470" t="s">
        <v>1299</v>
      </c>
      <c r="I1" s="1466">
        <f ca="1">F4/100</f>
        <v>1.4999999999999999E-2</v>
      </c>
      <c r="J1" s="1471">
        <f>IF(C1&gt;C13,0,MATCH(C1,C$13:C$100,-1))+IF(SUMIF(C13:C100,C1,D13:D100)=0,13,12)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6"/>
      <c r="B2" s="1406"/>
      <c r="C2" s="1406"/>
      <c r="D2" s="1406" t="s">
        <v>1270</v>
      </c>
      <c r="E2" s="1406"/>
      <c r="F2" s="1406" t="s">
        <v>1271</v>
      </c>
      <c r="G2" s="1407"/>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c r="BJ2" s="1406"/>
      <c r="BK2" s="1406"/>
      <c r="BL2" s="1406"/>
      <c r="BM2" s="1406"/>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c r="EM2" s="1406"/>
      <c r="EN2" s="1406"/>
      <c r="EO2" s="1406"/>
      <c r="EP2" s="1406"/>
      <c r="EQ2" s="1406"/>
      <c r="ER2" s="1406"/>
      <c r="ES2" s="1406"/>
      <c r="ET2" s="1406"/>
      <c r="EU2" s="1406"/>
      <c r="EV2" s="1406"/>
      <c r="EW2" s="1406"/>
      <c r="EX2" s="1406"/>
      <c r="EY2" s="1406"/>
      <c r="EZ2" s="1406"/>
      <c r="FA2" s="1406"/>
      <c r="FB2" s="1406"/>
      <c r="FC2" s="1406"/>
      <c r="FD2" s="1406"/>
      <c r="FE2" s="1406"/>
      <c r="FF2" s="1406"/>
      <c r="FG2" s="1406"/>
      <c r="FH2" s="1406"/>
      <c r="FI2" s="1406"/>
      <c r="FJ2" s="1406"/>
      <c r="FK2" s="1406"/>
      <c r="FL2" s="1406"/>
      <c r="FM2" s="1406"/>
      <c r="FN2" s="1406"/>
      <c r="FO2" s="1406"/>
      <c r="FP2" s="1406"/>
      <c r="FQ2" s="1406"/>
      <c r="FR2" s="1406"/>
      <c r="FS2" s="1406"/>
      <c r="FT2" s="1406"/>
      <c r="FU2" s="1406"/>
      <c r="FV2" s="1406"/>
      <c r="FW2" s="1406"/>
      <c r="FX2" s="1406"/>
      <c r="FY2" s="1406"/>
      <c r="FZ2" s="1406"/>
      <c r="GA2" s="1406"/>
      <c r="GB2" s="1406"/>
      <c r="GC2" s="1406"/>
      <c r="GD2" s="1406"/>
      <c r="GE2" s="1406"/>
      <c r="GF2" s="1406"/>
      <c r="GG2" s="1406"/>
      <c r="GH2" s="1406"/>
      <c r="GI2" s="1406"/>
      <c r="GJ2" s="1406"/>
      <c r="GK2" s="1406"/>
      <c r="GL2" s="1406"/>
      <c r="GM2" s="1406"/>
      <c r="GN2" s="1406"/>
      <c r="GO2" s="1406"/>
      <c r="GP2" s="1406"/>
      <c r="GQ2" s="1406"/>
      <c r="GR2" s="1406"/>
      <c r="GS2" s="1406"/>
      <c r="GT2" s="1406"/>
      <c r="GU2" s="1406"/>
      <c r="GV2" s="1406"/>
      <c r="GW2" s="1406"/>
      <c r="GX2" s="1406"/>
      <c r="GY2" s="1406"/>
      <c r="GZ2" s="1406"/>
      <c r="HA2" s="1406"/>
      <c r="HB2" s="1406"/>
      <c r="HC2" s="1406"/>
      <c r="HD2" s="1406"/>
      <c r="HE2" s="1406"/>
      <c r="HF2" s="1406"/>
      <c r="HG2" s="1406"/>
      <c r="HH2" s="1406"/>
      <c r="HI2" s="1406"/>
      <c r="HJ2" s="1406"/>
      <c r="HK2" s="1406"/>
      <c r="HL2" s="1406"/>
      <c r="HM2" s="1406"/>
      <c r="HN2" s="1406"/>
      <c r="HO2" s="1406"/>
      <c r="HP2" s="1406"/>
      <c r="HQ2" s="1406"/>
      <c r="HR2" s="1406"/>
      <c r="HS2" s="1406"/>
      <c r="HT2" s="1406"/>
      <c r="HU2" s="1406"/>
      <c r="HV2" s="1406"/>
      <c r="HW2" s="1406"/>
      <c r="HX2" s="1406"/>
      <c r="HY2" s="1406"/>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row>
    <row r="3" spans="1:257">
      <c r="B3" s="1409" t="s">
        <v>1272</v>
      </c>
      <c r="C3" s="1410">
        <v>0</v>
      </c>
      <c r="D3" s="1411">
        <f ca="1">INDIRECT("d"&amp;$J$1)</f>
        <v>4.3499999999999996</v>
      </c>
      <c r="E3" s="1412">
        <v>0.5</v>
      </c>
      <c r="F3" s="1413">
        <f ca="1">INDIRECT("p"&amp;$L$1)</f>
        <v>1.3</v>
      </c>
      <c r="G3" s="1408"/>
      <c r="H3" s="1408"/>
      <c r="I3" s="1408"/>
      <c r="J3" s="1408"/>
      <c r="L3" s="1408"/>
      <c r="M3" s="1408"/>
      <c r="N3" s="1408"/>
      <c r="O3" s="1408"/>
      <c r="P3" s="1408"/>
      <c r="Q3" s="1408"/>
      <c r="R3" s="1408"/>
      <c r="S3" s="1408"/>
      <c r="T3" s="1408"/>
      <c r="U3" s="1408"/>
      <c r="V3" s="1408"/>
      <c r="W3" s="1408"/>
      <c r="X3" s="1408"/>
      <c r="Y3" s="1408"/>
      <c r="Z3" s="1408"/>
    </row>
    <row r="4" spans="1:257">
      <c r="B4" s="1415" t="s">
        <v>1273</v>
      </c>
      <c r="C4" s="1416">
        <v>0.5</v>
      </c>
      <c r="D4" s="1417">
        <f ca="1">INDIRECT("e"&amp;$J$1)</f>
        <v>4.3499999999999996</v>
      </c>
      <c r="E4" s="1418">
        <v>1</v>
      </c>
      <c r="F4" s="1419">
        <f ca="1">INDIRECT("q"&amp;$L$1)</f>
        <v>1.5</v>
      </c>
      <c r="G4" s="1408"/>
      <c r="H4" s="1408"/>
      <c r="I4" s="1408"/>
      <c r="J4" s="1408"/>
      <c r="L4" s="1408"/>
      <c r="M4" s="1408"/>
      <c r="N4" s="1408"/>
      <c r="O4" s="1408"/>
      <c r="P4" s="1408"/>
      <c r="Q4" s="1408"/>
      <c r="R4" s="1408"/>
      <c r="S4" s="1408"/>
      <c r="T4" s="1408"/>
      <c r="U4" s="1408"/>
      <c r="V4" s="1408"/>
      <c r="W4" s="1408"/>
      <c r="X4" s="1408"/>
      <c r="Y4" s="1408"/>
      <c r="Z4" s="1408"/>
    </row>
    <row r="5" spans="1:257">
      <c r="B5" s="1415" t="s">
        <v>1274</v>
      </c>
      <c r="C5" s="1416">
        <v>1</v>
      </c>
      <c r="D5" s="1417">
        <f ca="1">INDIRECT("f"&amp;$J$1)</f>
        <v>4.75</v>
      </c>
      <c r="E5" s="1418">
        <v>2</v>
      </c>
      <c r="F5" s="1419">
        <f ca="1">INDIRECT("r"&amp;$L$1)</f>
        <v>2.1</v>
      </c>
      <c r="G5" s="1408"/>
      <c r="H5" s="1408"/>
      <c r="I5" s="1408"/>
      <c r="J5" s="1408"/>
      <c r="L5" s="1408"/>
      <c r="M5" s="1408"/>
      <c r="N5" s="1408"/>
      <c r="O5" s="1408"/>
      <c r="P5" s="1408"/>
      <c r="Q5" s="1408"/>
      <c r="R5" s="1408"/>
      <c r="S5" s="1408"/>
      <c r="T5" s="1408"/>
      <c r="U5" s="1408"/>
      <c r="V5" s="1408"/>
      <c r="W5" s="1408"/>
      <c r="X5" s="1408"/>
      <c r="Y5" s="1408"/>
      <c r="Z5" s="1408"/>
    </row>
    <row r="6" spans="1:257">
      <c r="B6" s="1415" t="s">
        <v>1275</v>
      </c>
      <c r="C6" s="1416">
        <v>3</v>
      </c>
      <c r="D6" s="1417">
        <f ca="1">INDIRECT("g"&amp;$J$1)</f>
        <v>4.75</v>
      </c>
      <c r="E6" s="1418">
        <v>3</v>
      </c>
      <c r="F6" s="1419">
        <f ca="1">INDIRECT("s"&amp;$L$1)</f>
        <v>2.75</v>
      </c>
      <c r="G6" s="1408"/>
      <c r="H6" s="1408"/>
      <c r="I6" s="1408"/>
      <c r="J6" s="1408"/>
      <c r="L6" s="1408"/>
      <c r="M6" s="1408"/>
      <c r="N6" s="1408"/>
      <c r="O6" s="1408"/>
      <c r="P6" s="1408"/>
      <c r="Q6" s="1408"/>
      <c r="R6" s="1408"/>
      <c r="S6" s="1408"/>
      <c r="T6" s="1408"/>
      <c r="U6" s="1408"/>
      <c r="V6" s="1408"/>
      <c r="W6" s="1408"/>
      <c r="X6" s="1408"/>
      <c r="Y6" s="1408"/>
      <c r="Z6" s="1408"/>
    </row>
    <row r="7" spans="1:257" ht="14.25" thickBot="1">
      <c r="B7" s="1420" t="s">
        <v>1276</v>
      </c>
      <c r="C7" s="1421">
        <v>5</v>
      </c>
      <c r="D7" s="1422">
        <f ca="1">INDIRECT("h"&amp;$J$1)</f>
        <v>4.9000000000000004</v>
      </c>
      <c r="E7" s="1423">
        <v>5</v>
      </c>
      <c r="F7" s="1424">
        <f ca="1">INDIRECT("t"&amp;$L$1)</f>
        <v>0</v>
      </c>
      <c r="G7" s="1408"/>
      <c r="H7" s="1408"/>
      <c r="I7" s="1408"/>
      <c r="J7" s="1408"/>
      <c r="L7" s="1408"/>
      <c r="M7" s="1408"/>
      <c r="N7" s="1408"/>
      <c r="O7" s="1408"/>
      <c r="P7" s="1408"/>
      <c r="Q7" s="1408"/>
      <c r="R7" s="1408"/>
      <c r="S7" s="1408"/>
      <c r="T7" s="1408"/>
      <c r="U7" s="1408"/>
      <c r="V7" s="1408"/>
      <c r="W7" s="1408"/>
      <c r="X7" s="1408"/>
      <c r="Y7" s="1408"/>
      <c r="Z7" s="1408"/>
    </row>
    <row r="8" spans="1:257">
      <c r="A8" s="1425"/>
      <c r="B8" s="1426"/>
      <c r="C8" s="1427"/>
      <c r="D8" s="1408"/>
      <c r="E8" s="1408"/>
      <c r="F8" s="1408"/>
      <c r="G8" s="1408"/>
      <c r="H8" s="1408"/>
      <c r="I8" s="1408"/>
      <c r="J8" s="1408"/>
      <c r="L8" s="1408"/>
      <c r="M8" s="1408"/>
      <c r="N8" s="1408"/>
      <c r="O8" s="1408"/>
      <c r="P8" s="1408"/>
      <c r="Q8" s="1408"/>
      <c r="R8" s="1408"/>
      <c r="S8" s="1408"/>
      <c r="T8" s="1408"/>
      <c r="U8" s="1408"/>
      <c r="V8" s="1408"/>
      <c r="W8" s="1408"/>
      <c r="X8" s="1408"/>
      <c r="Y8" s="1408"/>
      <c r="Z8" s="1408"/>
    </row>
    <row r="9" spans="1:257" ht="20.25">
      <c r="A9" s="1428"/>
      <c r="B9" s="1429" t="s">
        <v>1277</v>
      </c>
      <c r="C9" s="1430"/>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B9" s="1432"/>
      <c r="BC9" s="1432"/>
      <c r="BD9" s="1432"/>
      <c r="BE9" s="1432"/>
      <c r="BF9" s="1432"/>
      <c r="BG9" s="1432"/>
      <c r="BH9" s="1432"/>
      <c r="BI9" s="1432"/>
      <c r="BJ9" s="1432"/>
      <c r="BK9" s="1432"/>
      <c r="BL9" s="1432"/>
      <c r="BM9" s="1432"/>
      <c r="BN9" s="1432"/>
      <c r="BO9" s="1432"/>
      <c r="BP9" s="1432"/>
      <c r="BQ9" s="1432"/>
      <c r="BR9" s="1432"/>
      <c r="BS9" s="1432"/>
      <c r="BT9" s="1432"/>
      <c r="BU9" s="1432"/>
      <c r="BV9" s="1432"/>
      <c r="BW9" s="1432"/>
      <c r="BX9" s="1432"/>
      <c r="BY9" s="1432"/>
      <c r="BZ9" s="1432"/>
      <c r="CA9" s="1432"/>
      <c r="CB9" s="1432"/>
      <c r="CC9" s="1432"/>
      <c r="CD9" s="1432"/>
      <c r="CE9" s="1432"/>
      <c r="CF9" s="1432"/>
      <c r="CG9" s="1432"/>
      <c r="CH9" s="1432"/>
      <c r="CI9" s="1432"/>
      <c r="CJ9" s="1432"/>
      <c r="CK9" s="1432"/>
      <c r="CL9" s="1432"/>
      <c r="CM9" s="1432"/>
      <c r="CN9" s="1432"/>
      <c r="CO9" s="1432"/>
      <c r="CP9" s="1432"/>
      <c r="CQ9" s="1432"/>
      <c r="CR9" s="1432"/>
      <c r="CS9" s="1432"/>
      <c r="CT9" s="1432"/>
      <c r="CU9" s="1432"/>
      <c r="CV9" s="1432"/>
      <c r="CW9" s="1432"/>
      <c r="CX9" s="1432"/>
      <c r="CY9" s="1432"/>
      <c r="CZ9" s="1432"/>
      <c r="DA9" s="1432"/>
      <c r="DB9" s="1432"/>
      <c r="DC9" s="1432"/>
      <c r="DD9" s="1432"/>
      <c r="DE9" s="1432"/>
      <c r="DF9" s="1432"/>
      <c r="DG9" s="1432"/>
      <c r="DH9" s="1432"/>
      <c r="DI9" s="1432"/>
      <c r="DJ9" s="1432"/>
      <c r="DK9" s="1432"/>
      <c r="DL9" s="1432"/>
      <c r="DM9" s="1432"/>
      <c r="DN9" s="1432"/>
      <c r="DO9" s="1432"/>
      <c r="DP9" s="1432"/>
      <c r="DQ9" s="1432"/>
      <c r="DR9" s="1432"/>
      <c r="DS9" s="1432"/>
      <c r="DT9" s="1432"/>
      <c r="DU9" s="1432"/>
      <c r="DV9" s="1432"/>
      <c r="DW9" s="1432"/>
      <c r="DX9" s="1432"/>
      <c r="DY9" s="1432"/>
      <c r="DZ9" s="1432"/>
      <c r="EA9" s="1432"/>
      <c r="EB9" s="1432"/>
      <c r="EC9" s="1432"/>
      <c r="ED9" s="1432"/>
      <c r="EE9" s="1432"/>
      <c r="EF9" s="1432"/>
      <c r="EG9" s="1432"/>
      <c r="EH9" s="1432"/>
      <c r="EI9" s="1432"/>
      <c r="EJ9" s="1432"/>
      <c r="EK9" s="1432"/>
      <c r="EL9" s="1432"/>
      <c r="EM9" s="1432"/>
      <c r="EN9" s="1432"/>
      <c r="EO9" s="1432"/>
      <c r="EP9" s="1432"/>
      <c r="EQ9" s="1432"/>
      <c r="ER9" s="1432"/>
      <c r="ES9" s="1432"/>
      <c r="ET9" s="1432"/>
      <c r="EU9" s="1432"/>
      <c r="EV9" s="1432"/>
      <c r="EW9" s="1432"/>
      <c r="EX9" s="1432"/>
      <c r="EY9" s="1432"/>
      <c r="EZ9" s="1432"/>
      <c r="FA9" s="1432"/>
      <c r="FB9" s="1432"/>
      <c r="FC9" s="1432"/>
      <c r="FD9" s="1432"/>
      <c r="FE9" s="1432"/>
      <c r="FF9" s="1432"/>
      <c r="FG9" s="1432"/>
      <c r="FH9" s="1432"/>
      <c r="FI9" s="1432"/>
      <c r="FJ9" s="1432"/>
      <c r="FK9" s="1432"/>
      <c r="FL9" s="1432"/>
      <c r="FM9" s="1432"/>
      <c r="FN9" s="1432"/>
      <c r="FO9" s="1432"/>
      <c r="FP9" s="1432"/>
      <c r="FQ9" s="1432"/>
      <c r="FR9" s="1432"/>
      <c r="FS9" s="1432"/>
      <c r="FT9" s="1432"/>
      <c r="FU9" s="1432"/>
      <c r="FV9" s="1432"/>
      <c r="FW9" s="1432"/>
      <c r="FX9" s="1432"/>
      <c r="FY9" s="1432"/>
      <c r="FZ9" s="1432"/>
      <c r="GA9" s="1432"/>
      <c r="GB9" s="1432"/>
      <c r="GC9" s="1432"/>
      <c r="GD9" s="1432"/>
      <c r="GE9" s="1432"/>
      <c r="GF9" s="1432"/>
      <c r="GG9" s="1432"/>
      <c r="GH9" s="1432"/>
      <c r="GI9" s="1432"/>
      <c r="GJ9" s="1432"/>
      <c r="GK9" s="1432"/>
      <c r="GL9" s="1432"/>
      <c r="GM9" s="1432"/>
      <c r="GN9" s="1432"/>
      <c r="GO9" s="1432"/>
      <c r="GP9" s="1432"/>
      <c r="GQ9" s="1432"/>
      <c r="GR9" s="1432"/>
      <c r="GS9" s="1432"/>
      <c r="GT9" s="1432"/>
      <c r="GU9" s="1432"/>
      <c r="GV9" s="1432"/>
      <c r="GW9" s="1432"/>
      <c r="GX9" s="1432"/>
      <c r="GY9" s="1432"/>
      <c r="GZ9" s="1432"/>
      <c r="HA9" s="1432"/>
      <c r="HB9" s="1432"/>
      <c r="HC9" s="1432"/>
      <c r="HD9" s="1432"/>
      <c r="HE9" s="1432"/>
      <c r="HF9" s="1432"/>
      <c r="HG9" s="1432"/>
      <c r="HH9" s="1432"/>
      <c r="HI9" s="1432"/>
      <c r="HJ9" s="1432"/>
      <c r="HK9" s="1432"/>
      <c r="HL9" s="1432"/>
      <c r="HM9" s="1432"/>
      <c r="HN9" s="1432"/>
      <c r="HO9" s="1432"/>
      <c r="HP9" s="1432"/>
      <c r="HQ9" s="1432"/>
      <c r="HR9" s="1432"/>
      <c r="HS9" s="1432"/>
      <c r="HT9" s="1432"/>
      <c r="HU9" s="1432"/>
      <c r="HV9" s="1432"/>
      <c r="HW9" s="1432"/>
      <c r="HX9" s="1432"/>
      <c r="HY9" s="1432"/>
      <c r="HZ9" s="1432"/>
      <c r="IA9" s="1432"/>
      <c r="IB9" s="1432"/>
      <c r="IC9" s="1432"/>
      <c r="ID9" s="1432"/>
      <c r="IE9" s="1432"/>
      <c r="IF9" s="1432"/>
      <c r="IG9" s="1432"/>
      <c r="IH9" s="1432"/>
      <c r="II9" s="1432"/>
      <c r="IJ9" s="1432"/>
      <c r="IK9" s="1432"/>
      <c r="IL9" s="1432"/>
      <c r="IM9" s="1432"/>
      <c r="IN9" s="1432"/>
      <c r="IO9" s="1432"/>
      <c r="IP9" s="1432"/>
      <c r="IQ9" s="1432"/>
      <c r="IR9" s="1432"/>
      <c r="IS9" s="1432"/>
      <c r="IT9" s="1432"/>
      <c r="IU9" s="1432"/>
      <c r="IV9" s="1432"/>
      <c r="IW9" s="1433"/>
    </row>
    <row r="10" spans="1:257" ht="22.5">
      <c r="A10" s="1434"/>
      <c r="B10" s="1435" t="s">
        <v>1278</v>
      </c>
      <c r="C10" s="1434"/>
      <c r="D10" s="1434"/>
      <c r="E10" s="1434"/>
      <c r="F10" s="1434"/>
      <c r="G10" s="1434"/>
      <c r="H10" s="1434"/>
      <c r="I10" s="1408"/>
      <c r="J10" s="1408"/>
      <c r="K10" s="1434"/>
      <c r="L10" s="1435" t="s">
        <v>1279</v>
      </c>
      <c r="M10" s="1434"/>
      <c r="N10" s="1434"/>
      <c r="O10" s="1434"/>
      <c r="P10" s="1434"/>
      <c r="Q10" s="1434"/>
      <c r="R10" s="1434"/>
      <c r="S10" s="1434"/>
      <c r="T10" s="1434"/>
      <c r="U10" s="1434"/>
      <c r="V10" s="1434"/>
      <c r="W10" s="1434"/>
      <c r="X10" s="1434"/>
      <c r="Y10" s="1434"/>
      <c r="Z10" s="1434"/>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6"/>
      <c r="FW10" s="1436"/>
      <c r="FX10" s="1436"/>
      <c r="FY10" s="1436"/>
      <c r="FZ10" s="1436"/>
      <c r="GA10" s="1436"/>
      <c r="GB10" s="1436"/>
      <c r="GC10" s="1436"/>
      <c r="GD10" s="1436"/>
      <c r="GE10" s="1436"/>
      <c r="GF10" s="1436"/>
      <c r="GG10" s="1436"/>
      <c r="GH10" s="1436"/>
      <c r="GI10" s="1436"/>
      <c r="GJ10" s="1436"/>
      <c r="GK10" s="1436"/>
      <c r="GL10" s="1436"/>
      <c r="GM10" s="1436"/>
      <c r="GN10" s="1436"/>
      <c r="GO10" s="1436"/>
      <c r="GP10" s="1436"/>
      <c r="GQ10" s="1436"/>
      <c r="GR10" s="1436"/>
      <c r="GS10" s="1436"/>
      <c r="GT10" s="1436"/>
      <c r="GU10" s="1436"/>
      <c r="GV10" s="1436"/>
      <c r="GW10" s="1436"/>
      <c r="GX10" s="1436"/>
      <c r="GY10" s="1436"/>
      <c r="GZ10" s="1436"/>
      <c r="HA10" s="1436"/>
      <c r="HB10" s="1436"/>
      <c r="HC10" s="1436"/>
      <c r="HD10" s="1436"/>
      <c r="HE10" s="1436"/>
      <c r="HF10" s="1436"/>
      <c r="HG10" s="1436"/>
      <c r="HH10" s="1436"/>
      <c r="HI10" s="1436"/>
      <c r="HJ10" s="1436"/>
      <c r="HK10" s="1436"/>
      <c r="HL10" s="1436"/>
      <c r="HM10" s="1436"/>
      <c r="HN10" s="1436"/>
      <c r="HO10" s="1436"/>
      <c r="HP10" s="1436"/>
      <c r="HQ10" s="1436"/>
      <c r="HR10" s="1436"/>
      <c r="HS10" s="1436"/>
      <c r="HT10" s="1436"/>
      <c r="HU10" s="1436"/>
      <c r="HV10" s="1436"/>
      <c r="HW10" s="1436"/>
      <c r="HX10" s="1436"/>
      <c r="HY10" s="1436"/>
      <c r="HZ10" s="1436"/>
      <c r="IA10" s="1436"/>
      <c r="IB10" s="1436"/>
      <c r="IC10" s="1436"/>
      <c r="ID10" s="1436"/>
      <c r="IE10" s="1436"/>
      <c r="IF10" s="1436"/>
      <c r="IG10" s="1436"/>
      <c r="IH10" s="1436"/>
      <c r="II10" s="1436"/>
      <c r="IJ10" s="1436"/>
      <c r="IK10" s="1436"/>
      <c r="IL10" s="1436"/>
      <c r="IM10" s="1436"/>
      <c r="IN10" s="1436"/>
      <c r="IO10" s="1436"/>
      <c r="IP10" s="1436"/>
      <c r="IQ10" s="1436"/>
      <c r="IR10" s="1436"/>
      <c r="IS10" s="1436"/>
      <c r="IT10" s="1436"/>
      <c r="IU10" s="1436"/>
      <c r="IV10" s="1436"/>
    </row>
    <row r="11" spans="1:257">
      <c r="A11" s="1437"/>
      <c r="B11" s="1438" t="s">
        <v>1280</v>
      </c>
      <c r="C11" s="1439" t="s">
        <v>1281</v>
      </c>
      <c r="D11" s="1440" t="s">
        <v>1282</v>
      </c>
      <c r="E11" s="1441"/>
      <c r="F11" s="1440" t="s">
        <v>1283</v>
      </c>
      <c r="G11" s="1442"/>
      <c r="H11" s="1441"/>
      <c r="I11" s="1440" t="s">
        <v>1284</v>
      </c>
      <c r="J11" s="1441"/>
      <c r="K11" s="1437"/>
      <c r="L11" s="1438" t="s">
        <v>1280</v>
      </c>
      <c r="M11" s="1439" t="s">
        <v>1281</v>
      </c>
      <c r="N11" s="1438" t="s">
        <v>1285</v>
      </c>
      <c r="O11" s="1440" t="s">
        <v>1286</v>
      </c>
      <c r="P11" s="1442"/>
      <c r="Q11" s="1442"/>
      <c r="R11" s="1442"/>
      <c r="S11" s="1442"/>
      <c r="T11" s="1441"/>
      <c r="U11" s="1440" t="s">
        <v>1287</v>
      </c>
      <c r="V11" s="1442"/>
      <c r="W11" s="1441"/>
      <c r="X11" s="1438" t="s">
        <v>1288</v>
      </c>
      <c r="Y11" s="1438" t="s">
        <v>1289</v>
      </c>
      <c r="Z11" s="1438" t="s">
        <v>1290</v>
      </c>
      <c r="AA11" s="1443"/>
      <c r="AB11" s="1443"/>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3"/>
      <c r="BT11" s="1443"/>
      <c r="BU11" s="1443"/>
      <c r="BV11" s="1443"/>
      <c r="BW11" s="1443"/>
      <c r="BX11" s="1443"/>
      <c r="BY11" s="1443"/>
      <c r="BZ11" s="1443"/>
      <c r="CA11" s="1443"/>
      <c r="CB11" s="1443"/>
      <c r="CC11" s="1443"/>
      <c r="CD11" s="1443"/>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3"/>
      <c r="FX11" s="1443"/>
      <c r="FY11" s="1443"/>
      <c r="FZ11" s="1443"/>
      <c r="GA11" s="1443"/>
      <c r="GB11" s="1443"/>
      <c r="GC11" s="1443"/>
      <c r="GD11" s="1443"/>
      <c r="GE11" s="1443"/>
      <c r="GF11" s="1443"/>
      <c r="GG11" s="1443"/>
      <c r="GH11" s="1443"/>
      <c r="GI11" s="1443"/>
      <c r="GJ11" s="1443"/>
      <c r="GK11" s="1443"/>
      <c r="GL11" s="1443"/>
      <c r="GM11" s="1443"/>
      <c r="GN11" s="1443"/>
      <c r="GO11" s="1443"/>
      <c r="GP11" s="1443"/>
      <c r="GQ11" s="1443"/>
      <c r="GR11" s="1443"/>
      <c r="GS11" s="1443"/>
      <c r="GT11" s="1443"/>
      <c r="GU11" s="1443"/>
      <c r="GV11" s="1443"/>
      <c r="GW11" s="1443"/>
      <c r="GX11" s="1443"/>
      <c r="GY11" s="1443"/>
      <c r="GZ11" s="1443"/>
      <c r="HA11" s="1443"/>
      <c r="HB11" s="1443"/>
      <c r="HC11" s="1443"/>
      <c r="HD11" s="1443"/>
      <c r="HE11" s="1443"/>
      <c r="HF11" s="1443"/>
      <c r="HG11" s="1443"/>
      <c r="HH11" s="1443"/>
      <c r="HI11" s="1443"/>
      <c r="HJ11" s="1443"/>
      <c r="HK11" s="1443"/>
      <c r="HL11" s="1443"/>
      <c r="HM11" s="1443"/>
      <c r="HN11" s="1443"/>
      <c r="HO11" s="1443"/>
      <c r="HP11" s="1443"/>
      <c r="HQ11" s="1443"/>
      <c r="HR11" s="1443"/>
      <c r="HS11" s="1443"/>
      <c r="HT11" s="1443"/>
      <c r="HU11" s="1443"/>
      <c r="HV11" s="1443"/>
      <c r="HW11" s="1443"/>
      <c r="HX11" s="1443"/>
      <c r="HY11" s="1443"/>
      <c r="HZ11" s="1443"/>
      <c r="IA11" s="1443"/>
      <c r="IB11" s="1443"/>
      <c r="IC11" s="1443"/>
      <c r="ID11" s="1443"/>
      <c r="IE11" s="1443"/>
      <c r="IF11" s="1443"/>
      <c r="IG11" s="1443"/>
      <c r="IH11" s="1443"/>
      <c r="II11" s="1443"/>
      <c r="IJ11" s="1443"/>
      <c r="IK11" s="1443"/>
      <c r="IL11" s="1443"/>
      <c r="IM11" s="1443"/>
      <c r="IN11" s="1443"/>
      <c r="IO11" s="1443"/>
      <c r="IP11" s="1443"/>
      <c r="IQ11" s="1443"/>
      <c r="IR11" s="1443"/>
      <c r="IS11" s="1443"/>
      <c r="IT11" s="1443"/>
      <c r="IU11" s="1443"/>
      <c r="IV11" s="1443"/>
    </row>
    <row r="12" spans="1:257">
      <c r="A12" s="1444"/>
      <c r="B12" s="1445"/>
      <c r="C12" s="1446"/>
      <c r="D12" s="1447" t="s">
        <v>1291</v>
      </c>
      <c r="E12" s="1447" t="s">
        <v>1292</v>
      </c>
      <c r="F12" s="1447" t="s">
        <v>1293</v>
      </c>
      <c r="G12" s="1447" t="s">
        <v>1294</v>
      </c>
      <c r="H12" s="1447" t="s">
        <v>1276</v>
      </c>
      <c r="I12" s="1448" t="s">
        <v>1295</v>
      </c>
      <c r="J12" s="1448" t="s">
        <v>1295</v>
      </c>
      <c r="K12" s="1444"/>
      <c r="L12" s="1445"/>
      <c r="M12" s="1446"/>
      <c r="N12" s="1445"/>
      <c r="O12" s="1448" t="s">
        <v>1296</v>
      </c>
      <c r="P12" s="1448">
        <v>0.5</v>
      </c>
      <c r="Q12" s="1448">
        <v>1</v>
      </c>
      <c r="R12" s="1448">
        <v>2</v>
      </c>
      <c r="S12" s="1448">
        <v>3</v>
      </c>
      <c r="T12" s="1448">
        <v>5</v>
      </c>
      <c r="U12" s="1448">
        <v>1</v>
      </c>
      <c r="V12" s="1448">
        <v>3</v>
      </c>
      <c r="W12" s="1448">
        <v>5</v>
      </c>
      <c r="X12" s="1445"/>
      <c r="Y12" s="1445"/>
      <c r="Z12" s="1445"/>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c r="CF12" s="1449"/>
      <c r="CG12" s="1449"/>
      <c r="CH12" s="1449"/>
      <c r="CI12" s="1449"/>
      <c r="CJ12" s="1449"/>
      <c r="CK12" s="1449"/>
      <c r="CL12" s="1449"/>
      <c r="CM12" s="1449"/>
      <c r="CN12" s="1449"/>
      <c r="CO12" s="1449"/>
      <c r="CP12" s="1449"/>
      <c r="CQ12" s="1449"/>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1449"/>
      <c r="EU12" s="1449"/>
      <c r="EV12" s="1449"/>
      <c r="EW12" s="1449"/>
      <c r="EX12" s="1449"/>
      <c r="EY12" s="1449"/>
      <c r="EZ12" s="1449"/>
      <c r="FA12" s="1449"/>
      <c r="FB12" s="1449"/>
      <c r="FC12" s="1449"/>
      <c r="FD12" s="1449"/>
      <c r="FE12" s="1449"/>
      <c r="FF12" s="1449"/>
      <c r="FG12" s="1449"/>
      <c r="FH12" s="1449"/>
      <c r="FI12" s="1449"/>
      <c r="FJ12" s="1449"/>
      <c r="FK12" s="1449"/>
      <c r="FL12" s="1449"/>
      <c r="FM12" s="1449"/>
      <c r="FN12" s="1449"/>
      <c r="FO12" s="1449"/>
      <c r="FP12" s="1449"/>
      <c r="FQ12" s="1449"/>
      <c r="FR12" s="1449"/>
      <c r="FS12" s="1449"/>
      <c r="FT12" s="1449"/>
      <c r="FU12" s="1449"/>
      <c r="FV12" s="1449"/>
      <c r="FW12" s="1449"/>
      <c r="FX12" s="1449"/>
      <c r="FY12" s="1449"/>
      <c r="FZ12" s="1449"/>
      <c r="GA12" s="1449"/>
      <c r="GB12" s="1449"/>
      <c r="GC12" s="1449"/>
      <c r="GD12" s="1449"/>
      <c r="GE12" s="1449"/>
      <c r="GF12" s="1449"/>
      <c r="GG12" s="1449"/>
      <c r="GH12" s="1449"/>
      <c r="GI12" s="1449"/>
      <c r="GJ12" s="1449"/>
      <c r="GK12" s="1449"/>
      <c r="GL12" s="1449"/>
      <c r="GM12" s="1449"/>
      <c r="GN12" s="1449"/>
      <c r="GO12" s="1449"/>
      <c r="GP12" s="1449"/>
      <c r="GQ12" s="1449"/>
      <c r="GR12" s="1449"/>
      <c r="GS12" s="1449"/>
      <c r="GT12" s="1449"/>
      <c r="GU12" s="1449"/>
      <c r="GV12" s="1449"/>
      <c r="GW12" s="1449"/>
      <c r="GX12" s="1449"/>
      <c r="GY12" s="1449"/>
      <c r="GZ12" s="1449"/>
      <c r="HA12" s="1449"/>
      <c r="HB12" s="1449"/>
      <c r="HC12" s="1449"/>
      <c r="HD12" s="1449"/>
      <c r="HE12" s="1449"/>
      <c r="HF12" s="1449"/>
      <c r="HG12" s="1449"/>
      <c r="HH12" s="1449"/>
      <c r="HI12" s="1449"/>
      <c r="HJ12" s="1449"/>
      <c r="HK12" s="1449"/>
      <c r="HL12" s="1449"/>
      <c r="HM12" s="1449"/>
      <c r="HN12" s="1449"/>
      <c r="HO12" s="1449"/>
      <c r="HP12" s="1449"/>
      <c r="HQ12" s="1449"/>
      <c r="HR12" s="1449"/>
      <c r="HS12" s="1449"/>
      <c r="HT12" s="1449"/>
      <c r="HU12" s="1449"/>
      <c r="HV12" s="1449"/>
      <c r="HW12" s="1449"/>
      <c r="HX12" s="1449"/>
      <c r="HY12" s="1449"/>
      <c r="HZ12" s="1449"/>
      <c r="IA12" s="1449"/>
      <c r="IB12" s="1449"/>
      <c r="IC12" s="1449"/>
      <c r="ID12" s="1449"/>
      <c r="IE12" s="1449"/>
      <c r="IF12" s="1449"/>
      <c r="IG12" s="1449"/>
      <c r="IH12" s="1449"/>
      <c r="II12" s="1449"/>
      <c r="IJ12" s="1449"/>
      <c r="IK12" s="1449"/>
      <c r="IL12" s="1449"/>
      <c r="IM12" s="1449"/>
      <c r="IN12" s="1449"/>
      <c r="IO12" s="1449"/>
      <c r="IP12" s="1449"/>
      <c r="IQ12" s="1449"/>
      <c r="IR12" s="1449"/>
      <c r="IS12" s="1449"/>
      <c r="IT12" s="1449"/>
      <c r="IU12" s="1449"/>
      <c r="IV12" s="1449"/>
    </row>
    <row r="13" spans="1:257" ht="14.25">
      <c r="A13" s="1450"/>
      <c r="B13" s="1451" t="s">
        <v>1297</v>
      </c>
      <c r="C13" s="1452">
        <v>42301</v>
      </c>
      <c r="D13" s="1453">
        <v>4.3499999999999996</v>
      </c>
      <c r="E13" s="1453">
        <v>4.3499999999999996</v>
      </c>
      <c r="F13" s="1453">
        <v>4.75</v>
      </c>
      <c r="G13" s="1453">
        <v>4.75</v>
      </c>
      <c r="H13" s="1453">
        <v>4.9000000000000004</v>
      </c>
      <c r="I13" s="1453">
        <v>2.75</v>
      </c>
      <c r="J13" s="1453">
        <v>3.25</v>
      </c>
      <c r="K13" s="1450"/>
      <c r="L13" s="1451"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c r="B14" s="1457"/>
      <c r="C14" s="1458">
        <v>42242</v>
      </c>
      <c r="D14" s="1457">
        <v>4.5999999999999996</v>
      </c>
      <c r="E14" s="1457">
        <v>4.5999999999999996</v>
      </c>
      <c r="F14" s="1457">
        <v>5</v>
      </c>
      <c r="G14" s="1457">
        <v>5</v>
      </c>
      <c r="H14" s="1457">
        <v>5.15</v>
      </c>
      <c r="I14" s="1457">
        <v>2.75</v>
      </c>
      <c r="J14" s="1457">
        <v>3.25</v>
      </c>
      <c r="L14" s="1457"/>
      <c r="M14" s="1458">
        <v>42242</v>
      </c>
      <c r="N14" s="1457">
        <v>0.35</v>
      </c>
      <c r="O14" s="1457">
        <v>1.35</v>
      </c>
      <c r="P14" s="1457">
        <v>1.55</v>
      </c>
      <c r="Q14" s="1457">
        <v>1.75</v>
      </c>
      <c r="R14" s="1457">
        <v>2.35</v>
      </c>
      <c r="S14" s="1457">
        <v>3</v>
      </c>
      <c r="T14" s="1457"/>
      <c r="U14" s="1457"/>
      <c r="V14" s="1457"/>
      <c r="W14" s="1457"/>
      <c r="X14" s="1457"/>
      <c r="Y14" s="1457"/>
      <c r="Z14" s="1457"/>
    </row>
    <row r="15" spans="1:257">
      <c r="B15" s="1457"/>
      <c r="C15" s="1458">
        <v>42183</v>
      </c>
      <c r="D15" s="1457">
        <v>4.8499999999999996</v>
      </c>
      <c r="E15" s="1457">
        <v>4.8499999999999996</v>
      </c>
      <c r="F15" s="1457">
        <v>5.25</v>
      </c>
      <c r="G15" s="1457">
        <v>5.25</v>
      </c>
      <c r="H15" s="1457">
        <v>5.4</v>
      </c>
      <c r="I15" s="1457">
        <v>3</v>
      </c>
      <c r="J15" s="1457">
        <v>3.5</v>
      </c>
      <c r="L15" s="1457"/>
      <c r="M15" s="1458">
        <v>42183</v>
      </c>
      <c r="N15" s="1457">
        <v>0.35</v>
      </c>
      <c r="O15" s="1457">
        <v>1.6</v>
      </c>
      <c r="P15" s="1457">
        <v>1.8</v>
      </c>
      <c r="Q15" s="1457">
        <v>2</v>
      </c>
      <c r="R15" s="1457">
        <v>2.6</v>
      </c>
      <c r="S15" s="1457">
        <v>3.25</v>
      </c>
      <c r="T15" s="1457"/>
      <c r="U15" s="1457"/>
      <c r="V15" s="1457"/>
      <c r="W15" s="1457"/>
      <c r="X15" s="1457"/>
      <c r="Y15" s="1457"/>
      <c r="Z15" s="1457"/>
    </row>
    <row r="16" spans="1:257">
      <c r="B16" s="1457"/>
      <c r="C16" s="1458">
        <v>42135</v>
      </c>
      <c r="D16" s="1457">
        <v>5.0999999999999996</v>
      </c>
      <c r="E16" s="1457">
        <v>5.0999999999999996</v>
      </c>
      <c r="F16" s="1457">
        <v>5.5</v>
      </c>
      <c r="G16" s="1457">
        <v>5.5</v>
      </c>
      <c r="H16" s="1457">
        <v>5.65</v>
      </c>
      <c r="I16" s="1457">
        <v>3.25</v>
      </c>
      <c r="J16" s="1457">
        <v>3.75</v>
      </c>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2:26">
      <c r="B17" s="1457"/>
      <c r="C17" s="1458">
        <v>42064</v>
      </c>
      <c r="D17" s="1457">
        <v>5.35</v>
      </c>
      <c r="E17" s="1457">
        <v>5.35</v>
      </c>
      <c r="F17" s="1457">
        <v>5.75</v>
      </c>
      <c r="G17" s="1457">
        <v>5.75</v>
      </c>
      <c r="H17" s="1457">
        <v>5.9</v>
      </c>
      <c r="I17" s="1457"/>
      <c r="J17" s="1457"/>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2:26" ht="15">
      <c r="B18" s="1457"/>
      <c r="C18" s="1458">
        <v>41965</v>
      </c>
      <c r="D18" s="1457">
        <v>5.6</v>
      </c>
      <c r="E18" s="1457">
        <v>5.6</v>
      </c>
      <c r="F18" s="1457">
        <v>6</v>
      </c>
      <c r="G18" s="1457">
        <v>6</v>
      </c>
      <c r="H18" s="1457">
        <v>6.15</v>
      </c>
      <c r="I18" s="1457"/>
      <c r="J18" s="1457"/>
      <c r="L18" s="1457"/>
      <c r="M18" s="1458">
        <v>41965</v>
      </c>
      <c r="N18" s="1457">
        <v>0.35</v>
      </c>
      <c r="O18" s="1457">
        <v>2.35</v>
      </c>
      <c r="P18" s="1457">
        <v>2.5499999999999998</v>
      </c>
      <c r="Q18" s="1457">
        <v>2.75</v>
      </c>
      <c r="R18" s="1457">
        <v>3.35</v>
      </c>
      <c r="S18" s="1457">
        <v>4</v>
      </c>
      <c r="T18" s="1457">
        <v>4.75</v>
      </c>
      <c r="U18" s="1459">
        <v>2.35</v>
      </c>
      <c r="V18" s="1459">
        <v>2.5499999999999998</v>
      </c>
      <c r="W18" s="1459">
        <v>2.75</v>
      </c>
      <c r="X18" s="1457"/>
      <c r="Y18" s="1459">
        <v>0.8</v>
      </c>
      <c r="Z18" s="1459">
        <v>1.35</v>
      </c>
    </row>
    <row r="19" spans="2:26">
      <c r="B19" s="1457"/>
      <c r="C19" s="1458">
        <v>41096</v>
      </c>
      <c r="D19" s="1457">
        <v>5.6</v>
      </c>
      <c r="E19" s="1457">
        <v>6</v>
      </c>
      <c r="F19" s="1457">
        <v>6.15</v>
      </c>
      <c r="G19" s="1457">
        <v>6.4</v>
      </c>
      <c r="H19" s="1457">
        <v>6.55</v>
      </c>
      <c r="I19" s="1457">
        <v>4</v>
      </c>
      <c r="J19" s="1457">
        <v>4.5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2:26">
      <c r="B20" s="1457"/>
      <c r="C20" s="1458">
        <v>41068</v>
      </c>
      <c r="D20" s="1457">
        <v>5.85</v>
      </c>
      <c r="E20" s="1457">
        <v>6.31</v>
      </c>
      <c r="F20" s="1457">
        <v>6.4</v>
      </c>
      <c r="G20" s="1457">
        <v>6.65</v>
      </c>
      <c r="H20" s="1457">
        <v>6.8</v>
      </c>
      <c r="I20" s="1457">
        <v>4.2</v>
      </c>
      <c r="J20" s="1457">
        <v>4.7</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2:26">
      <c r="B21" s="1457"/>
      <c r="C21" s="1458">
        <v>40731</v>
      </c>
      <c r="D21" s="1457">
        <v>6.1</v>
      </c>
      <c r="E21" s="1457">
        <v>6.56</v>
      </c>
      <c r="F21" s="1457">
        <v>6.65</v>
      </c>
      <c r="G21" s="1457">
        <v>6.9</v>
      </c>
      <c r="H21" s="1457">
        <v>7.05</v>
      </c>
      <c r="I21" s="1457">
        <v>4.45</v>
      </c>
      <c r="J21" s="1457">
        <v>4.9000000000000004</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2:26">
      <c r="B22" s="1457"/>
      <c r="C22" s="1458">
        <v>40639</v>
      </c>
      <c r="D22" s="1457">
        <v>5.85</v>
      </c>
      <c r="E22" s="1457">
        <v>6.31</v>
      </c>
      <c r="F22" s="1457">
        <v>6.4</v>
      </c>
      <c r="G22" s="1457">
        <v>6.65</v>
      </c>
      <c r="H22" s="1457">
        <v>6.8</v>
      </c>
      <c r="I22" s="1457">
        <v>4.2</v>
      </c>
      <c r="J22" s="1457">
        <v>4.7</v>
      </c>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2:26">
      <c r="B23" s="1457"/>
      <c r="C23" s="1458">
        <v>40583</v>
      </c>
      <c r="D23" s="1457">
        <v>5.6</v>
      </c>
      <c r="E23" s="1457">
        <v>6.06</v>
      </c>
      <c r="F23" s="1457">
        <v>6.1</v>
      </c>
      <c r="G23" s="1457">
        <v>6.45</v>
      </c>
      <c r="H23" s="1457">
        <v>6.6</v>
      </c>
      <c r="I23" s="1457">
        <v>4</v>
      </c>
      <c r="J23" s="1457">
        <v>4.5</v>
      </c>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2:26">
      <c r="B24" s="1457"/>
      <c r="C24" s="1458">
        <v>40538</v>
      </c>
      <c r="D24" s="1457">
        <v>5.35</v>
      </c>
      <c r="E24" s="1457">
        <v>5.81</v>
      </c>
      <c r="F24" s="1457">
        <v>5.85</v>
      </c>
      <c r="G24" s="1457">
        <v>6.22</v>
      </c>
      <c r="H24" s="1457">
        <v>6.4</v>
      </c>
      <c r="I24" s="1457">
        <v>3.75</v>
      </c>
      <c r="J24" s="1457">
        <v>4.3</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2:26">
      <c r="B25" s="1457"/>
      <c r="C25" s="1458">
        <v>40471</v>
      </c>
      <c r="D25" s="1457">
        <v>5.0999999999999996</v>
      </c>
      <c r="E25" s="1457">
        <v>5.56</v>
      </c>
      <c r="F25" s="1457">
        <v>5.6</v>
      </c>
      <c r="G25" s="1457">
        <v>5.96</v>
      </c>
      <c r="H25" s="1457">
        <v>6.14</v>
      </c>
      <c r="I25" s="1457">
        <v>3.5</v>
      </c>
      <c r="J25" s="1457">
        <v>4.05</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2:26">
      <c r="B26" s="1457"/>
      <c r="C26" s="1458">
        <v>39805</v>
      </c>
      <c r="D26" s="1457">
        <v>4.8600000000000003</v>
      </c>
      <c r="E26" s="1457">
        <v>5.31</v>
      </c>
      <c r="F26" s="1457">
        <v>5.4</v>
      </c>
      <c r="G26" s="1457">
        <v>5.76</v>
      </c>
      <c r="H26" s="1457">
        <v>5.94</v>
      </c>
      <c r="I26" s="1457">
        <v>3.33</v>
      </c>
      <c r="J26" s="1457">
        <v>3.87</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2:26">
      <c r="B27" s="1457"/>
      <c r="C27" s="1458">
        <v>39779</v>
      </c>
      <c r="D27" s="1457">
        <v>5.04</v>
      </c>
      <c r="E27" s="1457">
        <v>5.58</v>
      </c>
      <c r="F27" s="1457">
        <v>5.67</v>
      </c>
      <c r="G27" s="1457">
        <v>5.94</v>
      </c>
      <c r="H27" s="1457">
        <v>6.12</v>
      </c>
      <c r="I27" s="1457">
        <v>3.51</v>
      </c>
      <c r="J27" s="1457">
        <v>4.05</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2:26">
      <c r="B28" s="1457"/>
      <c r="C28" s="1458">
        <v>39751</v>
      </c>
      <c r="D28" s="1457">
        <v>6.03</v>
      </c>
      <c r="E28" s="1457">
        <v>6.66</v>
      </c>
      <c r="F28" s="1457">
        <v>6.75</v>
      </c>
      <c r="G28" s="1457">
        <v>7.02</v>
      </c>
      <c r="H28" s="1457">
        <v>7.2</v>
      </c>
      <c r="I28" s="1457">
        <v>4.05</v>
      </c>
      <c r="J28" s="1457">
        <v>4.59</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2:26">
      <c r="B29" s="1457"/>
      <c r="C29" s="1460">
        <v>39748</v>
      </c>
      <c r="D29" s="1457">
        <v>6.12</v>
      </c>
      <c r="E29" s="1457">
        <v>6.93</v>
      </c>
      <c r="F29" s="1457">
        <v>7.02</v>
      </c>
      <c r="G29" s="1457">
        <v>7.29</v>
      </c>
      <c r="H29" s="1457">
        <v>7.47</v>
      </c>
      <c r="I29" s="1457">
        <v>4.05</v>
      </c>
      <c r="J29" s="1457">
        <v>4.59</v>
      </c>
      <c r="L29" s="1457"/>
      <c r="M29" s="1460">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2:26">
      <c r="B30" s="1457"/>
      <c r="C30" s="1458">
        <v>39730</v>
      </c>
      <c r="D30" s="1457">
        <v>6.12</v>
      </c>
      <c r="E30" s="1457">
        <v>6.93</v>
      </c>
      <c r="F30" s="1457">
        <v>7.02</v>
      </c>
      <c r="G30" s="1457">
        <v>7.29</v>
      </c>
      <c r="H30" s="1457">
        <v>7.47</v>
      </c>
      <c r="I30" s="1457">
        <v>4.32</v>
      </c>
      <c r="J30" s="1457">
        <v>4.8600000000000003</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2:26">
      <c r="B31" s="1457"/>
      <c r="C31" s="1458">
        <v>39707</v>
      </c>
      <c r="D31" s="1457">
        <v>6.21</v>
      </c>
      <c r="E31" s="1457">
        <v>7.2</v>
      </c>
      <c r="F31" s="1457">
        <v>7.29</v>
      </c>
      <c r="G31" s="1457">
        <v>7.56</v>
      </c>
      <c r="H31" s="1457">
        <v>7.74</v>
      </c>
      <c r="I31" s="1457">
        <v>4.59</v>
      </c>
      <c r="J31" s="1457">
        <v>5.13</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2:26">
      <c r="B32" s="1457"/>
      <c r="C32" s="1458">
        <v>39437</v>
      </c>
      <c r="D32" s="1457">
        <v>6.57</v>
      </c>
      <c r="E32" s="1457">
        <v>7.47</v>
      </c>
      <c r="F32" s="1457">
        <v>7.56</v>
      </c>
      <c r="G32" s="1457">
        <v>7.74</v>
      </c>
      <c r="H32" s="1457">
        <v>7.83</v>
      </c>
      <c r="I32" s="1457">
        <v>4.7699999999999996</v>
      </c>
      <c r="J32" s="1457">
        <v>5.22</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39340</v>
      </c>
      <c r="D33" s="1457">
        <v>6.48</v>
      </c>
      <c r="E33" s="1457">
        <v>7.29</v>
      </c>
      <c r="F33" s="1457">
        <v>7.47</v>
      </c>
      <c r="G33" s="1457">
        <v>7.65</v>
      </c>
      <c r="H33" s="1457">
        <v>7.83</v>
      </c>
      <c r="I33" s="1457">
        <v>4.7699999999999996</v>
      </c>
      <c r="J33" s="1457">
        <v>5.22</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8">
        <v>39316</v>
      </c>
      <c r="D34" s="1457">
        <v>6.21</v>
      </c>
      <c r="E34" s="1457">
        <v>7.02</v>
      </c>
      <c r="F34" s="1457">
        <v>7.2</v>
      </c>
      <c r="G34" s="1457">
        <v>7.38</v>
      </c>
      <c r="H34" s="1457">
        <v>7.56</v>
      </c>
      <c r="I34" s="1457">
        <v>4.59</v>
      </c>
      <c r="J34" s="1457">
        <v>5.04</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39284</v>
      </c>
      <c r="D35" s="1457">
        <v>6.03</v>
      </c>
      <c r="E35" s="1457">
        <v>6.84</v>
      </c>
      <c r="F35" s="1457">
        <v>7.02</v>
      </c>
      <c r="G35" s="1457">
        <v>7.2</v>
      </c>
      <c r="H35" s="1457">
        <v>7.38</v>
      </c>
      <c r="I35" s="1457">
        <v>4.5</v>
      </c>
      <c r="J35" s="1457">
        <v>4.95</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39221</v>
      </c>
      <c r="D36" s="1457">
        <v>5.85</v>
      </c>
      <c r="E36" s="1457">
        <v>6.57</v>
      </c>
      <c r="F36" s="1457">
        <v>6.75</v>
      </c>
      <c r="G36" s="1457">
        <v>6.93</v>
      </c>
      <c r="H36" s="1457">
        <v>7.2</v>
      </c>
      <c r="I36" s="1457">
        <v>4.41</v>
      </c>
      <c r="J36" s="1457">
        <v>4.8600000000000003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39159</v>
      </c>
      <c r="D37" s="1457">
        <v>5.67</v>
      </c>
      <c r="E37" s="1457">
        <v>6.39</v>
      </c>
      <c r="F37" s="1457">
        <v>6.57</v>
      </c>
      <c r="G37" s="1457">
        <v>6.75</v>
      </c>
      <c r="H37" s="1457">
        <v>7.11</v>
      </c>
      <c r="I37" s="1457">
        <v>4.32</v>
      </c>
      <c r="J37" s="1457">
        <v>4.7699999999999996</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38948</v>
      </c>
      <c r="D38" s="1457">
        <v>5.58</v>
      </c>
      <c r="E38" s="1457">
        <v>6.12</v>
      </c>
      <c r="F38" s="1457">
        <v>6.3</v>
      </c>
      <c r="G38" s="1457">
        <v>6.48</v>
      </c>
      <c r="H38" s="1457">
        <v>6.84</v>
      </c>
      <c r="I38" s="1457">
        <v>4.1399999999999997</v>
      </c>
      <c r="J38" s="1457">
        <v>4.59</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38835</v>
      </c>
      <c r="D39" s="1457">
        <v>5.4</v>
      </c>
      <c r="E39" s="1457">
        <v>5.85</v>
      </c>
      <c r="F39" s="1457">
        <v>6.03</v>
      </c>
      <c r="G39" s="1457">
        <v>6.12</v>
      </c>
      <c r="H39" s="1457">
        <v>6.39</v>
      </c>
      <c r="I39" s="1457">
        <v>4.1399999999999997</v>
      </c>
      <c r="J39" s="1457">
        <v>4.59</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38428</v>
      </c>
      <c r="D40" s="1457">
        <v>5.22</v>
      </c>
      <c r="E40" s="1457">
        <v>5.58</v>
      </c>
      <c r="F40" s="1457">
        <v>5.76</v>
      </c>
      <c r="G40" s="1457">
        <v>5.85</v>
      </c>
      <c r="H40" s="1457">
        <v>6.12</v>
      </c>
      <c r="I40" s="1457">
        <v>3.96</v>
      </c>
      <c r="J40" s="1457">
        <v>4.41</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38289</v>
      </c>
      <c r="D41" s="1457">
        <v>5.22</v>
      </c>
      <c r="E41" s="1457">
        <v>5.58</v>
      </c>
      <c r="F41" s="1457">
        <v>5.76</v>
      </c>
      <c r="G41" s="1457">
        <v>5.85</v>
      </c>
      <c r="H41" s="1457">
        <v>6.12</v>
      </c>
      <c r="I41" s="1457">
        <v>3.78</v>
      </c>
      <c r="J41" s="1457">
        <v>4.2300000000000004</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37308</v>
      </c>
      <c r="D42" s="1457">
        <v>5.04</v>
      </c>
      <c r="E42" s="1457">
        <v>5.31</v>
      </c>
      <c r="F42" s="1457">
        <v>5.49</v>
      </c>
      <c r="G42" s="1457">
        <v>5.58</v>
      </c>
      <c r="H42" s="1457">
        <v>5.76</v>
      </c>
      <c r="I42" s="1457">
        <v>3.6</v>
      </c>
      <c r="J42" s="1457">
        <v>4.05</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36321</v>
      </c>
      <c r="D43" s="1457">
        <v>5.58</v>
      </c>
      <c r="E43" s="1457">
        <v>5.85</v>
      </c>
      <c r="F43" s="1457">
        <v>5.94</v>
      </c>
      <c r="G43" s="1457">
        <v>6.03</v>
      </c>
      <c r="H43" s="1457">
        <v>6.21</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36136</v>
      </c>
      <c r="D44" s="1457">
        <v>6.12</v>
      </c>
      <c r="E44" s="1457">
        <v>6.39</v>
      </c>
      <c r="F44" s="1457">
        <v>6.66</v>
      </c>
      <c r="G44" s="1457">
        <v>7.2</v>
      </c>
      <c r="H44" s="1457">
        <v>7.56</v>
      </c>
      <c r="I44" s="1457">
        <v>0</v>
      </c>
      <c r="J44" s="1457">
        <v>0</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35977</v>
      </c>
      <c r="D45" s="1457">
        <v>6.57</v>
      </c>
      <c r="E45" s="1457">
        <v>6.93</v>
      </c>
      <c r="F45" s="1457">
        <v>7.11</v>
      </c>
      <c r="G45" s="1457">
        <v>7.65</v>
      </c>
      <c r="H45" s="1457">
        <v>8.01</v>
      </c>
      <c r="I45" s="1457">
        <v>0</v>
      </c>
      <c r="J45" s="1457">
        <v>0</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35879</v>
      </c>
      <c r="D46" s="1457">
        <v>7.02</v>
      </c>
      <c r="E46" s="1457">
        <v>7.92</v>
      </c>
      <c r="F46" s="1457">
        <v>9</v>
      </c>
      <c r="G46" s="1457">
        <v>9.7200000000000006</v>
      </c>
      <c r="H46" s="1457">
        <v>10.35</v>
      </c>
      <c r="I46" s="1457">
        <v>0</v>
      </c>
      <c r="J46" s="1457">
        <v>0</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35726</v>
      </c>
      <c r="D47" s="1457">
        <v>7.65</v>
      </c>
      <c r="E47" s="1457">
        <v>8.64</v>
      </c>
      <c r="F47" s="1457">
        <v>9.36</v>
      </c>
      <c r="G47" s="1457">
        <v>9.9</v>
      </c>
      <c r="H47" s="1457">
        <v>10.53</v>
      </c>
      <c r="I47" s="1457">
        <v>0</v>
      </c>
      <c r="J47" s="1457">
        <v>0</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35300</v>
      </c>
      <c r="D48" s="1457">
        <v>9.18</v>
      </c>
      <c r="E48" s="1457">
        <v>10.08</v>
      </c>
      <c r="F48" s="1457">
        <v>10.98</v>
      </c>
      <c r="G48" s="1457">
        <v>11.7</v>
      </c>
      <c r="H48" s="1457">
        <v>12.42</v>
      </c>
      <c r="I48" s="1457">
        <v>0</v>
      </c>
      <c r="J48" s="1457">
        <v>0</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35186</v>
      </c>
      <c r="D49" s="1457">
        <v>9.7200000000000006</v>
      </c>
      <c r="E49" s="1457">
        <v>10.98</v>
      </c>
      <c r="F49" s="1457">
        <v>13.14</v>
      </c>
      <c r="G49" s="1457">
        <v>14.94</v>
      </c>
      <c r="H49" s="1457">
        <v>15.12</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34881</v>
      </c>
      <c r="D50" s="1457">
        <v>10.08</v>
      </c>
      <c r="E50" s="1457">
        <v>12.06</v>
      </c>
      <c r="F50" s="1457">
        <v>13.5</v>
      </c>
      <c r="G50" s="1457">
        <v>15.12</v>
      </c>
      <c r="H50" s="1457">
        <v>15.3</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34700</v>
      </c>
      <c r="D51" s="1457">
        <v>9</v>
      </c>
      <c r="E51" s="1457">
        <v>10.98</v>
      </c>
      <c r="F51" s="1457">
        <v>12.96</v>
      </c>
      <c r="G51" s="1457">
        <v>14.58</v>
      </c>
      <c r="H51" s="1457">
        <v>14.76</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34161</v>
      </c>
      <c r="D52" s="1457">
        <v>9</v>
      </c>
      <c r="E52" s="1457">
        <v>10.98</v>
      </c>
      <c r="F52" s="1457">
        <v>12.24</v>
      </c>
      <c r="G52" s="1457">
        <v>13.86</v>
      </c>
      <c r="H52" s="1457">
        <v>14.04</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34104</v>
      </c>
      <c r="D53" s="1457">
        <v>8.82</v>
      </c>
      <c r="E53" s="1457">
        <v>9.36</v>
      </c>
      <c r="F53" s="1457">
        <v>10.8</v>
      </c>
      <c r="G53" s="1457">
        <v>12.06</v>
      </c>
      <c r="H53" s="1457">
        <v>12.24</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33349</v>
      </c>
      <c r="D54" s="1457">
        <v>8.1</v>
      </c>
      <c r="E54" s="1457">
        <v>8.64</v>
      </c>
      <c r="F54" s="1457">
        <v>9</v>
      </c>
      <c r="G54" s="1457">
        <v>9.5399999999999991</v>
      </c>
      <c r="H54" s="1457">
        <v>9.7200000000000006</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33318</v>
      </c>
      <c r="D55" s="1457">
        <v>9</v>
      </c>
      <c r="E55" s="1457">
        <v>10.08</v>
      </c>
      <c r="F55" s="1457">
        <v>10.8</v>
      </c>
      <c r="G55" s="1457">
        <v>11.52</v>
      </c>
      <c r="H55" s="1457">
        <v>11.88</v>
      </c>
      <c r="I55" s="1457" t="s">
        <v>1298</v>
      </c>
      <c r="J55" s="1457" t="s">
        <v>1298</v>
      </c>
      <c r="L55" s="1457"/>
      <c r="M55" s="1458"/>
      <c r="N55" s="1457"/>
      <c r="O55" s="1457"/>
      <c r="P55" s="1457"/>
      <c r="Q55" s="1457"/>
      <c r="R55" s="1457"/>
      <c r="S55" s="1457"/>
      <c r="T55" s="1457"/>
      <c r="U55" s="1457"/>
      <c r="V55" s="1457"/>
      <c r="W55" s="1457"/>
      <c r="X55" s="1457"/>
      <c r="Y55" s="1457"/>
      <c r="Z55" s="1457"/>
    </row>
    <row r="56" spans="2:26">
      <c r="B56" s="1457"/>
      <c r="C56" s="1458">
        <v>33106</v>
      </c>
      <c r="D56" s="1457">
        <v>8.64</v>
      </c>
      <c r="E56" s="1457">
        <v>9.36</v>
      </c>
      <c r="F56" s="1457">
        <v>10.08</v>
      </c>
      <c r="G56" s="1457">
        <v>10.8</v>
      </c>
      <c r="H56" s="1457">
        <v>11.16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32540</v>
      </c>
      <c r="D57" s="1457">
        <v>11.34</v>
      </c>
      <c r="E57" s="1457">
        <v>11.34</v>
      </c>
      <c r="F57" s="1457">
        <v>12.78</v>
      </c>
      <c r="G57" s="1457">
        <v>14.4</v>
      </c>
      <c r="H57" s="1457">
        <v>19.260000000000002</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c r="D58" s="1457"/>
      <c r="E58" s="1457"/>
      <c r="F58" s="1457"/>
      <c r="G58" s="1457"/>
      <c r="H58" s="1457"/>
      <c r="I58" s="1457"/>
      <c r="J58" s="1457"/>
    </row>
    <row r="59" spans="2:26">
      <c r="B59" s="1461"/>
      <c r="C59" s="1462"/>
      <c r="D59" s="1461"/>
      <c r="E59" s="1461"/>
      <c r="F59" s="1461"/>
      <c r="G59" s="1461"/>
      <c r="H59" s="1461"/>
      <c r="I59" s="1461"/>
      <c r="J59" s="1461"/>
    </row>
    <row r="60" spans="2:26">
      <c r="B60" s="1461"/>
      <c r="C60" s="1462"/>
      <c r="D60" s="1461"/>
      <c r="E60" s="1461"/>
      <c r="F60" s="1461"/>
      <c r="G60" s="1461"/>
      <c r="H60" s="1461"/>
      <c r="I60" s="1461"/>
      <c r="J60" s="1461"/>
    </row>
    <row r="61" spans="2:26">
      <c r="B61" s="1461"/>
      <c r="C61" s="1462"/>
      <c r="D61" s="1461"/>
      <c r="E61" s="1461"/>
      <c r="F61" s="1461"/>
      <c r="G61" s="1461"/>
      <c r="H61" s="1461"/>
      <c r="I61" s="1461"/>
      <c r="J61" s="1461"/>
    </row>
    <row r="62" spans="2:26">
      <c r="B62" s="1408"/>
      <c r="C62" s="1408"/>
      <c r="D62" s="1408"/>
      <c r="E62" s="1408"/>
      <c r="F62" s="1408"/>
      <c r="G62" s="1408"/>
      <c r="H62" s="1408"/>
      <c r="I62" s="1408"/>
      <c r="J62" s="1408"/>
    </row>
    <row r="63" spans="2:26">
      <c r="B63" s="1408"/>
      <c r="C63" s="1408"/>
      <c r="D63" s="1408"/>
      <c r="E63" s="1408"/>
      <c r="F63" s="1408"/>
      <c r="G63" s="1408"/>
      <c r="H63" s="1408"/>
      <c r="I63" s="1408"/>
      <c r="J63" s="1408"/>
    </row>
  </sheetData>
  <sheetProtection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2" sqref="N22"/>
    </sheetView>
  </sheetViews>
  <sheetFormatPr defaultRowHeight="13.5"/>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Sheet1</vt:lpstr>
      <vt:lpstr>土地比较法-住宅、综合</vt:lpstr>
      <vt:lpstr>基准地价修正</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WEI</cp:lastModifiedBy>
  <cp:lastPrinted>2017-03-01T09:15:43Z</cp:lastPrinted>
  <dcterms:created xsi:type="dcterms:W3CDTF">2015-07-13T07:17:23Z</dcterms:created>
  <dcterms:modified xsi:type="dcterms:W3CDTF">2021-01-28T05:35:47Z</dcterms:modified>
</cp:coreProperties>
</file>