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ThisWorkbook" defaultThemeVersion="124226"/>
  <bookViews>
    <workbookView xWindow="480" yWindow="210" windowWidth="12120" windowHeight="7620" tabRatio="895" firstSheet="10"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范围"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 sheetId="39" r:id="rId22"/>
    <sheet name="假设开发法" sheetId="12" r:id="rId23"/>
    <sheet name="收益法 (元)" sheetId="67" state="hidden" r:id="rId24"/>
    <sheet name="收益法（汇总）" sheetId="70" state="hidden" r:id="rId25"/>
    <sheet name="酒店收入计算" sheetId="66" state="hidden" r:id="rId26"/>
    <sheet name="比较法-住宅" sheetId="21" r:id="rId27"/>
    <sheet name="收益法" sheetId="15"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'土地比较法-住宅'!$A$1:$L$48</definedName>
    <definedName name="_xlnm._FilterDatabase" localSheetId="10" hidden="1">项目基本情况!$A$42:$N$42</definedName>
    <definedName name="_xlnm.Print_Area" localSheetId="8">估价师及机构信息!$A$1:$F$29</definedName>
    <definedName name="_xlnm.Print_Area" localSheetId="27">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'土地比较法-住宅'!$B$106:$M$106</definedName>
    <definedName name="套综工程地质条件">'土地比较法-住宅'!$B$125:$M$125</definedName>
    <definedName name="套综交易情况">'土地比较法-住宅'!$A$73:$M$73</definedName>
    <definedName name="套综临街宽度及深度">'土地比较法-住宅'!$B$121:$M$121</definedName>
    <definedName name="套综土地级别">'土地比较法-住宅'!$B$108:$M$108</definedName>
    <definedName name="套综用途">'土地比较法-住宅'!$B$75:$M$75</definedName>
    <definedName name="套综宗地内开发程度">'土地比较法-住宅'!$B$123:$M$123</definedName>
    <definedName name="套综宗地形状">'土地比较法-住宅'!$B$119:$M$119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16" i="74"/>
  <c r="E8" i="12" l="1"/>
  <c r="C8"/>
  <c r="E6"/>
  <c r="C6"/>
  <c r="E104" i="21"/>
  <c r="F104" s="1"/>
  <c r="G104" s="1"/>
  <c r="H104" s="1"/>
  <c r="I104" s="1"/>
  <c r="J104" s="1"/>
  <c r="K104" s="1"/>
  <c r="L104" s="1"/>
  <c r="M104" s="1"/>
  <c r="D104"/>
  <c r="E103"/>
  <c r="F103"/>
  <c r="G103" s="1"/>
  <c r="H103" s="1"/>
  <c r="I103" s="1"/>
  <c r="J103" s="1"/>
  <c r="K103" s="1"/>
  <c r="L103" s="1"/>
  <c r="M103" s="1"/>
  <c r="D103"/>
  <c r="C33"/>
  <c r="C11"/>
  <c r="K11"/>
  <c r="K23"/>
  <c r="K21"/>
  <c r="K19"/>
  <c r="K17"/>
  <c r="K15"/>
  <c r="E68"/>
  <c r="F68"/>
  <c r="G68" s="1"/>
  <c r="H68" s="1"/>
  <c r="I68" s="1"/>
  <c r="J68" s="1"/>
  <c r="K68" s="1"/>
  <c r="L68" s="1"/>
  <c r="M68" s="1"/>
  <c r="D68"/>
  <c r="E71" i="39" l="1"/>
  <c r="F71"/>
  <c r="G71" s="1"/>
  <c r="H71" s="1"/>
  <c r="I71" s="1"/>
  <c r="J71" s="1"/>
  <c r="K71" s="1"/>
  <c r="L71" s="1"/>
  <c r="M71" s="1"/>
  <c r="N71" s="1"/>
  <c r="O71" s="1"/>
  <c r="D71"/>
  <c r="I46"/>
  <c r="G46"/>
  <c r="E46"/>
  <c r="I38"/>
  <c r="G38"/>
  <c r="E38"/>
  <c r="C38"/>
  <c r="E118"/>
  <c r="F118"/>
  <c r="G118" s="1"/>
  <c r="H118" s="1"/>
  <c r="I118" s="1"/>
  <c r="J118" s="1"/>
  <c r="K118" s="1"/>
  <c r="L118" s="1"/>
  <c r="M118" s="1"/>
  <c r="D118"/>
  <c r="E117"/>
  <c r="F117"/>
  <c r="G117" s="1"/>
  <c r="H117" s="1"/>
  <c r="I117" s="1"/>
  <c r="J117" s="1"/>
  <c r="K117" s="1"/>
  <c r="L117" s="1"/>
  <c r="M117" s="1"/>
  <c r="D117"/>
  <c r="E80"/>
  <c r="F80"/>
  <c r="G80" s="1"/>
  <c r="H80" s="1"/>
  <c r="I80" s="1"/>
  <c r="J80" s="1"/>
  <c r="D80"/>
  <c r="C11"/>
  <c r="N18" i="77"/>
  <c r="N17"/>
  <c r="N15"/>
  <c r="I7" i="39"/>
  <c r="G7"/>
  <c r="E7"/>
  <c r="I5"/>
  <c r="G5"/>
  <c r="E5"/>
  <c r="AR15" i="3"/>
  <c r="AR13"/>
  <c r="M5" i="77"/>
  <c r="C20" i="6"/>
  <c r="C19"/>
  <c r="C15" i="3"/>
  <c r="C21" i="6" s="1"/>
  <c r="M16" i="77"/>
  <c r="M15" s="1"/>
  <c r="F100"/>
  <c r="M18" s="1"/>
  <c r="F71"/>
  <c r="M17" s="1"/>
  <c r="K14" i="3" l="1"/>
  <c r="F20" i="6" s="1"/>
  <c r="I13" i="3"/>
  <c r="F19" i="6" s="1"/>
  <c r="I15" i="3"/>
  <c r="F21" i="6" s="1"/>
  <c r="A3" i="3"/>
  <c r="L3" i="71" l="1"/>
  <c r="K3"/>
  <c r="I3"/>
  <c r="J3" l="1"/>
  <c r="AD5" l="1"/>
  <c r="AG5"/>
  <c r="AH5"/>
  <c r="AE5"/>
  <c r="AF5" s="1"/>
  <c r="N5"/>
  <c r="Q5"/>
  <c r="P5"/>
  <c r="O5"/>
  <c r="C5" l="1"/>
  <c r="D5" s="1"/>
  <c r="Q6"/>
  <c r="F6" s="1"/>
  <c r="F5" s="1"/>
  <c r="P6"/>
  <c r="E6" s="1"/>
  <c r="E5" s="1"/>
  <c r="O6"/>
  <c r="C6" s="1"/>
  <c r="D6" s="1"/>
  <c r="N6"/>
  <c r="B6" s="1"/>
  <c r="B5" s="1"/>
  <c r="AB5" l="1"/>
  <c r="Y5"/>
  <c r="Z5" s="1"/>
  <c r="X5"/>
  <c r="AA5"/>
  <c r="A2" i="53"/>
  <c r="K59" i="67" l="1"/>
  <c r="P61" s="1"/>
  <c r="K59" i="15"/>
  <c r="P61" s="1"/>
  <c r="P74" l="1"/>
  <c r="P74" i="67"/>
  <c r="D116" i="39"/>
  <c r="E116"/>
  <c r="F116"/>
  <c r="G116"/>
  <c r="H116"/>
  <c r="I116"/>
  <c r="J116"/>
  <c r="K116"/>
  <c r="L116"/>
  <c r="M116"/>
  <c r="C116"/>
  <c r="A21" i="62" l="1"/>
  <c r="A20"/>
  <c r="A22" i="51"/>
  <c r="A21"/>
  <c r="A20"/>
  <c r="A15" i="62" l="1"/>
  <c r="A14"/>
  <c r="A13"/>
  <c r="A19" l="1"/>
  <c r="A12"/>
  <c r="A120" i="9"/>
  <c r="H2" i="52"/>
  <c r="A1"/>
  <c r="A3" i="53"/>
  <c r="Q7" i="71" l="1"/>
  <c r="P7"/>
  <c r="O7"/>
  <c r="N7"/>
  <c r="D5" i="43" l="1"/>
  <c r="A15" i="51" l="1"/>
  <c r="E13" i="76"/>
  <c r="B9"/>
  <c r="B7"/>
  <c r="E9"/>
  <c r="E11"/>
  <c r="E10"/>
  <c r="B11"/>
  <c r="B13"/>
  <c r="E8"/>
  <c r="B10"/>
  <c r="B12"/>
  <c r="B8"/>
  <c r="E12"/>
  <c r="E7"/>
  <c r="C76" i="9" l="1"/>
  <c r="I107" i="40" l="1"/>
  <c r="K6" i="4" l="1"/>
  <c r="B22" i="31" l="1"/>
  <c r="N56" i="9" l="1"/>
  <c r="M56"/>
  <c r="K56"/>
  <c r="E16" i="74" l="1"/>
  <c r="F16"/>
  <c r="E19"/>
  <c r="F19"/>
  <c r="E20"/>
  <c r="F20"/>
  <c r="E21"/>
  <c r="F21"/>
  <c r="E22"/>
  <c r="F22"/>
  <c r="E23"/>
  <c r="F23"/>
  <c r="B3" l="1"/>
  <c r="C91" i="9" l="1"/>
  <c r="B8" i="72" l="1"/>
  <c r="M19" i="43" l="1"/>
  <c r="O8" i="71" l="1"/>
  <c r="P8"/>
  <c r="Q8"/>
  <c r="N8"/>
  <c r="AE3" l="1"/>
  <c r="AF3" s="1"/>
  <c r="AG3"/>
  <c r="AH3"/>
  <c r="AD6"/>
  <c r="AE6"/>
  <c r="AF6" s="1"/>
  <c r="AG6"/>
  <c r="AH6"/>
  <c r="AD7"/>
  <c r="AE7"/>
  <c r="AF7" s="1"/>
  <c r="AG7"/>
  <c r="AH7"/>
  <c r="AD8"/>
  <c r="AE8"/>
  <c r="AF8" s="1"/>
  <c r="AG8"/>
  <c r="AH8"/>
  <c r="AD9"/>
  <c r="AE9"/>
  <c r="AF9" s="1"/>
  <c r="AG9"/>
  <c r="AH9"/>
  <c r="AD10"/>
  <c r="AE10"/>
  <c r="AF10" s="1"/>
  <c r="AG10"/>
  <c r="AH10"/>
  <c r="AD11"/>
  <c r="AE11"/>
  <c r="AF11" s="1"/>
  <c r="AG11"/>
  <c r="AH11"/>
  <c r="AD12"/>
  <c r="AE12"/>
  <c r="AF12"/>
  <c r="AG12"/>
  <c r="AH12"/>
  <c r="AD13"/>
  <c r="AE13"/>
  <c r="AF13" s="1"/>
  <c r="AG13"/>
  <c r="AH13"/>
  <c r="AD14"/>
  <c r="AE14"/>
  <c r="AF14" s="1"/>
  <c r="AG14"/>
  <c r="AH14"/>
  <c r="AD15"/>
  <c r="AE15"/>
  <c r="AF15" s="1"/>
  <c r="AG15"/>
  <c r="AH15"/>
  <c r="AD16"/>
  <c r="AE16"/>
  <c r="AF16"/>
  <c r="AG16"/>
  <c r="AH16"/>
  <c r="AD17"/>
  <c r="AE17"/>
  <c r="AF17" s="1"/>
  <c r="AG17"/>
  <c r="AH17"/>
  <c r="AD18"/>
  <c r="AE18"/>
  <c r="AF18" s="1"/>
  <c r="AG18"/>
  <c r="AH18"/>
  <c r="AD19"/>
  <c r="AE19"/>
  <c r="AF19" s="1"/>
  <c r="AG19"/>
  <c r="AH19"/>
  <c r="AH20"/>
  <c r="AG20"/>
  <c r="AE20"/>
  <c r="AF20" s="1"/>
  <c r="AD20"/>
  <c r="AD21"/>
  <c r="AE21"/>
  <c r="AF21"/>
  <c r="AG21"/>
  <c r="AH21"/>
  <c r="S2" i="31" l="1"/>
  <c r="M2"/>
  <c r="N2"/>
  <c r="O2"/>
  <c r="P2"/>
  <c r="Q2"/>
  <c r="R2"/>
  <c r="C1" i="73" l="1"/>
  <c r="L1" s="1"/>
  <c r="F7"/>
  <c r="J1" l="1"/>
  <c r="B74" i="72"/>
  <c r="F3" i="73"/>
  <c r="D5"/>
  <c r="F4"/>
  <c r="D3"/>
  <c r="F6"/>
  <c r="F5"/>
  <c r="D6"/>
  <c r="I1" l="1"/>
  <c r="B39" i="1" s="1"/>
  <c r="D7" i="73"/>
  <c r="D4"/>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B49" i="48" l="1"/>
  <c r="B5" i="72" s="1"/>
  <c r="I19" i="43" l="1"/>
  <c r="D70" i="71" l="1"/>
  <c r="F69"/>
  <c r="E69"/>
  <c r="E68" s="1"/>
  <c r="E67" s="1"/>
  <c r="C69"/>
  <c r="D69" s="1"/>
  <c r="B69"/>
  <c r="F68"/>
  <c r="F67" s="1"/>
  <c r="B68"/>
  <c r="B67" s="1"/>
  <c r="D66"/>
  <c r="F65"/>
  <c r="E65"/>
  <c r="E64" s="1"/>
  <c r="E63" s="1"/>
  <c r="C65"/>
  <c r="D65" s="1"/>
  <c r="B65"/>
  <c r="F64"/>
  <c r="F63" s="1"/>
  <c r="B64"/>
  <c r="B63" s="1"/>
  <c r="D62"/>
  <c r="Q61"/>
  <c r="P61"/>
  <c r="O61"/>
  <c r="N61"/>
  <c r="F61"/>
  <c r="V61" s="1"/>
  <c r="E61"/>
  <c r="U61" s="1"/>
  <c r="C61"/>
  <c r="T61" s="1"/>
  <c r="B61"/>
  <c r="S61" s="1"/>
  <c r="Q60"/>
  <c r="P60"/>
  <c r="O60"/>
  <c r="N60"/>
  <c r="F60"/>
  <c r="F59" s="1"/>
  <c r="B60"/>
  <c r="B59" s="1"/>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Q53"/>
  <c r="P53"/>
  <c r="O53"/>
  <c r="N53"/>
  <c r="F53"/>
  <c r="V53" s="1"/>
  <c r="E53"/>
  <c r="U53" s="1"/>
  <c r="C53"/>
  <c r="T53" s="1"/>
  <c r="B53"/>
  <c r="S53" s="1"/>
  <c r="Q52"/>
  <c r="P52"/>
  <c r="O52"/>
  <c r="N52"/>
  <c r="F52"/>
  <c r="F51" s="1"/>
  <c r="B52"/>
  <c r="B51" s="1"/>
  <c r="Q51"/>
  <c r="P51"/>
  <c r="O51"/>
  <c r="N51"/>
  <c r="Q50"/>
  <c r="P50"/>
  <c r="O50"/>
  <c r="N50"/>
  <c r="D50"/>
  <c r="F49"/>
  <c r="V49" s="1"/>
  <c r="E49"/>
  <c r="P49" s="1"/>
  <c r="C49"/>
  <c r="B49"/>
  <c r="S49" s="1"/>
  <c r="F48"/>
  <c r="F47" s="1"/>
  <c r="Q47" s="1"/>
  <c r="B48"/>
  <c r="D46"/>
  <c r="Q45"/>
  <c r="P45"/>
  <c r="O45"/>
  <c r="N45"/>
  <c r="Q44"/>
  <c r="P44"/>
  <c r="O44"/>
  <c r="N44"/>
  <c r="Q43"/>
  <c r="P43"/>
  <c r="O43"/>
  <c r="N43"/>
  <c r="Q42"/>
  <c r="F43" s="1"/>
  <c r="F44" s="1"/>
  <c r="F45" s="1"/>
  <c r="V45" s="1"/>
  <c r="P42"/>
  <c r="E43" s="1"/>
  <c r="O42"/>
  <c r="C43" s="1"/>
  <c r="N42"/>
  <c r="B43" s="1"/>
  <c r="B44" s="1"/>
  <c r="B45" s="1"/>
  <c r="S45" s="1"/>
  <c r="D42"/>
  <c r="Q41"/>
  <c r="P41"/>
  <c r="O41"/>
  <c r="N41"/>
  <c r="Q40"/>
  <c r="P40"/>
  <c r="O40"/>
  <c r="N40"/>
  <c r="Q39"/>
  <c r="P39"/>
  <c r="O39"/>
  <c r="N39"/>
  <c r="Q38"/>
  <c r="F39" s="1"/>
  <c r="F40" s="1"/>
  <c r="F41" s="1"/>
  <c r="V41" s="1"/>
  <c r="P38"/>
  <c r="E39" s="1"/>
  <c r="O38"/>
  <c r="C39" s="1"/>
  <c r="N38"/>
  <c r="B39" s="1"/>
  <c r="B40" s="1"/>
  <c r="B41" s="1"/>
  <c r="S41" s="1"/>
  <c r="D38"/>
  <c r="Q37"/>
  <c r="P37"/>
  <c r="O37"/>
  <c r="N37"/>
  <c r="Q36"/>
  <c r="P36"/>
  <c r="O36"/>
  <c r="N36"/>
  <c r="Q35"/>
  <c r="P35"/>
  <c r="O35"/>
  <c r="N35"/>
  <c r="C35"/>
  <c r="Q34"/>
  <c r="F35" s="1"/>
  <c r="F36" s="1"/>
  <c r="F37" s="1"/>
  <c r="V37" s="1"/>
  <c r="P34"/>
  <c r="E35" s="1"/>
  <c r="O34"/>
  <c r="N34"/>
  <c r="B35" s="1"/>
  <c r="B36" s="1"/>
  <c r="B37" s="1"/>
  <c r="S37" s="1"/>
  <c r="D34"/>
  <c r="Q33"/>
  <c r="P33"/>
  <c r="O33"/>
  <c r="N33"/>
  <c r="Q32"/>
  <c r="P32"/>
  <c r="O32"/>
  <c r="N32"/>
  <c r="Q31"/>
  <c r="P31"/>
  <c r="O31"/>
  <c r="N31"/>
  <c r="Q30"/>
  <c r="F31" s="1"/>
  <c r="P30"/>
  <c r="E31" s="1"/>
  <c r="E32" s="1"/>
  <c r="E33" s="1"/>
  <c r="U33" s="1"/>
  <c r="O30"/>
  <c r="C31" s="1"/>
  <c r="N30"/>
  <c r="B31" s="1"/>
  <c r="B32" s="1"/>
  <c r="B33" s="1"/>
  <c r="S33" s="1"/>
  <c r="D30"/>
  <c r="T29"/>
  <c r="Q29"/>
  <c r="P29"/>
  <c r="O29"/>
  <c r="N29"/>
  <c r="D29"/>
  <c r="Q28"/>
  <c r="P28"/>
  <c r="O28"/>
  <c r="N28"/>
  <c r="Q27"/>
  <c r="P27"/>
  <c r="O27"/>
  <c r="N27"/>
  <c r="F27"/>
  <c r="F28" s="1"/>
  <c r="F29" s="1"/>
  <c r="V29" s="1"/>
  <c r="Q26"/>
  <c r="P26"/>
  <c r="E27" s="1"/>
  <c r="E28" s="1"/>
  <c r="E29" s="1"/>
  <c r="U29" s="1"/>
  <c r="O26"/>
  <c r="C27" s="1"/>
  <c r="N26"/>
  <c r="B27" s="1"/>
  <c r="B28" s="1"/>
  <c r="B29" s="1"/>
  <c r="S29" s="1"/>
  <c r="D26"/>
  <c r="Q25"/>
  <c r="P25"/>
  <c r="O25"/>
  <c r="N25"/>
  <c r="Q24"/>
  <c r="P24"/>
  <c r="O24"/>
  <c r="N24"/>
  <c r="Q23"/>
  <c r="P23"/>
  <c r="O23"/>
  <c r="N23"/>
  <c r="F23"/>
  <c r="F24" s="1"/>
  <c r="F25" s="1"/>
  <c r="V25" s="1"/>
  <c r="Q22"/>
  <c r="P22"/>
  <c r="E23" s="1"/>
  <c r="E24" s="1"/>
  <c r="E25" s="1"/>
  <c r="U25" s="1"/>
  <c r="O22"/>
  <c r="C23" s="1"/>
  <c r="N22"/>
  <c r="B23" s="1"/>
  <c r="B24" s="1"/>
  <c r="B25" s="1"/>
  <c r="S25" s="1"/>
  <c r="D22"/>
  <c r="Q21"/>
  <c r="P21"/>
  <c r="O21"/>
  <c r="N21"/>
  <c r="AB20"/>
  <c r="Q20"/>
  <c r="P20"/>
  <c r="AA20" s="1"/>
  <c r="O20"/>
  <c r="Y20" s="1"/>
  <c r="Z20" s="1"/>
  <c r="N20"/>
  <c r="X20" s="1"/>
  <c r="Q19"/>
  <c r="AB19" s="1"/>
  <c r="P19"/>
  <c r="O19"/>
  <c r="Y19" s="1"/>
  <c r="Z19" s="1"/>
  <c r="N19"/>
  <c r="F19"/>
  <c r="F20" s="1"/>
  <c r="F21" s="1"/>
  <c r="V21" s="1"/>
  <c r="Q18"/>
  <c r="P18"/>
  <c r="O18"/>
  <c r="N18"/>
  <c r="D18"/>
  <c r="Q17"/>
  <c r="AB17" s="1"/>
  <c r="P17"/>
  <c r="O17"/>
  <c r="Y17" s="1"/>
  <c r="Z17" s="1"/>
  <c r="N17"/>
  <c r="Q16"/>
  <c r="AB16" s="1"/>
  <c r="P16"/>
  <c r="O16"/>
  <c r="Y16" s="1"/>
  <c r="Z16" s="1"/>
  <c r="N16"/>
  <c r="Q15"/>
  <c r="AB15" s="1"/>
  <c r="P15"/>
  <c r="O15"/>
  <c r="Y15" s="1"/>
  <c r="Z15" s="1"/>
  <c r="N15"/>
  <c r="F15"/>
  <c r="F16" s="1"/>
  <c r="F17" s="1"/>
  <c r="V17" s="1"/>
  <c r="Q14"/>
  <c r="P14"/>
  <c r="O14"/>
  <c r="N14"/>
  <c r="D14"/>
  <c r="Q13"/>
  <c r="AB13" s="1"/>
  <c r="P13"/>
  <c r="O13"/>
  <c r="Y13" s="1"/>
  <c r="Z13" s="1"/>
  <c r="N13"/>
  <c r="Q12"/>
  <c r="AB12" s="1"/>
  <c r="P12"/>
  <c r="O12"/>
  <c r="Y12" s="1"/>
  <c r="Z12" s="1"/>
  <c r="N12"/>
  <c r="Q11"/>
  <c r="AB11" s="1"/>
  <c r="P11"/>
  <c r="O11"/>
  <c r="Y11" s="1"/>
  <c r="Z11" s="1"/>
  <c r="N11"/>
  <c r="F11"/>
  <c r="F12" s="1"/>
  <c r="F13" s="1"/>
  <c r="V13" s="1"/>
  <c r="Q10"/>
  <c r="P10"/>
  <c r="O10"/>
  <c r="N10"/>
  <c r="D10"/>
  <c r="O9"/>
  <c r="N9"/>
  <c r="B11" l="1"/>
  <c r="B12" s="1"/>
  <c r="B13" s="1"/>
  <c r="S13" s="1"/>
  <c r="X10"/>
  <c r="E11"/>
  <c r="E12" s="1"/>
  <c r="E13" s="1"/>
  <c r="U13" s="1"/>
  <c r="AA10"/>
  <c r="B15"/>
  <c r="B16" s="1"/>
  <c r="B17" s="1"/>
  <c r="S17" s="1"/>
  <c r="X14"/>
  <c r="B19"/>
  <c r="B20" s="1"/>
  <c r="B21" s="1"/>
  <c r="S21" s="1"/>
  <c r="X18"/>
  <c r="E19"/>
  <c r="E20" s="1"/>
  <c r="E21" s="1"/>
  <c r="U21" s="1"/>
  <c r="AA18"/>
  <c r="N49"/>
  <c r="E15"/>
  <c r="E16" s="1"/>
  <c r="E17" s="1"/>
  <c r="U17" s="1"/>
  <c r="AA14"/>
  <c r="C11"/>
  <c r="Y10"/>
  <c r="Z10" s="1"/>
  <c r="AB10"/>
  <c r="X11"/>
  <c r="AA11"/>
  <c r="X12"/>
  <c r="AA12"/>
  <c r="X13"/>
  <c r="AA13"/>
  <c r="C15"/>
  <c r="C16" s="1"/>
  <c r="Y14"/>
  <c r="Z14" s="1"/>
  <c r="AB14"/>
  <c r="X15"/>
  <c r="AA15"/>
  <c r="X16"/>
  <c r="AA16"/>
  <c r="X17"/>
  <c r="AA17"/>
  <c r="C19"/>
  <c r="Y18"/>
  <c r="Z18" s="1"/>
  <c r="AB18"/>
  <c r="X19"/>
  <c r="AA19"/>
  <c r="F32"/>
  <c r="F33" s="1"/>
  <c r="V33" s="1"/>
  <c r="C9"/>
  <c r="Y3"/>
  <c r="Z3" s="1"/>
  <c r="Y6"/>
  <c r="Z6" s="1"/>
  <c r="Y7"/>
  <c r="Z7" s="1"/>
  <c r="Y8"/>
  <c r="Z8" s="1"/>
  <c r="Y9"/>
  <c r="Z9" s="1"/>
  <c r="B9"/>
  <c r="B8" s="1"/>
  <c r="B7" s="1"/>
  <c r="X6"/>
  <c r="X7"/>
  <c r="X8"/>
  <c r="X3"/>
  <c r="X9"/>
  <c r="C12"/>
  <c r="D11"/>
  <c r="D15"/>
  <c r="C20"/>
  <c r="D19"/>
  <c r="C24"/>
  <c r="D23"/>
  <c r="C28"/>
  <c r="D28" s="1"/>
  <c r="D27"/>
  <c r="C32"/>
  <c r="D31"/>
  <c r="P9"/>
  <c r="E36"/>
  <c r="E37" s="1"/>
  <c r="U37" s="1"/>
  <c r="E40"/>
  <c r="E41" s="1"/>
  <c r="U41" s="1"/>
  <c r="E44"/>
  <c r="E45" s="1"/>
  <c r="U45" s="1"/>
  <c r="Q46"/>
  <c r="U49"/>
  <c r="E48"/>
  <c r="Q9"/>
  <c r="C36"/>
  <c r="D35"/>
  <c r="C40"/>
  <c r="D39"/>
  <c r="C44"/>
  <c r="D43"/>
  <c r="N48"/>
  <c r="B47"/>
  <c r="Q48"/>
  <c r="T49"/>
  <c r="O49"/>
  <c r="D49"/>
  <c r="C48"/>
  <c r="Q49"/>
  <c r="C52"/>
  <c r="E52"/>
  <c r="E51" s="1"/>
  <c r="D53"/>
  <c r="C56"/>
  <c r="E56"/>
  <c r="E55" s="1"/>
  <c r="D57"/>
  <c r="C60"/>
  <c r="E60"/>
  <c r="E59" s="1"/>
  <c r="D61"/>
  <c r="C64"/>
  <c r="C68"/>
  <c r="T9" l="1"/>
  <c r="C8"/>
  <c r="S9"/>
  <c r="F9"/>
  <c r="F8" s="1"/>
  <c r="F7" s="1"/>
  <c r="AB3"/>
  <c r="AB6"/>
  <c r="AB7"/>
  <c r="AB8"/>
  <c r="AB9"/>
  <c r="E9"/>
  <c r="E8" s="1"/>
  <c r="E7" s="1"/>
  <c r="AA3"/>
  <c r="AA6"/>
  <c r="AA7"/>
  <c r="AA8"/>
  <c r="AA9"/>
  <c r="D9"/>
  <c r="U9" s="1"/>
  <c r="C47"/>
  <c r="O48"/>
  <c r="D48"/>
  <c r="C45"/>
  <c r="D44"/>
  <c r="D64"/>
  <c r="C63"/>
  <c r="D63" s="1"/>
  <c r="D56"/>
  <c r="C55"/>
  <c r="D55" s="1"/>
  <c r="N46"/>
  <c r="N47"/>
  <c r="D68"/>
  <c r="C67"/>
  <c r="D67" s="1"/>
  <c r="D60"/>
  <c r="C59"/>
  <c r="D59" s="1"/>
  <c r="D52"/>
  <c r="C51"/>
  <c r="D51" s="1"/>
  <c r="C41"/>
  <c r="D40"/>
  <c r="C37"/>
  <c r="D36"/>
  <c r="P48"/>
  <c r="E47"/>
  <c r="C33"/>
  <c r="D32"/>
  <c r="C25"/>
  <c r="D24"/>
  <c r="C21"/>
  <c r="D20"/>
  <c r="C17"/>
  <c r="D16"/>
  <c r="C13"/>
  <c r="D12"/>
  <c r="C7" l="1"/>
  <c r="D7" s="1"/>
  <c r="D8"/>
  <c r="V9"/>
  <c r="P46"/>
  <c r="P47"/>
  <c r="O47"/>
  <c r="D47"/>
  <c r="O46"/>
  <c r="T13"/>
  <c r="D13"/>
  <c r="T17"/>
  <c r="D17"/>
  <c r="T21"/>
  <c r="D21"/>
  <c r="T25"/>
  <c r="D25"/>
  <c r="T33"/>
  <c r="D33"/>
  <c r="T37"/>
  <c r="D37"/>
  <c r="T41"/>
  <c r="D41"/>
  <c r="T45"/>
  <c r="D45"/>
  <c r="O27" i="6" l="1"/>
  <c r="N27"/>
  <c r="P20"/>
  <c r="P21"/>
  <c r="P22"/>
  <c r="P23"/>
  <c r="P24"/>
  <c r="P25"/>
  <c r="P26"/>
  <c r="P19"/>
  <c r="AP9" i="1"/>
  <c r="AP10"/>
  <c r="AP11"/>
  <c r="AP12"/>
  <c r="AP13"/>
  <c r="L22" i="6"/>
  <c r="L23"/>
  <c r="L24"/>
  <c r="L25"/>
  <c r="L26"/>
  <c r="P27" l="1"/>
  <c r="A7" i="70"/>
  <c r="A8"/>
  <c r="E8" s="1"/>
  <c r="A9"/>
  <c r="E9" s="1"/>
  <c r="A10"/>
  <c r="E10" s="1"/>
  <c r="A11"/>
  <c r="E11" s="1"/>
  <c r="A12"/>
  <c r="E12" s="1"/>
  <c r="A13"/>
  <c r="E13" s="1"/>
  <c r="A6"/>
  <c r="Q25" i="40" l="1"/>
  <c r="Z25" s="1"/>
  <c r="D94"/>
  <c r="E94" s="1"/>
  <c r="F25"/>
  <c r="AA25" s="1"/>
  <c r="Z29" i="39"/>
  <c r="Q29"/>
  <c r="D103"/>
  <c r="E103" s="1"/>
  <c r="F29"/>
  <c r="AA29" s="1"/>
  <c r="Q18" i="36"/>
  <c r="Z18" s="1"/>
  <c r="D66"/>
  <c r="E66" s="1"/>
  <c r="F66" s="1"/>
  <c r="H18"/>
  <c r="AB18" s="1"/>
  <c r="F18"/>
  <c r="AA18" s="1"/>
  <c r="C18"/>
  <c r="Z18" i="35"/>
  <c r="Q18"/>
  <c r="D68"/>
  <c r="E68" s="1"/>
  <c r="F18"/>
  <c r="AA18" s="1"/>
  <c r="C18"/>
  <c r="Z21" i="37"/>
  <c r="Q21"/>
  <c r="D77"/>
  <c r="E77" s="1"/>
  <c r="C21"/>
  <c r="Z21" i="34"/>
  <c r="Q21"/>
  <c r="D84"/>
  <c r="E84" s="1"/>
  <c r="F21"/>
  <c r="AA21" s="1"/>
  <c r="C21"/>
  <c r="Z21" i="33"/>
  <c r="Q21"/>
  <c r="D83"/>
  <c r="E83" s="1"/>
  <c r="C21"/>
  <c r="C21" i="21"/>
  <c r="Q21"/>
  <c r="Z21" s="1"/>
  <c r="D83"/>
  <c r="F21" s="1"/>
  <c r="AA21" s="1"/>
  <c r="D81"/>
  <c r="G20" i="20"/>
  <c r="B86" i="43" s="1"/>
  <c r="C22" i="20"/>
  <c r="AO12" i="1"/>
  <c r="AO9"/>
  <c r="AO13"/>
  <c r="AO11"/>
  <c r="AO10"/>
  <c r="B11" i="70" l="1"/>
  <c r="B13"/>
  <c r="B12"/>
  <c r="B10"/>
  <c r="B9"/>
  <c r="B75" i="43"/>
  <c r="B55"/>
  <c r="B66"/>
  <c r="C25" i="40"/>
  <c r="C29" i="39"/>
  <c r="S25" i="40"/>
  <c r="S29" i="39"/>
  <c r="S18" i="36"/>
  <c r="U18"/>
  <c r="S21" i="34"/>
  <c r="F94" i="40"/>
  <c r="H25"/>
  <c r="G94"/>
  <c r="J25"/>
  <c r="F103" i="39"/>
  <c r="G103" s="1"/>
  <c r="H29"/>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I2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J51" s="1"/>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A6"/>
  <c r="F3" i="35" s="1"/>
  <c r="B11" i="1"/>
  <c r="E11" s="1"/>
  <c r="K10"/>
  <c r="M10" s="1"/>
  <c r="O10" s="1"/>
  <c r="B13"/>
  <c r="E13" s="1"/>
  <c r="K13"/>
  <c r="M13" s="1"/>
  <c r="O13" s="1"/>
  <c r="P13"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c r="AX112"/>
  <c r="AW112"/>
  <c r="AV112"/>
  <c r="AC112"/>
  <c r="H112"/>
  <c r="G112"/>
  <c r="BT111"/>
  <c r="BS111"/>
  <c r="BR111"/>
  <c r="BQ111"/>
  <c r="BP111"/>
  <c r="BO111"/>
  <c r="BN111"/>
  <c r="BM111"/>
  <c r="BL111" s="1"/>
  <c r="BK111"/>
  <c r="BJ111"/>
  <c r="BI111"/>
  <c r="BH111"/>
  <c r="BG111"/>
  <c r="BF111"/>
  <c r="BE111"/>
  <c r="BD111"/>
  <c r="BC111"/>
  <c r="BB111"/>
  <c r="BA11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X109"/>
  <c r="AW109"/>
  <c r="AV109"/>
  <c r="AC109"/>
  <c r="H109"/>
  <c r="G109" s="1"/>
  <c r="BT108"/>
  <c r="BS108"/>
  <c r="BR108"/>
  <c r="BQ108"/>
  <c r="BP108"/>
  <c r="BO108"/>
  <c r="BN108"/>
  <c r="BM108"/>
  <c r="BL108"/>
  <c r="BK108"/>
  <c r="BJ108"/>
  <c r="BI108"/>
  <c r="BH108"/>
  <c r="BG108"/>
  <c r="BF108"/>
  <c r="BE108"/>
  <c r="BD108"/>
  <c r="BC108"/>
  <c r="BB108"/>
  <c r="BA108" s="1"/>
  <c r="AZ108"/>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s="1"/>
  <c r="BT106"/>
  <c r="BS106"/>
  <c r="BR106"/>
  <c r="BQ106"/>
  <c r="BP106"/>
  <c r="BO106"/>
  <c r="BN106"/>
  <c r="BM106"/>
  <c r="BL106"/>
  <c r="BK106"/>
  <c r="BJ106"/>
  <c r="BI106"/>
  <c r="BH106"/>
  <c r="BG106"/>
  <c r="BF106"/>
  <c r="BE106"/>
  <c r="BD106"/>
  <c r="BC106"/>
  <c r="BB106"/>
  <c r="BA106" s="1"/>
  <c r="AZ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c r="AZ100" s="1"/>
  <c r="AX100"/>
  <c r="AW100"/>
  <c r="AV100"/>
  <c r="AC100"/>
  <c r="H100"/>
  <c r="G100" s="1"/>
  <c r="BT99"/>
  <c r="BS99"/>
  <c r="BR99"/>
  <c r="BQ99"/>
  <c r="BP99"/>
  <c r="BO99"/>
  <c r="BN99"/>
  <c r="BM99"/>
  <c r="BL99"/>
  <c r="BK99"/>
  <c r="BJ99"/>
  <c r="BI99"/>
  <c r="BH99"/>
  <c r="BG99"/>
  <c r="BF99"/>
  <c r="BE99"/>
  <c r="BD99"/>
  <c r="BC99"/>
  <c r="BB99"/>
  <c r="BA99" s="1"/>
  <c r="AZ99" s="1"/>
  <c r="AX99"/>
  <c r="AW99"/>
  <c r="AV99"/>
  <c r="AC99"/>
  <c r="H99"/>
  <c r="G99"/>
  <c r="BT98"/>
  <c r="BS98"/>
  <c r="BR98"/>
  <c r="BQ98"/>
  <c r="BP98"/>
  <c r="BO98"/>
  <c r="BN98"/>
  <c r="BM98"/>
  <c r="BL98" s="1"/>
  <c r="BK98"/>
  <c r="BJ98"/>
  <c r="BI98"/>
  <c r="BH98"/>
  <c r="BG98"/>
  <c r="BF98"/>
  <c r="BE98"/>
  <c r="BD98"/>
  <c r="BC98"/>
  <c r="BB98"/>
  <c r="BA98"/>
  <c r="AZ98" s="1"/>
  <c r="AX98"/>
  <c r="AW98"/>
  <c r="AV98"/>
  <c r="AC98"/>
  <c r="H98"/>
  <c r="G98" s="1"/>
  <c r="BT97"/>
  <c r="BS97"/>
  <c r="BR97"/>
  <c r="BQ97"/>
  <c r="BP97"/>
  <c r="BO97"/>
  <c r="BN97"/>
  <c r="BM97"/>
  <c r="BL97"/>
  <c r="BK97"/>
  <c r="BJ97"/>
  <c r="BI97"/>
  <c r="BH97"/>
  <c r="BG97"/>
  <c r="BF97"/>
  <c r="BE97"/>
  <c r="BD97"/>
  <c r="BC97"/>
  <c r="BB97"/>
  <c r="BA97" s="1"/>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Z91" s="1"/>
  <c r="AX91"/>
  <c r="AW91"/>
  <c r="AV91"/>
  <c r="AC91"/>
  <c r="H91"/>
  <c r="G91" s="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c r="AX89"/>
  <c r="AW89"/>
  <c r="AV89"/>
  <c r="AC89"/>
  <c r="H89"/>
  <c r="G89"/>
  <c r="BT88"/>
  <c r="BS88"/>
  <c r="BR88"/>
  <c r="BQ88"/>
  <c r="BP88"/>
  <c r="BO88"/>
  <c r="BN88"/>
  <c r="BM88"/>
  <c r="BL88" s="1"/>
  <c r="BK88"/>
  <c r="BJ88"/>
  <c r="BI88"/>
  <c r="BH88"/>
  <c r="BG88"/>
  <c r="BF88"/>
  <c r="BE88"/>
  <c r="BD88"/>
  <c r="BC88"/>
  <c r="BB88"/>
  <c r="BA88"/>
  <c r="AX88"/>
  <c r="AW88"/>
  <c r="AV88"/>
  <c r="AC88"/>
  <c r="H88"/>
  <c r="G88" s="1"/>
  <c r="BT87"/>
  <c r="BS87"/>
  <c r="BR87"/>
  <c r="BQ87"/>
  <c r="BP87"/>
  <c r="BO87"/>
  <c r="BN87"/>
  <c r="BM87"/>
  <c r="BL87"/>
  <c r="BK87"/>
  <c r="BJ87"/>
  <c r="BI87"/>
  <c r="BH87"/>
  <c r="BG87"/>
  <c r="BF87"/>
  <c r="BE87"/>
  <c r="BD87"/>
  <c r="BC87"/>
  <c r="BB87"/>
  <c r="BA87" s="1"/>
  <c r="AZ87"/>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X85"/>
  <c r="AW85"/>
  <c r="AV85"/>
  <c r="AC85"/>
  <c r="H85"/>
  <c r="G85"/>
  <c r="BT84"/>
  <c r="BS84"/>
  <c r="BR84"/>
  <c r="BQ84"/>
  <c r="BP84"/>
  <c r="BO84"/>
  <c r="BN84"/>
  <c r="BM84"/>
  <c r="BL84" s="1"/>
  <c r="BK84"/>
  <c r="BJ84"/>
  <c r="BI84"/>
  <c r="BH84"/>
  <c r="BG84"/>
  <c r="BF84"/>
  <c r="BE84"/>
  <c r="BD84"/>
  <c r="BC84"/>
  <c r="BB84"/>
  <c r="BA84"/>
  <c r="AX84"/>
  <c r="AW84"/>
  <c r="AV84"/>
  <c r="AC84"/>
  <c r="H84"/>
  <c r="G84" s="1"/>
  <c r="BT83"/>
  <c r="BS83"/>
  <c r="BR83"/>
  <c r="BQ83"/>
  <c r="BP83"/>
  <c r="BO83"/>
  <c r="BN83"/>
  <c r="BM83"/>
  <c r="BL83"/>
  <c r="BK83"/>
  <c r="BJ83"/>
  <c r="BI83"/>
  <c r="BH83"/>
  <c r="BG83"/>
  <c r="BF83"/>
  <c r="BE83"/>
  <c r="BD83"/>
  <c r="BC83"/>
  <c r="BB83"/>
  <c r="BA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c r="AX81"/>
  <c r="AW81"/>
  <c r="AV81"/>
  <c r="AC81"/>
  <c r="H81"/>
  <c r="G81"/>
  <c r="BT80"/>
  <c r="BS80"/>
  <c r="BR80"/>
  <c r="BQ80"/>
  <c r="BP80"/>
  <c r="BO80"/>
  <c r="BN80"/>
  <c r="BM80"/>
  <c r="BL80" s="1"/>
  <c r="BK80"/>
  <c r="BJ80"/>
  <c r="BI80"/>
  <c r="BH80"/>
  <c r="BG80"/>
  <c r="BF80"/>
  <c r="BE80"/>
  <c r="BD80"/>
  <c r="BC80"/>
  <c r="BB80"/>
  <c r="BA80"/>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c r="BK78"/>
  <c r="BJ78"/>
  <c r="BI78"/>
  <c r="BH78"/>
  <c r="BG78"/>
  <c r="BF78"/>
  <c r="BE78"/>
  <c r="BD78"/>
  <c r="BC78"/>
  <c r="BB78"/>
  <c r="BA78" s="1"/>
  <c r="AZ78"/>
  <c r="AX78"/>
  <c r="AW78"/>
  <c r="AV78"/>
  <c r="AC78"/>
  <c r="H78"/>
  <c r="G78"/>
  <c r="BT77"/>
  <c r="BS77"/>
  <c r="BR77"/>
  <c r="BQ77"/>
  <c r="BP77"/>
  <c r="BO77"/>
  <c r="BN77"/>
  <c r="BM77"/>
  <c r="BL77" s="1"/>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c r="AZ76" s="1"/>
  <c r="AX76"/>
  <c r="AW76"/>
  <c r="AV76"/>
  <c r="AC76"/>
  <c r="H76"/>
  <c r="G76" s="1"/>
  <c r="BT75"/>
  <c r="BS75"/>
  <c r="BR75"/>
  <c r="BQ75"/>
  <c r="BP75"/>
  <c r="BO75"/>
  <c r="BN75"/>
  <c r="BM75"/>
  <c r="BL75"/>
  <c r="BK75"/>
  <c r="BJ75"/>
  <c r="BI75"/>
  <c r="BH75"/>
  <c r="BG75"/>
  <c r="BF75"/>
  <c r="BE75"/>
  <c r="BD75"/>
  <c r="BC75"/>
  <c r="BB75"/>
  <c r="BA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Z70" s="1"/>
  <c r="AX70"/>
  <c r="AW70"/>
  <c r="AV70"/>
  <c r="AC70"/>
  <c r="H70"/>
  <c r="G70" s="1"/>
  <c r="BT69"/>
  <c r="BS69"/>
  <c r="BR69"/>
  <c r="BQ69"/>
  <c r="BP69"/>
  <c r="BO69"/>
  <c r="BN69"/>
  <c r="BM69"/>
  <c r="BL69"/>
  <c r="BK69"/>
  <c r="BJ69"/>
  <c r="BI69"/>
  <c r="BH69"/>
  <c r="BG69"/>
  <c r="BF69"/>
  <c r="BE69"/>
  <c r="BD69"/>
  <c r="BC69"/>
  <c r="BB69"/>
  <c r="BA69" s="1"/>
  <c r="AX69"/>
  <c r="AW69"/>
  <c r="AV69"/>
  <c r="AC69"/>
  <c r="H69"/>
  <c r="G69" s="1"/>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N61"/>
  <c r="BM61"/>
  <c r="BL61"/>
  <c r="BK61"/>
  <c r="BJ61"/>
  <c r="BI61"/>
  <c r="BH61"/>
  <c r="BG61"/>
  <c r="BF61"/>
  <c r="BE61"/>
  <c r="BD61"/>
  <c r="BC61"/>
  <c r="BB61"/>
  <c r="BA61" s="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G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c r="AZ49" s="1"/>
  <c r="AX49"/>
  <c r="AW49"/>
  <c r="AV49"/>
  <c r="AC49"/>
  <c r="H49"/>
  <c r="G49" s="1"/>
  <c r="BT48"/>
  <c r="BS48"/>
  <c r="BR48"/>
  <c r="BQ48"/>
  <c r="BP48"/>
  <c r="BO48"/>
  <c r="BN48"/>
  <c r="BM48"/>
  <c r="BL48"/>
  <c r="BK48"/>
  <c r="BJ48"/>
  <c r="BI48"/>
  <c r="BH48"/>
  <c r="BG48"/>
  <c r="BF48"/>
  <c r="BE48"/>
  <c r="BD48"/>
  <c r="BC48"/>
  <c r="BB48"/>
  <c r="BA48" s="1"/>
  <c r="AZ48" s="1"/>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Z38" s="1"/>
  <c r="AX38"/>
  <c r="AW38"/>
  <c r="AV38"/>
  <c r="AC38"/>
  <c r="H38"/>
  <c r="G38" s="1"/>
  <c r="BT37"/>
  <c r="BS37"/>
  <c r="BR37"/>
  <c r="BQ37"/>
  <c r="BP37"/>
  <c r="BO37"/>
  <c r="BN37"/>
  <c r="BM37"/>
  <c r="BL37"/>
  <c r="BK37"/>
  <c r="BJ37"/>
  <c r="BI37"/>
  <c r="BH37"/>
  <c r="BG37"/>
  <c r="BF37"/>
  <c r="BE37"/>
  <c r="BD37"/>
  <c r="BC37"/>
  <c r="BB37"/>
  <c r="BA37" s="1"/>
  <c r="AX37"/>
  <c r="AW37"/>
  <c r="AV37"/>
  <c r="AC37"/>
  <c r="H37"/>
  <c r="G37" s="1"/>
  <c r="BT36"/>
  <c r="BS36"/>
  <c r="BR36"/>
  <c r="BQ36"/>
  <c r="BP36"/>
  <c r="BO36"/>
  <c r="BN36"/>
  <c r="BM36"/>
  <c r="BL36"/>
  <c r="BK36"/>
  <c r="BJ36"/>
  <c r="BI36"/>
  <c r="BH36"/>
  <c r="BG36"/>
  <c r="BF36"/>
  <c r="BE36"/>
  <c r="BD36"/>
  <c r="BC36"/>
  <c r="BB36"/>
  <c r="BA36" s="1"/>
  <c r="AZ36"/>
  <c r="AX36"/>
  <c r="AW36"/>
  <c r="AV36"/>
  <c r="AC36"/>
  <c r="H36"/>
  <c r="G36"/>
  <c r="BT35"/>
  <c r="BS35"/>
  <c r="BR35"/>
  <c r="BQ35"/>
  <c r="BP35"/>
  <c r="BO35"/>
  <c r="BN35"/>
  <c r="BM35"/>
  <c r="BL35" s="1"/>
  <c r="BK35"/>
  <c r="BJ35"/>
  <c r="BI35"/>
  <c r="BH35"/>
  <c r="BG35"/>
  <c r="BF35"/>
  <c r="BE35"/>
  <c r="BD35"/>
  <c r="BC35"/>
  <c r="BB35"/>
  <c r="BA35"/>
  <c r="AX35"/>
  <c r="AW35"/>
  <c r="AV35"/>
  <c r="AC35"/>
  <c r="H35"/>
  <c r="G35" s="1"/>
  <c r="BT34"/>
  <c r="BS34"/>
  <c r="BR34"/>
  <c r="BQ34"/>
  <c r="BP34"/>
  <c r="BO34"/>
  <c r="BN34"/>
  <c r="BM34"/>
  <c r="BL34"/>
  <c r="BK34"/>
  <c r="BJ34"/>
  <c r="BI34"/>
  <c r="BH34"/>
  <c r="BG34"/>
  <c r="BF34"/>
  <c r="BE34"/>
  <c r="BD34"/>
  <c r="BC34"/>
  <c r="BB34"/>
  <c r="BA34" s="1"/>
  <c r="AZ34"/>
  <c r="AX34"/>
  <c r="AW34"/>
  <c r="AV34"/>
  <c r="AC34"/>
  <c r="H34"/>
  <c r="G34"/>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X29"/>
  <c r="AW29"/>
  <c r="AV29"/>
  <c r="AC29"/>
  <c r="H29"/>
  <c r="G29" s="1"/>
  <c r="BT28"/>
  <c r="BS28"/>
  <c r="BR28"/>
  <c r="BQ28"/>
  <c r="BP28"/>
  <c r="BO28"/>
  <c r="BN28"/>
  <c r="BM28"/>
  <c r="BL28"/>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c r="AX26"/>
  <c r="AW26"/>
  <c r="AV26"/>
  <c r="AC26"/>
  <c r="H26"/>
  <c r="G26" s="1"/>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c r="AZ23" s="1"/>
  <c r="AX23"/>
  <c r="AW23"/>
  <c r="AV23"/>
  <c r="AC23"/>
  <c r="H23"/>
  <c r="G23" s="1"/>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c r="AX21"/>
  <c r="AW21"/>
  <c r="AV21"/>
  <c r="AC21"/>
  <c r="H21"/>
  <c r="G21"/>
  <c r="BT20"/>
  <c r="BS20"/>
  <c r="BR20"/>
  <c r="BQ20"/>
  <c r="BP20"/>
  <c r="BO20"/>
  <c r="BN20"/>
  <c r="BM20"/>
  <c r="BL20" s="1"/>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c r="AX19"/>
  <c r="AW19"/>
  <c r="AV19"/>
  <c r="AC19"/>
  <c r="H19"/>
  <c r="G19" s="1"/>
  <c r="BT18"/>
  <c r="BS18"/>
  <c r="BR18"/>
  <c r="BQ18"/>
  <c r="BP18"/>
  <c r="BO18"/>
  <c r="BN18"/>
  <c r="BM18"/>
  <c r="BL18"/>
  <c r="BK18"/>
  <c r="BJ18"/>
  <c r="BI18"/>
  <c r="BH18"/>
  <c r="BG18"/>
  <c r="BF18"/>
  <c r="BE18"/>
  <c r="BD18"/>
  <c r="BC18"/>
  <c r="BB18"/>
  <c r="BA18" s="1"/>
  <c r="AZ18" s="1"/>
  <c r="AX18"/>
  <c r="AW18"/>
  <c r="AV18"/>
  <c r="AC18"/>
  <c r="H18"/>
  <c r="G18"/>
  <c r="BT207"/>
  <c r="BS207"/>
  <c r="BR207"/>
  <c r="BQ207"/>
  <c r="BP207"/>
  <c r="BO207"/>
  <c r="BN207"/>
  <c r="BM207"/>
  <c r="BL207" s="1"/>
  <c r="BK207"/>
  <c r="BJ207"/>
  <c r="BI207"/>
  <c r="BH207"/>
  <c r="BG207"/>
  <c r="BF207"/>
  <c r="BE207"/>
  <c r="BD207"/>
  <c r="BC207"/>
  <c r="BB207"/>
  <c r="BA207"/>
  <c r="AZ207" s="1"/>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c r="AZ201" s="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s="1"/>
  <c r="AX196"/>
  <c r="AW196"/>
  <c r="AV196"/>
  <c r="AC196"/>
  <c r="H196"/>
  <c r="G196" s="1"/>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c r="AZ193" s="1"/>
  <c r="AX193"/>
  <c r="AW193"/>
  <c r="AV193"/>
  <c r="AC193"/>
  <c r="H193"/>
  <c r="BT192"/>
  <c r="BS192"/>
  <c r="BR192"/>
  <c r="BQ192"/>
  <c r="BP192"/>
  <c r="BO192"/>
  <c r="BN192"/>
  <c r="BM192"/>
  <c r="BK192"/>
  <c r="BJ192"/>
  <c r="BI192"/>
  <c r="BH192"/>
  <c r="BG192"/>
  <c r="BF192"/>
  <c r="BE192"/>
  <c r="BD192"/>
  <c r="BC192"/>
  <c r="BB192"/>
  <c r="BA192" s="1"/>
  <c r="AX192"/>
  <c r="AW192"/>
  <c r="AV192"/>
  <c r="AC192"/>
  <c r="H192"/>
  <c r="G192" s="1"/>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G190"/>
  <c r="BT189"/>
  <c r="BS189"/>
  <c r="BR189"/>
  <c r="BQ189"/>
  <c r="BP189"/>
  <c r="BO189"/>
  <c r="BN189"/>
  <c r="BM189"/>
  <c r="BL189" s="1"/>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c r="AZ185" s="1"/>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s="1"/>
  <c r="AX180"/>
  <c r="AW180"/>
  <c r="AV180"/>
  <c r="AC180"/>
  <c r="H180"/>
  <c r="G180" s="1"/>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c r="AZ177" s="1"/>
  <c r="AX177"/>
  <c r="AW177"/>
  <c r="AV177"/>
  <c r="AC177"/>
  <c r="H177"/>
  <c r="BT176"/>
  <c r="BS176"/>
  <c r="BR176"/>
  <c r="BQ176"/>
  <c r="BP176"/>
  <c r="BO176"/>
  <c r="BN176"/>
  <c r="BM176"/>
  <c r="BK176"/>
  <c r="BJ176"/>
  <c r="BI176"/>
  <c r="BH176"/>
  <c r="BG176"/>
  <c r="BF176"/>
  <c r="BE176"/>
  <c r="BD176"/>
  <c r="BC176"/>
  <c r="BB176"/>
  <c r="BA176" s="1"/>
  <c r="AX176"/>
  <c r="AW176"/>
  <c r="AV176"/>
  <c r="AC176"/>
  <c r="H176"/>
  <c r="G176" s="1"/>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Z169" s="1"/>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c r="AZ161" s="1"/>
  <c r="AX161"/>
  <c r="AW161"/>
  <c r="AV161"/>
  <c r="AC161"/>
  <c r="H161"/>
  <c r="BT160"/>
  <c r="BS160"/>
  <c r="BR160"/>
  <c r="BQ160"/>
  <c r="BP160"/>
  <c r="BO160"/>
  <c r="BN160"/>
  <c r="BM160"/>
  <c r="BK160"/>
  <c r="BJ160"/>
  <c r="BI160"/>
  <c r="BH160"/>
  <c r="BG160"/>
  <c r="BF160"/>
  <c r="BE160"/>
  <c r="BD160"/>
  <c r="BC160"/>
  <c r="BB160"/>
  <c r="BA160" s="1"/>
  <c r="AX160"/>
  <c r="AW160"/>
  <c r="AV160"/>
  <c r="AC160"/>
  <c r="H160"/>
  <c r="G160" s="1"/>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Z153" s="1"/>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s="1"/>
  <c r="AX148"/>
  <c r="AW148"/>
  <c r="AV148"/>
  <c r="AC148"/>
  <c r="H148"/>
  <c r="G148" s="1"/>
  <c r="BT147"/>
  <c r="BS147"/>
  <c r="BR147"/>
  <c r="BQ147"/>
  <c r="BP147"/>
  <c r="BO147"/>
  <c r="BN147"/>
  <c r="BM147"/>
  <c r="BL147"/>
  <c r="BK147"/>
  <c r="BJ147"/>
  <c r="BI147"/>
  <c r="BH147"/>
  <c r="BG147"/>
  <c r="BF147"/>
  <c r="BE147"/>
  <c r="BD147"/>
  <c r="BC147"/>
  <c r="BB147"/>
  <c r="AX147"/>
  <c r="AW147"/>
  <c r="AV147"/>
  <c r="AC147"/>
  <c r="H147"/>
  <c r="G147" s="1"/>
  <c r="BT146"/>
  <c r="BS146"/>
  <c r="BR146"/>
  <c r="BQ146"/>
  <c r="BP146"/>
  <c r="BO146"/>
  <c r="BN146"/>
  <c r="BM146"/>
  <c r="BL146"/>
  <c r="BK146"/>
  <c r="BJ146"/>
  <c r="BI146"/>
  <c r="BH146"/>
  <c r="BG146"/>
  <c r="BF146"/>
  <c r="BE146"/>
  <c r="BD146"/>
  <c r="BC146"/>
  <c r="BB146"/>
  <c r="BA146" s="1"/>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G139" s="1"/>
  <c r="BT138"/>
  <c r="BS138"/>
  <c r="BR138"/>
  <c r="BQ138"/>
  <c r="BP138"/>
  <c r="BO138"/>
  <c r="BN138"/>
  <c r="BM138"/>
  <c r="BL138"/>
  <c r="BK138"/>
  <c r="BJ138"/>
  <c r="BI138"/>
  <c r="BH138"/>
  <c r="BG138"/>
  <c r="BF138"/>
  <c r="BE138"/>
  <c r="BD138"/>
  <c r="BC138"/>
  <c r="BB138"/>
  <c r="BA138" s="1"/>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Z122" s="1"/>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L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s="1"/>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c r="AZ300" s="1"/>
  <c r="AX300"/>
  <c r="AW300"/>
  <c r="AV300"/>
  <c r="AC300"/>
  <c r="H300"/>
  <c r="G300" s="1"/>
  <c r="BT299"/>
  <c r="BS299"/>
  <c r="BR299"/>
  <c r="BQ299"/>
  <c r="BP299"/>
  <c r="BO299"/>
  <c r="BN299"/>
  <c r="BM299"/>
  <c r="BL299"/>
  <c r="BK299"/>
  <c r="BJ299"/>
  <c r="BI299"/>
  <c r="BH299"/>
  <c r="BG299"/>
  <c r="BF299"/>
  <c r="BE299"/>
  <c r="BD299"/>
  <c r="BC299"/>
  <c r="BB299"/>
  <c r="BA299" s="1"/>
  <c r="AX299"/>
  <c r="AW299"/>
  <c r="AV299"/>
  <c r="AC299"/>
  <c r="H299"/>
  <c r="G299" s="1"/>
  <c r="BT298"/>
  <c r="BS298"/>
  <c r="BR298"/>
  <c r="BQ298"/>
  <c r="BP298"/>
  <c r="BO298"/>
  <c r="BN298"/>
  <c r="BM298"/>
  <c r="BL298"/>
  <c r="BK298"/>
  <c r="BJ298"/>
  <c r="BI298"/>
  <c r="BH298"/>
  <c r="BG298"/>
  <c r="BF298"/>
  <c r="BE298"/>
  <c r="BD298"/>
  <c r="BC298"/>
  <c r="BB298"/>
  <c r="BA298" s="1"/>
  <c r="AZ298" s="1"/>
  <c r="AX298"/>
  <c r="AW298"/>
  <c r="AV298"/>
  <c r="AC298"/>
  <c r="H298"/>
  <c r="G298"/>
  <c r="BT297"/>
  <c r="BS297"/>
  <c r="BR297"/>
  <c r="BQ297"/>
  <c r="BP297"/>
  <c r="BO297"/>
  <c r="BN297"/>
  <c r="BM297"/>
  <c r="BL297" s="1"/>
  <c r="BK297"/>
  <c r="BJ297"/>
  <c r="BI297"/>
  <c r="BH297"/>
  <c r="BG297"/>
  <c r="BF297"/>
  <c r="BE297"/>
  <c r="BD297"/>
  <c r="BC297"/>
  <c r="BB297"/>
  <c r="BA297"/>
  <c r="AX297"/>
  <c r="AW297"/>
  <c r="AV297"/>
  <c r="AC297"/>
  <c r="H297"/>
  <c r="G297" s="1"/>
  <c r="BT296"/>
  <c r="BS296"/>
  <c r="BR296"/>
  <c r="BQ296"/>
  <c r="BP296"/>
  <c r="BO296"/>
  <c r="BN296"/>
  <c r="BM296"/>
  <c r="BL296"/>
  <c r="BK296"/>
  <c r="BJ296"/>
  <c r="BI296"/>
  <c r="BH296"/>
  <c r="BG296"/>
  <c r="BF296"/>
  <c r="BE296"/>
  <c r="BD296"/>
  <c r="BC296"/>
  <c r="BB296"/>
  <c r="BA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c r="AZ290" s="1"/>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Z284" s="1"/>
  <c r="AX284"/>
  <c r="AW284"/>
  <c r="AV284"/>
  <c r="AC284"/>
  <c r="H284"/>
  <c r="G284" s="1"/>
  <c r="BT283"/>
  <c r="BS283"/>
  <c r="BR283"/>
  <c r="BQ283"/>
  <c r="BP283"/>
  <c r="BO283"/>
  <c r="BN283"/>
  <c r="BM283"/>
  <c r="BL283"/>
  <c r="BK283"/>
  <c r="BJ283"/>
  <c r="BI283"/>
  <c r="BH283"/>
  <c r="BG283"/>
  <c r="BF283"/>
  <c r="BE283"/>
  <c r="BD283"/>
  <c r="BC283"/>
  <c r="BB283"/>
  <c r="BA283" s="1"/>
  <c r="AX283"/>
  <c r="AW283"/>
  <c r="AV283"/>
  <c r="AC283"/>
  <c r="H283"/>
  <c r="G283" s="1"/>
  <c r="BT282"/>
  <c r="BS282"/>
  <c r="BR282"/>
  <c r="BQ282"/>
  <c r="BP282"/>
  <c r="BO282"/>
  <c r="BN282"/>
  <c r="BM282"/>
  <c r="BL282"/>
  <c r="BK282"/>
  <c r="BJ282"/>
  <c r="BI282"/>
  <c r="BH282"/>
  <c r="BG282"/>
  <c r="BF282"/>
  <c r="BE282"/>
  <c r="BD282"/>
  <c r="BC282"/>
  <c r="BB282"/>
  <c r="BA282" s="1"/>
  <c r="AZ282" s="1"/>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c r="AZ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c r="AZ270" s="1"/>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c r="AX259"/>
  <c r="AW259"/>
  <c r="AV259"/>
  <c r="AC259"/>
  <c r="H259"/>
  <c r="G259"/>
  <c r="BT258"/>
  <c r="BS258"/>
  <c r="BR258"/>
  <c r="BQ258"/>
  <c r="BP258"/>
  <c r="BO258"/>
  <c r="BN258"/>
  <c r="BM258"/>
  <c r="BL258" s="1"/>
  <c r="BK258"/>
  <c r="BJ258"/>
  <c r="BI258"/>
  <c r="BH258"/>
  <c r="BG258"/>
  <c r="BF258"/>
  <c r="BE258"/>
  <c r="BD258"/>
  <c r="BC258"/>
  <c r="BB258"/>
  <c r="BA258"/>
  <c r="AZ258" s="1"/>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X256"/>
  <c r="AW256"/>
  <c r="AV256"/>
  <c r="AC256"/>
  <c r="H256"/>
  <c r="G256" s="1"/>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X248"/>
  <c r="AW248"/>
  <c r="AV248"/>
  <c r="AC248"/>
  <c r="H248"/>
  <c r="G248" s="1"/>
  <c r="BT247"/>
  <c r="BS247"/>
  <c r="BR247"/>
  <c r="BQ247"/>
  <c r="BP247"/>
  <c r="BO247"/>
  <c r="BN247"/>
  <c r="BM247"/>
  <c r="BL247"/>
  <c r="BK247"/>
  <c r="BJ247"/>
  <c r="BI247"/>
  <c r="BH247"/>
  <c r="BG247"/>
  <c r="BF247"/>
  <c r="BE247"/>
  <c r="BD247"/>
  <c r="BC247"/>
  <c r="BB247"/>
  <c r="BA247" s="1"/>
  <c r="AZ247" s="1"/>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c r="AX243"/>
  <c r="AW243"/>
  <c r="AV243"/>
  <c r="AC243"/>
  <c r="H243"/>
  <c r="G243"/>
  <c r="BT242"/>
  <c r="BS242"/>
  <c r="BR242"/>
  <c r="BQ242"/>
  <c r="BP242"/>
  <c r="BO242"/>
  <c r="BN242"/>
  <c r="BM242"/>
  <c r="BL242" s="1"/>
  <c r="BK242"/>
  <c r="BJ242"/>
  <c r="BI242"/>
  <c r="BH242"/>
  <c r="BG242"/>
  <c r="BF242"/>
  <c r="BE242"/>
  <c r="BD242"/>
  <c r="BC242"/>
  <c r="BB242"/>
  <c r="BA242"/>
  <c r="AZ242" s="1"/>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X240"/>
  <c r="AW240"/>
  <c r="AV240"/>
  <c r="AC240"/>
  <c r="H240"/>
  <c r="G240" s="1"/>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X232"/>
  <c r="AW232"/>
  <c r="AV232"/>
  <c r="AC232"/>
  <c r="H232"/>
  <c r="G232" s="1"/>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c r="AX227"/>
  <c r="AW227"/>
  <c r="AV227"/>
  <c r="AC227"/>
  <c r="H227"/>
  <c r="G227"/>
  <c r="BT226"/>
  <c r="BS226"/>
  <c r="BR226"/>
  <c r="BQ226"/>
  <c r="BP226"/>
  <c r="BO226"/>
  <c r="BN226"/>
  <c r="BM226"/>
  <c r="BL226" s="1"/>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X222"/>
  <c r="AW222"/>
  <c r="AV222"/>
  <c r="AC222"/>
  <c r="H222"/>
  <c r="G222" s="1"/>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c r="AZ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c r="AZ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s="1"/>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c r="AZ211" s="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Z208" s="1"/>
  <c r="AX208"/>
  <c r="AW208"/>
  <c r="AV208"/>
  <c r="AC208"/>
  <c r="H208"/>
  <c r="G20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L353" s="1"/>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L332" s="1"/>
  <c r="BK332"/>
  <c r="BJ332"/>
  <c r="BI332"/>
  <c r="BH332"/>
  <c r="BG332"/>
  <c r="BF332"/>
  <c r="BE332"/>
  <c r="BD332"/>
  <c r="BC332"/>
  <c r="BB332"/>
  <c r="BA332"/>
  <c r="AZ332" s="1"/>
  <c r="AX332"/>
  <c r="AW332"/>
  <c r="AV332"/>
  <c r="AC332"/>
  <c r="H332"/>
  <c r="BT331"/>
  <c r="BS331"/>
  <c r="BR331"/>
  <c r="BQ331"/>
  <c r="BP331"/>
  <c r="BO331"/>
  <c r="BN331"/>
  <c r="BM331"/>
  <c r="BK331"/>
  <c r="BJ331"/>
  <c r="BI331"/>
  <c r="BH331"/>
  <c r="BG331"/>
  <c r="BF331"/>
  <c r="BE331"/>
  <c r="BD331"/>
  <c r="BC331"/>
  <c r="BB331"/>
  <c r="BA331" s="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L316" s="1"/>
  <c r="BK316"/>
  <c r="BJ316"/>
  <c r="BI316"/>
  <c r="BH316"/>
  <c r="BG316"/>
  <c r="BF316"/>
  <c r="BE316"/>
  <c r="BD316"/>
  <c r="BC316"/>
  <c r="BB316"/>
  <c r="BA316"/>
  <c r="AZ316" s="1"/>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s="1"/>
  <c r="AZ492" s="1"/>
  <c r="AX492"/>
  <c r="AW492"/>
  <c r="AV492"/>
  <c r="AC492"/>
  <c r="H492"/>
  <c r="G492"/>
  <c r="BT491"/>
  <c r="BS491"/>
  <c r="BR491"/>
  <c r="BQ491"/>
  <c r="BP491"/>
  <c r="BO491"/>
  <c r="BN491"/>
  <c r="BM491"/>
  <c r="BL491" s="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c r="AX490"/>
  <c r="AW490"/>
  <c r="AV490"/>
  <c r="AC490"/>
  <c r="H490"/>
  <c r="G490" s="1"/>
  <c r="BT489"/>
  <c r="BS489"/>
  <c r="BR489"/>
  <c r="BQ489"/>
  <c r="BP489"/>
  <c r="BO489"/>
  <c r="BN489"/>
  <c r="BM489"/>
  <c r="BL489"/>
  <c r="BK489"/>
  <c r="BJ489"/>
  <c r="BI489"/>
  <c r="BH489"/>
  <c r="BG489"/>
  <c r="BF489"/>
  <c r="BE489"/>
  <c r="BD489"/>
  <c r="BC489"/>
  <c r="BB489"/>
  <c r="BA489" s="1"/>
  <c r="AZ489" s="1"/>
  <c r="AX489"/>
  <c r="AW489"/>
  <c r="AV489"/>
  <c r="AC489"/>
  <c r="H489"/>
  <c r="G489" s="1"/>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AZ487" s="1"/>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c r="AZ486" s="1"/>
  <c r="AX486"/>
  <c r="AW486"/>
  <c r="AV486"/>
  <c r="AC486"/>
  <c r="H486"/>
  <c r="G486" s="1"/>
  <c r="BT485"/>
  <c r="BS485"/>
  <c r="BR485"/>
  <c r="BQ485"/>
  <c r="BP485"/>
  <c r="BO485"/>
  <c r="BN485"/>
  <c r="BM485"/>
  <c r="BL485"/>
  <c r="BK485"/>
  <c r="BJ485"/>
  <c r="BI485"/>
  <c r="BH485"/>
  <c r="BG485"/>
  <c r="BF485"/>
  <c r="BE485"/>
  <c r="BD485"/>
  <c r="BC485"/>
  <c r="BB485"/>
  <c r="BA485" s="1"/>
  <c r="AZ485" s="1"/>
  <c r="AX485"/>
  <c r="AW485"/>
  <c r="AV485"/>
  <c r="AC485"/>
  <c r="H485"/>
  <c r="G485" s="1"/>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c r="BK483"/>
  <c r="BJ483"/>
  <c r="BI483"/>
  <c r="BH483"/>
  <c r="BG483"/>
  <c r="BF483"/>
  <c r="BE483"/>
  <c r="BD483"/>
  <c r="BC483"/>
  <c r="BB483"/>
  <c r="BA483" s="1"/>
  <c r="AZ483" s="1"/>
  <c r="AX483"/>
  <c r="AW483"/>
  <c r="AV483"/>
  <c r="AC483"/>
  <c r="H483"/>
  <c r="G483" s="1"/>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AZ481" s="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Z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AZ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Z475" s="1"/>
  <c r="AX475"/>
  <c r="AW475"/>
  <c r="AV475"/>
  <c r="AC475"/>
  <c r="H475"/>
  <c r="G475" s="1"/>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s="1"/>
  <c r="BT471"/>
  <c r="BS471"/>
  <c r="BR471"/>
  <c r="BQ471"/>
  <c r="BP471"/>
  <c r="BO471"/>
  <c r="BN471"/>
  <c r="BM471"/>
  <c r="BL471"/>
  <c r="BK471"/>
  <c r="BJ471"/>
  <c r="BI471"/>
  <c r="BH471"/>
  <c r="BG471"/>
  <c r="BF471"/>
  <c r="BE471"/>
  <c r="BD471"/>
  <c r="BC471"/>
  <c r="BB471"/>
  <c r="BA471" s="1"/>
  <c r="AZ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AZ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Z467" s="1"/>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AZ462" s="1"/>
  <c r="BK462"/>
  <c r="BJ462"/>
  <c r="BI462"/>
  <c r="BH462"/>
  <c r="BG462"/>
  <c r="BF462"/>
  <c r="BE462"/>
  <c r="BD462"/>
  <c r="BC462"/>
  <c r="BB462"/>
  <c r="BA462"/>
  <c r="AX462"/>
  <c r="AW462"/>
  <c r="AV462"/>
  <c r="AC462"/>
  <c r="H462"/>
  <c r="G462"/>
  <c r="BT461"/>
  <c r="BS461"/>
  <c r="BR461"/>
  <c r="BQ461"/>
  <c r="BP461"/>
  <c r="BO461"/>
  <c r="BN461"/>
  <c r="BM461"/>
  <c r="BL461" s="1"/>
  <c r="BK461"/>
  <c r="BJ461"/>
  <c r="BI461"/>
  <c r="BH461"/>
  <c r="BG461"/>
  <c r="BF461"/>
  <c r="BE461"/>
  <c r="BD461"/>
  <c r="BC461"/>
  <c r="BB461"/>
  <c r="BA461"/>
  <c r="AZ461" s="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AZ459" s="1"/>
  <c r="BK459"/>
  <c r="BJ459"/>
  <c r="BI459"/>
  <c r="BH459"/>
  <c r="BG459"/>
  <c r="BF459"/>
  <c r="BE459"/>
  <c r="BD459"/>
  <c r="BC459"/>
  <c r="BB459"/>
  <c r="BA459"/>
  <c r="AX459"/>
  <c r="AW459"/>
  <c r="AV459"/>
  <c r="AC459"/>
  <c r="H459"/>
  <c r="G459"/>
  <c r="BT458"/>
  <c r="BS458"/>
  <c r="BR458"/>
  <c r="BQ458"/>
  <c r="BP458"/>
  <c r="BO458"/>
  <c r="BN458"/>
  <c r="BM458"/>
  <c r="BL458" s="1"/>
  <c r="AZ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Z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AZ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AZ451" s="1"/>
  <c r="BK451"/>
  <c r="BJ451"/>
  <c r="BI451"/>
  <c r="BH451"/>
  <c r="BG451"/>
  <c r="BF451"/>
  <c r="BE451"/>
  <c r="BD451"/>
  <c r="BC451"/>
  <c r="BB451"/>
  <c r="BA451"/>
  <c r="AX451"/>
  <c r="AW451"/>
  <c r="AV451"/>
  <c r="AC451"/>
  <c r="H451"/>
  <c r="G451"/>
  <c r="BT450"/>
  <c r="BS450"/>
  <c r="BR450"/>
  <c r="BQ450"/>
  <c r="BP450"/>
  <c r="BO450"/>
  <c r="BN450"/>
  <c r="BM450"/>
  <c r="BL450" s="1"/>
  <c r="AZ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Z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AZ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AZ443" s="1"/>
  <c r="BK443"/>
  <c r="BJ443"/>
  <c r="BI443"/>
  <c r="BH443"/>
  <c r="BG443"/>
  <c r="BF443"/>
  <c r="BE443"/>
  <c r="BD443"/>
  <c r="BC443"/>
  <c r="BB443"/>
  <c r="BA443"/>
  <c r="AX443"/>
  <c r="AW443"/>
  <c r="AV443"/>
  <c r="AC443"/>
  <c r="H443"/>
  <c r="G443"/>
  <c r="BT442"/>
  <c r="BS442"/>
  <c r="BR442"/>
  <c r="BQ442"/>
  <c r="BP442"/>
  <c r="BO442"/>
  <c r="BN442"/>
  <c r="BM442"/>
  <c r="BL442" s="1"/>
  <c r="AZ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AZ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AZ435" s="1"/>
  <c r="BK435"/>
  <c r="BJ435"/>
  <c r="BI435"/>
  <c r="BH435"/>
  <c r="BG435"/>
  <c r="BF435"/>
  <c r="BE435"/>
  <c r="BD435"/>
  <c r="BC435"/>
  <c r="BB435"/>
  <c r="BA435"/>
  <c r="AX435"/>
  <c r="AW435"/>
  <c r="AV435"/>
  <c r="AC435"/>
  <c r="H435"/>
  <c r="G435"/>
  <c r="BT434"/>
  <c r="BS434"/>
  <c r="BR434"/>
  <c r="BQ434"/>
  <c r="BP434"/>
  <c r="BO434"/>
  <c r="BN434"/>
  <c r="BM434"/>
  <c r="BL434" s="1"/>
  <c r="AZ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Z431" s="1"/>
  <c r="AX431"/>
  <c r="AW431"/>
  <c r="AV431"/>
  <c r="AC431"/>
  <c r="H431"/>
  <c r="G431" s="1"/>
  <c r="BT430"/>
  <c r="BS430"/>
  <c r="BR430"/>
  <c r="BQ430"/>
  <c r="BP430"/>
  <c r="BO430"/>
  <c r="BN430"/>
  <c r="BM430"/>
  <c r="BL430"/>
  <c r="BK430"/>
  <c r="BJ430"/>
  <c r="BI430"/>
  <c r="BH430"/>
  <c r="BG430"/>
  <c r="BF430"/>
  <c r="BE430"/>
  <c r="BD430"/>
  <c r="BC430"/>
  <c r="BB430"/>
  <c r="BA430" s="1"/>
  <c r="AZ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s="1"/>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AZ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Z421" s="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AZ419" s="1"/>
  <c r="BK419"/>
  <c r="BJ419"/>
  <c r="BI419"/>
  <c r="BH419"/>
  <c r="BG419"/>
  <c r="BF419"/>
  <c r="BE419"/>
  <c r="BD419"/>
  <c r="BC419"/>
  <c r="BB419"/>
  <c r="BA419"/>
  <c r="AX419"/>
  <c r="AW419"/>
  <c r="AV419"/>
  <c r="AC419"/>
  <c r="H419"/>
  <c r="G419"/>
  <c r="BT418"/>
  <c r="BS418"/>
  <c r="BR418"/>
  <c r="BQ418"/>
  <c r="BP418"/>
  <c r="BO418"/>
  <c r="BN418"/>
  <c r="BM418"/>
  <c r="BL418" s="1"/>
  <c r="AZ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Z415" s="1"/>
  <c r="AX415"/>
  <c r="AW415"/>
  <c r="AV415"/>
  <c r="AC415"/>
  <c r="H415"/>
  <c r="G415" s="1"/>
  <c r="BT414"/>
  <c r="BS414"/>
  <c r="BR414"/>
  <c r="BQ414"/>
  <c r="BP414"/>
  <c r="BO414"/>
  <c r="BN414"/>
  <c r="BM414"/>
  <c r="BL414"/>
  <c r="BK414"/>
  <c r="BJ414"/>
  <c r="BI414"/>
  <c r="BH414"/>
  <c r="BG414"/>
  <c r="BF414"/>
  <c r="BE414"/>
  <c r="BD414"/>
  <c r="BC414"/>
  <c r="BB414"/>
  <c r="BA414" s="1"/>
  <c r="AZ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AZ406" s="1"/>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AZ403" s="1"/>
  <c r="BK403"/>
  <c r="BJ403"/>
  <c r="BI403"/>
  <c r="BH403"/>
  <c r="BG403"/>
  <c r="BF403"/>
  <c r="BE403"/>
  <c r="BD403"/>
  <c r="BC403"/>
  <c r="BB403"/>
  <c r="BA403"/>
  <c r="AX403"/>
  <c r="AW403"/>
  <c r="AV403"/>
  <c r="AC403"/>
  <c r="H403"/>
  <c r="G403"/>
  <c r="BT402"/>
  <c r="BS402"/>
  <c r="BR402"/>
  <c r="BQ402"/>
  <c r="BP402"/>
  <c r="BO402"/>
  <c r="BN402"/>
  <c r="BM402"/>
  <c r="BL402" s="1"/>
  <c r="AZ402" s="1"/>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Z399" s="1"/>
  <c r="AX399"/>
  <c r="AW399"/>
  <c r="AV399"/>
  <c r="AC399"/>
  <c r="H399"/>
  <c r="G399" s="1"/>
  <c r="BT398"/>
  <c r="BS398"/>
  <c r="BR398"/>
  <c r="BQ398"/>
  <c r="BP398"/>
  <c r="BO398"/>
  <c r="BN398"/>
  <c r="BM398"/>
  <c r="BL398"/>
  <c r="BK398"/>
  <c r="BJ398"/>
  <c r="BI398"/>
  <c r="BH398"/>
  <c r="BG398"/>
  <c r="BF398"/>
  <c r="BE398"/>
  <c r="BD398"/>
  <c r="BC398"/>
  <c r="BB398"/>
  <c r="BA398" s="1"/>
  <c r="AZ398" s="1"/>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B61" i="72" s="1"/>
  <c r="L20" i="4"/>
  <c r="A5" i="62"/>
  <c r="B72" i="72" s="1"/>
  <c r="A4" i="62"/>
  <c r="B70" i="72" s="1"/>
  <c r="F33" i="9"/>
  <c r="B37" i="48"/>
  <c r="B2" i="72" s="1"/>
  <c r="B13" i="53"/>
  <c r="B29" i="72" s="1"/>
  <c r="R35" i="4"/>
  <c r="Q35"/>
  <c r="P35"/>
  <c r="O35"/>
  <c r="N35"/>
  <c r="M35"/>
  <c r="L35"/>
  <c r="K34"/>
  <c r="T34" s="1"/>
  <c r="G13" i="1"/>
  <c r="G1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B22" i="1"/>
  <c r="B43"/>
  <c r="D78" i="9" s="1"/>
  <c r="BQ13" i="3"/>
  <c r="BQ14"/>
  <c r="BQ15"/>
  <c r="BQ16"/>
  <c r="BQ17"/>
  <c r="BS13"/>
  <c r="BS14"/>
  <c r="BS15"/>
  <c r="BS16"/>
  <c r="BS17"/>
  <c r="BR14"/>
  <c r="BR15"/>
  <c r="BR16"/>
  <c r="BR17"/>
  <c r="BT13"/>
  <c r="BT14"/>
  <c r="BT15"/>
  <c r="BT16"/>
  <c r="BT17"/>
  <c r="BM14"/>
  <c r="BM15"/>
  <c r="BL15" s="1"/>
  <c r="BM16"/>
  <c r="BM17"/>
  <c r="BO13"/>
  <c r="BO14"/>
  <c r="BO15"/>
  <c r="BO16"/>
  <c r="BO17"/>
  <c r="BN13"/>
  <c r="BN14"/>
  <c r="BN15"/>
  <c r="BN16"/>
  <c r="BN17"/>
  <c r="BP13"/>
  <c r="BP14"/>
  <c r="BP15"/>
  <c r="BP16"/>
  <c r="BP17"/>
  <c r="E19" i="6"/>
  <c r="E20"/>
  <c r="E21"/>
  <c r="K8" i="1" s="1"/>
  <c r="F23" i="15"/>
  <c r="D24"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s="1"/>
  <c r="AZ548" s="1"/>
  <c r="BQ548"/>
  <c r="BR548"/>
  <c r="BS548"/>
  <c r="BT548"/>
  <c r="H549"/>
  <c r="AC549"/>
  <c r="BB549"/>
  <c r="BC549"/>
  <c r="BD549"/>
  <c r="BE549"/>
  <c r="BF549"/>
  <c r="BG549"/>
  <c r="BH549"/>
  <c r="BI549"/>
  <c r="BJ549"/>
  <c r="BK549"/>
  <c r="BM549"/>
  <c r="BN549"/>
  <c r="BO549"/>
  <c r="BP549"/>
  <c r="BR549"/>
  <c r="BS549"/>
  <c r="BT549"/>
  <c r="H550"/>
  <c r="AC550"/>
  <c r="BB550"/>
  <c r="BA550" s="1"/>
  <c r="BC550"/>
  <c r="BD550"/>
  <c r="BE550"/>
  <c r="BF550"/>
  <c r="BG550"/>
  <c r="BH550"/>
  <c r="BI550"/>
  <c r="BJ550"/>
  <c r="BK550"/>
  <c r="BM550"/>
  <c r="BN550"/>
  <c r="BO550"/>
  <c r="BL550" s="1"/>
  <c r="BP550"/>
  <c r="BQ550"/>
  <c r="BR550"/>
  <c r="BS550"/>
  <c r="BT550"/>
  <c r="H551"/>
  <c r="G551" s="1"/>
  <c r="AC551"/>
  <c r="BB551"/>
  <c r="BC551"/>
  <c r="BD551"/>
  <c r="BA551" s="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s="1"/>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s="1"/>
  <c r="J40"/>
  <c r="W40" s="1"/>
  <c r="H40"/>
  <c r="AB40" s="1"/>
  <c r="F40"/>
  <c r="AA40" s="1"/>
  <c r="Q39"/>
  <c r="Z39"/>
  <c r="H39"/>
  <c r="U39" s="1"/>
  <c r="Q38"/>
  <c r="Z38" s="1"/>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s="1"/>
  <c r="Q41"/>
  <c r="Z41" s="1"/>
  <c r="Q42"/>
  <c r="Z42"/>
  <c r="Q43"/>
  <c r="Z43"/>
  <c r="Q44"/>
  <c r="Z44"/>
  <c r="Q45"/>
  <c r="Z45"/>
  <c r="Q38"/>
  <c r="Z38"/>
  <c r="Q36"/>
  <c r="Z36" s="1"/>
  <c r="Q37"/>
  <c r="Z37" s="1"/>
  <c r="B131"/>
  <c r="H45"/>
  <c r="AB45" s="1"/>
  <c r="B129"/>
  <c r="H44"/>
  <c r="U44" s="1"/>
  <c r="B127"/>
  <c r="J43"/>
  <c r="W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s="1"/>
  <c r="Q17"/>
  <c r="Z17"/>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c r="J25"/>
  <c r="AC25" s="1"/>
  <c r="F25"/>
  <c r="AA25" s="1"/>
  <c r="Q23"/>
  <c r="Z23"/>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c r="AC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B77"/>
  <c r="B75"/>
  <c r="J24"/>
  <c r="AC24" s="1"/>
  <c r="B73"/>
  <c r="H23"/>
  <c r="U23" s="1"/>
  <c r="B57"/>
  <c r="B61"/>
  <c r="B59"/>
  <c r="B131" i="34"/>
  <c r="B129"/>
  <c r="B127"/>
  <c r="B99"/>
  <c r="B97"/>
  <c r="B95"/>
  <c r="B93"/>
  <c r="B75"/>
  <c r="B73"/>
  <c r="B7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c r="J23"/>
  <c r="AC23" s="1"/>
  <c r="Q22"/>
  <c r="Z22" s="1"/>
  <c r="Q20"/>
  <c r="Z20" s="1"/>
  <c r="Q16"/>
  <c r="Z16" s="1"/>
  <c r="Q14"/>
  <c r="Z14" s="1"/>
  <c r="Q13"/>
  <c r="Z13" s="1"/>
  <c r="Q12"/>
  <c r="Z12" s="1"/>
  <c r="J12"/>
  <c r="W12" s="1"/>
  <c r="H12"/>
  <c r="U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s="1"/>
  <c r="Q45"/>
  <c r="Z45" s="1"/>
  <c r="Q44"/>
  <c r="Z44" s="1"/>
  <c r="Q43"/>
  <c r="Z43" s="1"/>
  <c r="Q42"/>
  <c r="Z42" s="1"/>
  <c r="J42"/>
  <c r="AC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D77"/>
  <c r="E77" s="1"/>
  <c r="B130"/>
  <c r="B128"/>
  <c r="J45" s="1"/>
  <c r="W45" s="1"/>
  <c r="B126"/>
  <c r="B98"/>
  <c r="H31" s="1"/>
  <c r="B96"/>
  <c r="B94"/>
  <c r="J29" s="1"/>
  <c r="AC29" s="1"/>
  <c r="B92"/>
  <c r="H28" s="1"/>
  <c r="AB28" s="1"/>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R585"/>
  <c r="BS585"/>
  <c r="BL585" s="1"/>
  <c r="AZ585" s="1"/>
  <c r="BT585"/>
  <c r="BB586"/>
  <c r="BC586"/>
  <c r="BD586"/>
  <c r="BE586"/>
  <c r="BF586"/>
  <c r="BG586"/>
  <c r="BH586"/>
  <c r="BI586"/>
  <c r="BJ586"/>
  <c r="BK586"/>
  <c r="BM586"/>
  <c r="BL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F38"/>
  <c r="S38" s="1"/>
  <c r="F36"/>
  <c r="S36" s="1"/>
  <c r="F39"/>
  <c r="AA39" s="1"/>
  <c r="J40"/>
  <c r="W40" s="1"/>
  <c r="H35"/>
  <c r="AB35" s="1"/>
  <c r="J8"/>
  <c r="AC8" s="1"/>
  <c r="H8"/>
  <c r="U8" s="1"/>
  <c r="H10"/>
  <c r="AB10" s="1"/>
  <c r="H39"/>
  <c r="U39" s="1"/>
  <c r="J34"/>
  <c r="W34" s="1"/>
  <c r="H36"/>
  <c r="U36" s="1"/>
  <c r="F35"/>
  <c r="AA35" s="1"/>
  <c r="J10"/>
  <c r="AC10" s="1"/>
  <c r="H26"/>
  <c r="AB26" s="1"/>
  <c r="J19"/>
  <c r="W19" s="1"/>
  <c r="J12"/>
  <c r="AC12" s="1"/>
  <c r="H12"/>
  <c r="AB12" s="1"/>
  <c r="J26"/>
  <c r="W26" s="1"/>
  <c r="F26"/>
  <c r="S26" s="1"/>
  <c r="AB41"/>
  <c r="S41"/>
  <c r="AA41"/>
  <c r="F45" i="39"/>
  <c r="S45" s="1"/>
  <c r="J45"/>
  <c r="W45" s="1"/>
  <c r="J44"/>
  <c r="AC44" s="1"/>
  <c r="F36"/>
  <c r="S36" s="1"/>
  <c r="H36"/>
  <c r="AB36" s="1"/>
  <c r="J35"/>
  <c r="AC35" s="1"/>
  <c r="F35"/>
  <c r="AA35" s="1"/>
  <c r="J36"/>
  <c r="AC36" s="1"/>
  <c r="W40"/>
  <c r="W25" i="37"/>
  <c r="U30"/>
  <c r="W31"/>
  <c r="E103"/>
  <c r="F103" s="1"/>
  <c r="G103" s="1"/>
  <c r="H103" s="1"/>
  <c r="I103" s="1"/>
  <c r="J103" s="1"/>
  <c r="K103" s="1"/>
  <c r="L103" s="1"/>
  <c r="M103" s="1"/>
  <c r="F39"/>
  <c r="S39" s="1"/>
  <c r="U14"/>
  <c r="F29" i="36"/>
  <c r="AA29" s="1"/>
  <c r="W8"/>
  <c r="F16"/>
  <c r="AA16" s="1"/>
  <c r="U9"/>
  <c r="W28"/>
  <c r="S30"/>
  <c r="AA31"/>
  <c r="AC31"/>
  <c r="W31"/>
  <c r="U31"/>
  <c r="J33"/>
  <c r="W33" s="1"/>
  <c r="H22" i="35"/>
  <c r="AB22" s="1"/>
  <c r="AC27"/>
  <c r="W28"/>
  <c r="U31"/>
  <c r="S34"/>
  <c r="W34"/>
  <c r="W36"/>
  <c r="W22"/>
  <c r="S31"/>
  <c r="U34"/>
  <c r="F36" i="34"/>
  <c r="J35"/>
  <c r="W9"/>
  <c r="S34"/>
  <c r="U34"/>
  <c r="H39" i="33"/>
  <c r="AB39" s="1"/>
  <c r="F26"/>
  <c r="AA26" s="1"/>
  <c r="S9"/>
  <c r="U33"/>
  <c r="U35"/>
  <c r="S40"/>
  <c r="W33"/>
  <c r="W39"/>
  <c r="H39" i="37"/>
  <c r="AB39" s="1"/>
  <c r="S27" i="35"/>
  <c r="F11" i="40"/>
  <c r="AA11" s="1"/>
  <c r="H11"/>
  <c r="AB11" s="1"/>
  <c r="W8"/>
  <c r="AB39"/>
  <c r="AC40"/>
  <c r="AA9"/>
  <c r="AC9"/>
  <c r="U9"/>
  <c r="S34"/>
  <c r="U38"/>
  <c r="S40"/>
  <c r="W31"/>
  <c r="U34"/>
  <c r="S38"/>
  <c r="U40"/>
  <c r="F42" i="39"/>
  <c r="AA42" s="1"/>
  <c r="F41"/>
  <c r="S41" s="1"/>
  <c r="H40"/>
  <c r="AB40" s="1"/>
  <c r="H39"/>
  <c r="U39" s="1"/>
  <c r="S38"/>
  <c r="H34"/>
  <c r="U34" s="1"/>
  <c r="E109"/>
  <c r="H31"/>
  <c r="AB31" s="1"/>
  <c r="F31"/>
  <c r="AA31" s="1"/>
  <c r="E101"/>
  <c r="F101" s="1"/>
  <c r="G101" s="1"/>
  <c r="H19"/>
  <c r="AB19" s="1"/>
  <c r="F19"/>
  <c r="AA19" s="1"/>
  <c r="H17"/>
  <c r="AB17" s="1"/>
  <c r="F17"/>
  <c r="AA17" s="1"/>
  <c r="J23" i="40"/>
  <c r="AC23" s="1"/>
  <c r="F21"/>
  <c r="AA21" s="1"/>
  <c r="J21"/>
  <c r="W21"/>
  <c r="H42" i="39"/>
  <c r="AB42" s="1"/>
  <c r="J34"/>
  <c r="AC34" s="1"/>
  <c r="F109"/>
  <c r="G109"/>
  <c r="H109" s="1"/>
  <c r="I109" s="1"/>
  <c r="J109" s="1"/>
  <c r="K109" s="1"/>
  <c r="L109" s="1"/>
  <c r="M109" s="1"/>
  <c r="J31"/>
  <c r="H27"/>
  <c r="U27" s="1"/>
  <c r="J19"/>
  <c r="AC19" s="1"/>
  <c r="J17"/>
  <c r="J27"/>
  <c r="AC27" s="1"/>
  <c r="F27"/>
  <c r="F11" i="21"/>
  <c r="S11" s="1"/>
  <c r="S40"/>
  <c r="C25" i="39"/>
  <c r="C27"/>
  <c r="C21"/>
  <c r="H11"/>
  <c r="C15"/>
  <c r="H32" i="33"/>
  <c r="AB32" s="1"/>
  <c r="H11" i="21"/>
  <c r="U11" s="1"/>
  <c r="J11"/>
  <c r="W11" s="1"/>
  <c r="H37" i="40"/>
  <c r="U37" s="1"/>
  <c r="H36"/>
  <c r="AB36" s="1"/>
  <c r="F35"/>
  <c r="AA35" s="1"/>
  <c r="H23"/>
  <c r="AB23" s="1"/>
  <c r="H17"/>
  <c r="U17" s="1"/>
  <c r="J15"/>
  <c r="W15" s="1"/>
  <c r="J11"/>
  <c r="W11" s="1"/>
  <c r="AB8" i="39"/>
  <c r="AB12" i="33"/>
  <c r="AC12" i="34"/>
  <c r="AA12"/>
  <c r="AB12" i="35"/>
  <c r="AB12" i="36"/>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U40"/>
  <c r="W40"/>
  <c r="U8"/>
  <c r="S8"/>
  <c r="F37" i="40"/>
  <c r="AA37" s="1"/>
  <c r="F36"/>
  <c r="AA36" s="1"/>
  <c r="H28"/>
  <c r="U28" s="1"/>
  <c r="F23"/>
  <c r="AA23" s="1"/>
  <c r="F17"/>
  <c r="AA17" s="1"/>
  <c r="J17"/>
  <c r="W17" s="1"/>
  <c r="F15"/>
  <c r="S15" s="1"/>
  <c r="H15"/>
  <c r="AB15" s="1"/>
  <c r="AC11"/>
  <c r="S12" i="36"/>
  <c r="AA12"/>
  <c r="AB30"/>
  <c r="AC34"/>
  <c r="U30" i="35"/>
  <c r="U33"/>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H11"/>
  <c r="AB11" s="1"/>
  <c r="F28" i="40"/>
  <c r="AA28" s="1"/>
  <c r="AA29" i="35"/>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H29"/>
  <c r="U29"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AA13" i="35"/>
  <c r="U31" i="34"/>
  <c r="U46" i="33"/>
  <c r="AA14"/>
  <c r="J36" i="37"/>
  <c r="AC36" s="1"/>
  <c r="G105"/>
  <c r="AB11" i="36"/>
  <c r="AB11" i="35"/>
  <c r="J10" i="36"/>
  <c r="AC10" s="1"/>
  <c r="AB26" i="33"/>
  <c r="AB30" i="21"/>
  <c r="AA14" i="37"/>
  <c r="W31" i="34"/>
  <c r="AC13" i="36"/>
  <c r="W13"/>
  <c r="S11"/>
  <c r="W11"/>
  <c r="W11" i="35"/>
  <c r="AB46" i="34"/>
  <c r="AC30"/>
  <c r="AA14"/>
  <c r="S45" i="33"/>
  <c r="AB45"/>
  <c r="AB31"/>
  <c r="U31"/>
  <c r="W29"/>
  <c r="U13"/>
  <c r="AC28" i="21"/>
  <c r="S44" i="34"/>
  <c r="BA586" i="3"/>
  <c r="BA585"/>
  <c r="F17" i="21"/>
  <c r="AA17" s="1"/>
  <c r="H17"/>
  <c r="AB17" s="1"/>
  <c r="F15"/>
  <c r="S15" s="1"/>
  <c r="AB11"/>
  <c r="J41" i="39"/>
  <c r="W41" s="1"/>
  <c r="AC45"/>
  <c r="W36"/>
  <c r="W35"/>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s="1"/>
  <c r="BA580"/>
  <c r="AZ580"/>
  <c r="BA578"/>
  <c r="AZ578"/>
  <c r="BA576"/>
  <c r="AZ576"/>
  <c r="BA574"/>
  <c r="AZ574"/>
  <c r="BA572"/>
  <c r="AZ572"/>
  <c r="BA570"/>
  <c r="AZ570"/>
  <c r="BA568"/>
  <c r="AZ568"/>
  <c r="BA566"/>
  <c r="AZ566"/>
  <c r="BA564"/>
  <c r="AZ564"/>
  <c r="BA562"/>
  <c r="AZ562"/>
  <c r="BA560"/>
  <c r="BA558"/>
  <c r="AZ558" s="1"/>
  <c r="BA556"/>
  <c r="AZ556" s="1"/>
  <c r="BA554"/>
  <c r="AZ554" s="1"/>
  <c r="BA552"/>
  <c r="AZ552" s="1"/>
  <c r="BA548"/>
  <c r="BA546"/>
  <c r="BA544"/>
  <c r="AZ544" s="1"/>
  <c r="BA542"/>
  <c r="AZ542" s="1"/>
  <c r="BA540"/>
  <c r="AZ540" s="1"/>
  <c r="BA538"/>
  <c r="AZ538" s="1"/>
  <c r="BA536"/>
  <c r="AZ536" s="1"/>
  <c r="BA534"/>
  <c r="AZ534" s="1"/>
  <c r="BA532"/>
  <c r="AZ532" s="1"/>
  <c r="BA530"/>
  <c r="BA528"/>
  <c r="AZ528"/>
  <c r="BA526"/>
  <c r="AZ526"/>
  <c r="BA524"/>
  <c r="AZ524" s="1"/>
  <c r="BA522"/>
  <c r="BA520"/>
  <c r="BA518"/>
  <c r="AZ518" s="1"/>
  <c r="BA516"/>
  <c r="AZ516" s="1"/>
  <c r="BA514"/>
  <c r="BA512"/>
  <c r="AZ512"/>
  <c r="BA510"/>
  <c r="AZ510"/>
  <c r="BA508"/>
  <c r="BA506"/>
  <c r="BA504"/>
  <c r="AZ504"/>
  <c r="BA502"/>
  <c r="BA500"/>
  <c r="BA498"/>
  <c r="AZ498"/>
  <c r="BA496"/>
  <c r="BA494"/>
  <c r="BA587"/>
  <c r="AZ587"/>
  <c r="BA583"/>
  <c r="BA581"/>
  <c r="AZ581" s="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s="1"/>
  <c r="AC557"/>
  <c r="G557"/>
  <c r="BQ557"/>
  <c r="BL557"/>
  <c r="BQ583"/>
  <c r="BL583" s="1"/>
  <c r="AZ583" s="1"/>
  <c r="BQ581"/>
  <c r="BL581"/>
  <c r="BQ579"/>
  <c r="BL579"/>
  <c r="AZ579" s="1"/>
  <c r="BQ577"/>
  <c r="BL577" s="1"/>
  <c r="AZ577" s="1"/>
  <c r="BQ575"/>
  <c r="BL575"/>
  <c r="AZ575" s="1"/>
  <c r="BQ573"/>
  <c r="BL573" s="1"/>
  <c r="AZ573" s="1"/>
  <c r="BQ571"/>
  <c r="BL571"/>
  <c r="AZ571" s="1"/>
  <c r="BQ569"/>
  <c r="BL569" s="1"/>
  <c r="AZ569" s="1"/>
  <c r="BQ567"/>
  <c r="BL567"/>
  <c r="AZ567" s="1"/>
  <c r="BQ565"/>
  <c r="BL565" s="1"/>
  <c r="AZ565" s="1"/>
  <c r="BQ563"/>
  <c r="BL563"/>
  <c r="BQ561"/>
  <c r="BL561"/>
  <c r="AZ561" s="1"/>
  <c r="BQ559"/>
  <c r="BL559" s="1"/>
  <c r="AZ559" s="1"/>
  <c r="G559"/>
  <c r="G555"/>
  <c r="G553"/>
  <c r="G549"/>
  <c r="G547"/>
  <c r="G545"/>
  <c r="G543"/>
  <c r="G541"/>
  <c r="G539"/>
  <c r="G537"/>
  <c r="BQ555"/>
  <c r="BL555"/>
  <c r="AZ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Z521" s="1"/>
  <c r="AC521"/>
  <c r="G521"/>
  <c r="BQ521"/>
  <c r="BL521"/>
  <c r="BL520"/>
  <c r="AZ520" s="1"/>
  <c r="G519"/>
  <c r="G517"/>
  <c r="G515"/>
  <c r="G513"/>
  <c r="G511"/>
  <c r="BQ519"/>
  <c r="BL519"/>
  <c r="AZ519" s="1"/>
  <c r="BQ517"/>
  <c r="BL517" s="1"/>
  <c r="AZ517" s="1"/>
  <c r="BQ515"/>
  <c r="BL515"/>
  <c r="AZ515" s="1"/>
  <c r="BQ513"/>
  <c r="BL513" s="1"/>
  <c r="AZ513" s="1"/>
  <c r="BQ511"/>
  <c r="BL511"/>
  <c r="AZ511" s="1"/>
  <c r="BA509"/>
  <c r="AC509"/>
  <c r="BQ509"/>
  <c r="BL509"/>
  <c r="BL508"/>
  <c r="AZ508"/>
  <c r="G507"/>
  <c r="G505"/>
  <c r="G503"/>
  <c r="G501"/>
  <c r="G499"/>
  <c r="G497"/>
  <c r="G495"/>
  <c r="BQ507"/>
  <c r="BL507" s="1"/>
  <c r="AZ507" s="1"/>
  <c r="BQ505"/>
  <c r="BL505"/>
  <c r="AZ505" s="1"/>
  <c r="BQ503"/>
  <c r="BL503" s="1"/>
  <c r="AZ503" s="1"/>
  <c r="BQ501"/>
  <c r="BL501"/>
  <c r="BQ499"/>
  <c r="BL499"/>
  <c r="BQ497"/>
  <c r="BL497"/>
  <c r="BQ495"/>
  <c r="BL495"/>
  <c r="AZ495" s="1"/>
  <c r="BQ493"/>
  <c r="AZ584"/>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AC32" i="36"/>
  <c r="AC33"/>
  <c r="U35" i="35"/>
  <c r="AA12"/>
  <c r="W23"/>
  <c r="W14" i="37"/>
  <c r="AB28"/>
  <c r="U33"/>
  <c r="U39"/>
  <c r="W26"/>
  <c r="AC8"/>
  <c r="U26"/>
  <c r="W47" i="34"/>
  <c r="AB13"/>
  <c r="W37"/>
  <c r="AB37"/>
  <c r="AC36"/>
  <c r="AA13" i="33"/>
  <c r="AC31"/>
  <c r="AC45"/>
  <c r="W44"/>
  <c r="U11"/>
  <c r="W44" i="21"/>
  <c r="U26"/>
  <c r="AC46"/>
  <c r="U12"/>
  <c r="F43" i="33"/>
  <c r="AA43" s="1"/>
  <c r="W15" i="34"/>
  <c r="AC15"/>
  <c r="W16" i="35"/>
  <c r="W40" i="37"/>
  <c r="G107"/>
  <c r="H107" s="1"/>
  <c r="I107" s="1"/>
  <c r="J107" s="1"/>
  <c r="K107" s="1"/>
  <c r="L107" s="1"/>
  <c r="M107" s="1"/>
  <c r="H37" i="21"/>
  <c r="U37" s="1"/>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88"/>
  <c r="G88" s="1"/>
  <c r="F19"/>
  <c r="S19" s="1"/>
  <c r="S14"/>
  <c r="AC13"/>
  <c r="AB33"/>
  <c r="U45" i="39"/>
  <c r="AB44"/>
  <c r="H37"/>
  <c r="AB37" s="1"/>
  <c r="AC37"/>
  <c r="W37"/>
  <c r="F15"/>
  <c r="AA15" s="1"/>
  <c r="H15"/>
  <c r="U15" s="1"/>
  <c r="J15"/>
  <c r="W15" s="1"/>
  <c r="H41"/>
  <c r="W14"/>
  <c r="W8"/>
  <c r="J19" i="40"/>
  <c r="AC19" s="1"/>
  <c r="J50"/>
  <c r="B54" i="72"/>
  <c r="H103" i="9"/>
  <c r="D8" i="53" s="1"/>
  <c r="B16"/>
  <c r="B33" i="72" s="1"/>
  <c r="C7" i="37"/>
  <c r="C7" i="34"/>
  <c r="C7" i="36"/>
  <c r="W35" i="40"/>
  <c r="A118" i="9"/>
  <c r="A4" i="52"/>
  <c r="B41" i="72" s="1"/>
  <c r="J11" i="39"/>
  <c r="W11" s="1"/>
  <c r="F11"/>
  <c r="AA11" s="1"/>
  <c r="A12" i="52"/>
  <c r="B56" i="72" s="1"/>
  <c r="G4" i="4"/>
  <c r="I4"/>
  <c r="K5"/>
  <c r="B47" i="48" s="1"/>
  <c r="A2" i="9"/>
  <c r="N2" i="43"/>
  <c r="F59" s="1"/>
  <c r="AZ20" i="3"/>
  <c r="AZ24"/>
  <c r="AZ28"/>
  <c r="AZ32"/>
  <c r="AZ497"/>
  <c r="BL549"/>
  <c r="AZ494"/>
  <c r="AZ502"/>
  <c r="AZ514"/>
  <c r="AZ522"/>
  <c r="AZ530"/>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BA345"/>
  <c r="BL355"/>
  <c r="G356"/>
  <c r="BL357"/>
  <c r="BA359"/>
  <c r="AZ359"/>
  <c r="BA360"/>
  <c r="BL360"/>
  <c r="G361"/>
  <c r="BA362"/>
  <c r="AZ362" s="1"/>
  <c r="G370"/>
  <c r="BL371"/>
  <c r="G372"/>
  <c r="BL373"/>
  <c r="BA375"/>
  <c r="AZ375" s="1"/>
  <c r="BA376"/>
  <c r="BL376"/>
  <c r="G377"/>
  <c r="BA378"/>
  <c r="AZ378"/>
  <c r="BL378"/>
  <c r="G379"/>
  <c r="BA380"/>
  <c r="G388"/>
  <c r="BL389"/>
  <c r="G390"/>
  <c r="BL391"/>
  <c r="BA393"/>
  <c r="AZ393" s="1"/>
  <c r="BA394"/>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G15"/>
  <c r="BA304"/>
  <c r="AZ304" s="1"/>
  <c r="BA305"/>
  <c r="AZ305" s="1"/>
  <c r="BL305"/>
  <c r="G306"/>
  <c r="G309"/>
  <c r="BL310"/>
  <c r="BA312"/>
  <c r="AZ312"/>
  <c r="BA313"/>
  <c r="BL313"/>
  <c r="AZ313" s="1"/>
  <c r="G314"/>
  <c r="G317"/>
  <c r="BL318"/>
  <c r="BA320"/>
  <c r="AZ320" s="1"/>
  <c r="BA321"/>
  <c r="AZ321" s="1"/>
  <c r="BL321"/>
  <c r="G322"/>
  <c r="G325"/>
  <c r="BL326"/>
  <c r="BA328"/>
  <c r="AZ328"/>
  <c r="BA329"/>
  <c r="BL329"/>
  <c r="AZ329" s="1"/>
  <c r="G330"/>
  <c r="G333"/>
  <c r="BL334"/>
  <c r="BA336"/>
  <c r="AZ336" s="1"/>
  <c r="BA337"/>
  <c r="AZ337" s="1"/>
  <c r="BL337"/>
  <c r="G338"/>
  <c r="G341"/>
  <c r="BA342"/>
  <c r="BL342"/>
  <c r="AZ342"/>
  <c r="BA344"/>
  <c r="BL344"/>
  <c r="AZ344" s="1"/>
  <c r="BA346"/>
  <c r="AZ346" s="1"/>
  <c r="BA347"/>
  <c r="AZ347" s="1"/>
  <c r="BL347"/>
  <c r="G350"/>
  <c r="BA351"/>
  <c r="AZ351"/>
  <c r="BL351"/>
  <c r="G352"/>
  <c r="G354"/>
  <c r="BA355"/>
  <c r="AZ355" s="1"/>
  <c r="BA356"/>
  <c r="BL356"/>
  <c r="G357"/>
  <c r="G360"/>
  <c r="BL361"/>
  <c r="BA363"/>
  <c r="AZ363"/>
  <c r="BA364"/>
  <c r="BL364"/>
  <c r="G365"/>
  <c r="G368"/>
  <c r="BL369"/>
  <c r="BA371"/>
  <c r="AZ371" s="1"/>
  <c r="BA372"/>
  <c r="AZ372" s="1"/>
  <c r="BL372"/>
  <c r="G373"/>
  <c r="G376"/>
  <c r="BL377"/>
  <c r="BL379"/>
  <c r="BA381"/>
  <c r="AZ381"/>
  <c r="BA382"/>
  <c r="BL382"/>
  <c r="G383"/>
  <c r="G386"/>
  <c r="BL387"/>
  <c r="BA389"/>
  <c r="AZ389" s="1"/>
  <c r="BA390"/>
  <c r="BL390"/>
  <c r="G391"/>
  <c r="G394"/>
  <c r="AZ138"/>
  <c r="AZ142"/>
  <c r="AZ146"/>
  <c r="AZ150"/>
  <c r="AZ154"/>
  <c r="AZ158"/>
  <c r="AZ162"/>
  <c r="AZ166"/>
  <c r="AZ170"/>
  <c r="AZ174"/>
  <c r="AZ178"/>
  <c r="AZ182"/>
  <c r="AZ186"/>
  <c r="AZ190"/>
  <c r="AZ194"/>
  <c r="AZ198"/>
  <c r="AZ202"/>
  <c r="AZ206"/>
  <c r="AZ500"/>
  <c r="BA16"/>
  <c r="AZ16" s="1"/>
  <c r="BL303"/>
  <c r="G304"/>
  <c r="BA306"/>
  <c r="AZ306"/>
  <c r="BL307"/>
  <c r="AZ307"/>
  <c r="G308"/>
  <c r="BA310"/>
  <c r="AZ310" s="1"/>
  <c r="BL311"/>
  <c r="AZ311" s="1"/>
  <c r="G312"/>
  <c r="BA314"/>
  <c r="AZ314" s="1"/>
  <c r="BL315"/>
  <c r="AZ315" s="1"/>
  <c r="G316"/>
  <c r="BA318"/>
  <c r="AZ318"/>
  <c r="BL319"/>
  <c r="G320"/>
  <c r="BA322"/>
  <c r="AZ322"/>
  <c r="BL323"/>
  <c r="AZ323"/>
  <c r="G324"/>
  <c r="BA326"/>
  <c r="AZ326" s="1"/>
  <c r="BL327"/>
  <c r="AZ327" s="1"/>
  <c r="G328"/>
  <c r="BA330"/>
  <c r="AZ330" s="1"/>
  <c r="BL331"/>
  <c r="AZ331" s="1"/>
  <c r="G332"/>
  <c r="BA334"/>
  <c r="AZ334"/>
  <c r="BL335"/>
  <c r="G336"/>
  <c r="BA338"/>
  <c r="AZ338"/>
  <c r="BL339"/>
  <c r="AZ339"/>
  <c r="G340"/>
  <c r="BL343"/>
  <c r="G344"/>
  <c r="G348"/>
  <c r="G355"/>
  <c r="AZ209"/>
  <c r="AZ214"/>
  <c r="AZ218"/>
  <c r="AZ222"/>
  <c r="AZ303"/>
  <c r="AZ319"/>
  <c r="AZ335"/>
  <c r="G342"/>
  <c r="BL345"/>
  <c r="AZ345" s="1"/>
  <c r="G346"/>
  <c r="AZ348"/>
  <c r="BL349"/>
  <c r="AZ349"/>
  <c r="BL352"/>
  <c r="G353"/>
  <c r="BA357"/>
  <c r="AZ357"/>
  <c r="BL358"/>
  <c r="AZ358"/>
  <c r="G359"/>
  <c r="BA361"/>
  <c r="AZ361" s="1"/>
  <c r="BL362"/>
  <c r="G363"/>
  <c r="BA365"/>
  <c r="AZ365" s="1"/>
  <c r="BL366"/>
  <c r="AZ366" s="1"/>
  <c r="G367"/>
  <c r="BA369"/>
  <c r="AZ369"/>
  <c r="BL370"/>
  <c r="G371"/>
  <c r="BA373"/>
  <c r="AZ373"/>
  <c r="BL374"/>
  <c r="AZ374"/>
  <c r="G375"/>
  <c r="BA377"/>
  <c r="AZ377" s="1"/>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O5"/>
  <c r="BM5"/>
  <c r="F29" i="6" s="1"/>
  <c r="BJ5" i="3"/>
  <c r="BH5"/>
  <c r="BF5"/>
  <c r="BD5"/>
  <c r="AZ309"/>
  <c r="AZ317"/>
  <c r="AZ325"/>
  <c r="AZ333"/>
  <c r="AZ341"/>
  <c r="BQ5"/>
  <c r="AC5"/>
  <c r="AZ549"/>
  <c r="AZ506"/>
  <c r="AZ496"/>
  <c r="G548"/>
  <c r="G538"/>
  <c r="G520"/>
  <c r="G502"/>
  <c r="BS5"/>
  <c r="BP5"/>
  <c r="BN5"/>
  <c r="AZ343"/>
  <c r="BK5"/>
  <c r="BI5"/>
  <c r="BG5"/>
  <c r="BE5"/>
  <c r="BC5"/>
  <c r="G17"/>
  <c r="BA17"/>
  <c r="BT5"/>
  <c r="AZ350"/>
  <c r="AZ352"/>
  <c r="AZ356"/>
  <c r="AZ360"/>
  <c r="AZ364"/>
  <c r="AZ368"/>
  <c r="BA15"/>
  <c r="AZ15" s="1"/>
  <c r="BB5"/>
  <c r="BR5"/>
  <c r="AZ380"/>
  <c r="AZ384"/>
  <c r="AZ388"/>
  <c r="AZ392"/>
  <c r="AZ396"/>
  <c r="AZ394"/>
  <c r="AZ499"/>
  <c r="AZ509"/>
  <c r="G509"/>
  <c r="BL493"/>
  <c r="AZ491"/>
  <c r="AZ376"/>
  <c r="AZ390"/>
  <c r="AZ382"/>
  <c r="AZ493"/>
  <c r="U36" i="40"/>
  <c r="N4" i="43"/>
  <c r="F36"/>
  <c r="F81"/>
  <c r="H83" s="1"/>
  <c r="H113"/>
  <c r="F48"/>
  <c r="H52" s="1"/>
  <c r="N7"/>
  <c r="F70"/>
  <c r="H73" s="1"/>
  <c r="M6"/>
  <c r="M11"/>
  <c r="E17"/>
  <c r="F39"/>
  <c r="I17"/>
  <c r="F35"/>
  <c r="J17"/>
  <c r="F6" i="1"/>
  <c r="S14" i="35"/>
  <c r="G8" i="1"/>
  <c r="G9"/>
  <c r="G10"/>
  <c r="F48" i="9"/>
  <c r="O52" s="1"/>
  <c r="AZ563" i="3"/>
  <c r="AZ501"/>
  <c r="W37" i="37"/>
  <c r="W44" i="34"/>
  <c r="AC44"/>
  <c r="S15" i="37"/>
  <c r="U13"/>
  <c r="U12" i="40"/>
  <c r="AA12"/>
  <c r="J37" i="33"/>
  <c r="W37" s="1"/>
  <c r="AC17" i="34"/>
  <c r="F106" i="33"/>
  <c r="G106" s="1"/>
  <c r="H106" s="1"/>
  <c r="I106" s="1"/>
  <c r="J106" s="1"/>
  <c r="K106" s="1"/>
  <c r="L106" s="1"/>
  <c r="M106" s="1"/>
  <c r="J34"/>
  <c r="W34" s="1"/>
  <c r="F33" i="34"/>
  <c r="S33" s="1"/>
  <c r="W12" i="36"/>
  <c r="AC12"/>
  <c r="H20"/>
  <c r="U20" s="1"/>
  <c r="J20"/>
  <c r="W20" s="1"/>
  <c r="W24"/>
  <c r="J27"/>
  <c r="W27" s="1"/>
  <c r="AB25" i="37"/>
  <c r="AC33" i="40"/>
  <c r="F111"/>
  <c r="G111"/>
  <c r="H111" s="1"/>
  <c r="I111" s="1"/>
  <c r="J111" s="1"/>
  <c r="K111" s="1"/>
  <c r="L111" s="1"/>
  <c r="M111" s="1"/>
  <c r="H35"/>
  <c r="AB35" s="1"/>
  <c r="AC29" i="35"/>
  <c r="W29"/>
  <c r="H35" i="37"/>
  <c r="U35" s="1"/>
  <c r="AC14" i="35"/>
  <c r="H20"/>
  <c r="U20" s="1"/>
  <c r="F20"/>
  <c r="AA20" s="1"/>
  <c r="AB23"/>
  <c r="AB29" i="36"/>
  <c r="U29"/>
  <c r="H32" i="37"/>
  <c r="AB32" s="1"/>
  <c r="F96"/>
  <c r="H27" i="40"/>
  <c r="U27" s="1"/>
  <c r="J27"/>
  <c r="AC27" s="1"/>
  <c r="F27"/>
  <c r="S27" s="1"/>
  <c r="J30"/>
  <c r="AC30" s="1"/>
  <c r="F30"/>
  <c r="AA30" s="1"/>
  <c r="AC21"/>
  <c r="S11"/>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74"/>
  <c r="H50"/>
  <c r="H49"/>
  <c r="H48"/>
  <c r="I20"/>
  <c r="F23" i="39"/>
  <c r="AA23" s="1"/>
  <c r="H27" i="36"/>
  <c r="U27" s="1"/>
  <c r="F27"/>
  <c r="AA27" s="1"/>
  <c r="H33" i="34"/>
  <c r="U33" s="1"/>
  <c r="F32" i="37"/>
  <c r="AA32" s="1"/>
  <c r="G96"/>
  <c r="H96"/>
  <c r="I96" s="1"/>
  <c r="J96" s="1"/>
  <c r="K96" s="1"/>
  <c r="L96" s="1"/>
  <c r="M96" s="1"/>
  <c r="F20" i="36"/>
  <c r="AA20" s="1"/>
  <c r="J33" i="34"/>
  <c r="AC33" s="1"/>
  <c r="H23" i="39"/>
  <c r="U23" s="1"/>
  <c r="D48" i="9"/>
  <c r="M52" s="1"/>
  <c r="H86" i="43"/>
  <c r="H82"/>
  <c r="H87"/>
  <c r="K9" i="1"/>
  <c r="M9" s="1"/>
  <c r="O9" s="1"/>
  <c r="P9" s="1"/>
  <c r="AE9"/>
  <c r="U10" i="21" l="1"/>
  <c r="H43"/>
  <c r="AB43" s="1"/>
  <c r="J43"/>
  <c r="AC43" s="1"/>
  <c r="S42"/>
  <c r="F81"/>
  <c r="G81" s="1"/>
  <c r="H19"/>
  <c r="U34"/>
  <c r="AB38"/>
  <c r="U35"/>
  <c r="AC35"/>
  <c r="S34"/>
  <c r="F27"/>
  <c r="AA27" s="1"/>
  <c r="J31"/>
  <c r="AC31" s="1"/>
  <c r="H25" i="39"/>
  <c r="AB25" s="1"/>
  <c r="J25"/>
  <c r="F25"/>
  <c r="AA25" s="1"/>
  <c r="S42"/>
  <c r="S40"/>
  <c r="U40"/>
  <c r="AB34"/>
  <c r="U36"/>
  <c r="S34"/>
  <c r="W44"/>
  <c r="AC43"/>
  <c r="AA41"/>
  <c r="S31"/>
  <c r="W27"/>
  <c r="W23"/>
  <c r="U17"/>
  <c r="AC11"/>
  <c r="S11"/>
  <c r="W9"/>
  <c r="U9"/>
  <c r="M8" i="1"/>
  <c r="O8" s="1"/>
  <c r="P8" s="1"/>
  <c r="AP8"/>
  <c r="G28" i="6"/>
  <c r="G30" s="1"/>
  <c r="G31" s="1"/>
  <c r="I4"/>
  <c r="G3" i="43" s="1"/>
  <c r="F101" s="1"/>
  <c r="G14" i="3"/>
  <c r="E8" i="6"/>
  <c r="F27" s="1"/>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W12" i="33"/>
  <c r="AC12"/>
  <c r="AA32" i="36"/>
  <c r="S32"/>
  <c r="AZ551" i="3"/>
  <c r="AZ550"/>
  <c r="AZ408"/>
  <c r="AZ437"/>
  <c r="AZ441"/>
  <c r="AZ457"/>
  <c r="AZ473"/>
  <c r="AZ490"/>
  <c r="AA39" i="34"/>
  <c r="F28" i="6"/>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AQ12" s="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B41" i="1"/>
  <c r="F53" i="9" s="1"/>
  <c r="S22" i="31"/>
  <c r="J100" i="43"/>
  <c r="AB37" i="40"/>
  <c r="S35"/>
  <c r="U35"/>
  <c r="AC36"/>
  <c r="W38"/>
  <c r="AA32"/>
  <c r="S17"/>
  <c r="S23"/>
  <c r="AC17"/>
  <c r="AC15"/>
  <c r="AB27"/>
  <c r="S30"/>
  <c r="AA19"/>
  <c r="S28"/>
  <c r="AA27"/>
  <c r="U21"/>
  <c r="AB19"/>
  <c r="W42" i="39"/>
  <c r="U37"/>
  <c r="W39"/>
  <c r="S43"/>
  <c r="S37"/>
  <c r="U35"/>
  <c r="F32"/>
  <c r="F107"/>
  <c r="G107" s="1"/>
  <c r="AB27"/>
  <c r="U31"/>
  <c r="J21"/>
  <c r="F21"/>
  <c r="G95"/>
  <c r="H21"/>
  <c r="W19"/>
  <c r="U19"/>
  <c r="S17"/>
  <c r="AC15"/>
  <c r="S15"/>
  <c r="AB15"/>
  <c r="AA12"/>
  <c r="S9"/>
  <c r="U14"/>
  <c r="AC13"/>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36" i="21"/>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BA5" s="1"/>
  <c r="E27" i="6" s="1"/>
  <c r="E10"/>
  <c r="E11"/>
  <c r="E61" i="39" s="1"/>
  <c r="BL17" i="3"/>
  <c r="AZ17" s="1"/>
  <c r="BL13"/>
  <c r="E65" i="39"/>
  <c r="J56" i="9"/>
  <c r="J57" s="1"/>
  <c r="A24" i="51"/>
  <c r="B18" i="72" s="1"/>
  <c r="U29" i="34"/>
  <c r="E14" i="6"/>
  <c r="E64" i="39" s="1"/>
  <c r="E5" i="6"/>
  <c r="D9" i="11" s="1"/>
  <c r="C9" s="1"/>
  <c r="P10" i="1"/>
  <c r="H22" i="43"/>
  <c r="M101"/>
  <c r="M109" s="1"/>
  <c r="E101"/>
  <c r="E32" i="6"/>
  <c r="G1" i="68"/>
  <c r="K1" i="12"/>
  <c r="F30" i="6"/>
  <c r="F31" s="1"/>
  <c r="E28"/>
  <c r="E57" i="40"/>
  <c r="T12" i="1"/>
  <c r="T10"/>
  <c r="E19" i="69"/>
  <c r="E19" i="68"/>
  <c r="E19" i="11"/>
  <c r="E1" i="73"/>
  <c r="K1" s="1"/>
  <c r="G41" i="69"/>
  <c r="G22"/>
  <c r="G41" i="68"/>
  <c r="G22"/>
  <c r="G27" i="12"/>
  <c r="G26"/>
  <c r="G41" i="11"/>
  <c r="G22"/>
  <c r="G25" i="12"/>
  <c r="C100" i="43"/>
  <c r="E11"/>
  <c r="E10"/>
  <c r="E9"/>
  <c r="E8"/>
  <c r="C7" s="1"/>
  <c r="E81"/>
  <c r="B79" s="1"/>
  <c r="AH11"/>
  <c r="AH13" s="1"/>
  <c r="AD11"/>
  <c r="AD13" s="1"/>
  <c r="S5"/>
  <c r="AI11"/>
  <c r="AI13" s="1"/>
  <c r="AG11"/>
  <c r="AG13" s="1"/>
  <c r="Y11"/>
  <c r="Y13"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58" s="1"/>
  <c r="D58" s="1"/>
  <c r="E58" s="1"/>
  <c r="F58" s="1"/>
  <c r="G58" s="1"/>
  <c r="H58" s="1"/>
  <c r="I58" s="1"/>
  <c r="J58" s="1"/>
  <c r="K58" s="1"/>
  <c r="L58" s="1"/>
  <c r="M58" s="1"/>
  <c r="N58" s="1"/>
  <c r="O58" s="1"/>
  <c r="C7" i="21"/>
  <c r="C58" s="1"/>
  <c r="D58" s="1"/>
  <c r="C7" i="40"/>
  <c r="C63" s="1"/>
  <c r="M47" i="9"/>
  <c r="G19" i="43"/>
  <c r="M20" s="1"/>
  <c r="T35" i="4"/>
  <c r="A19" i="51" s="1"/>
  <c r="B14" i="72" s="1"/>
  <c r="C46" i="36"/>
  <c r="D46" s="1"/>
  <c r="E46" s="1"/>
  <c r="C59" i="34"/>
  <c r="D59" s="1"/>
  <c r="C52" i="37"/>
  <c r="D52" s="1"/>
  <c r="A4" i="51"/>
  <c r="B6" i="72" s="1"/>
  <c r="C48" i="35"/>
  <c r="D48" s="1"/>
  <c r="C94" i="9"/>
  <c r="C92"/>
  <c r="H62" i="43"/>
  <c r="H66"/>
  <c r="H61"/>
  <c r="H65"/>
  <c r="H60"/>
  <c r="H64"/>
  <c r="H59"/>
  <c r="H63"/>
  <c r="H67"/>
  <c r="H55"/>
  <c r="H51"/>
  <c r="H56"/>
  <c r="H76"/>
  <c r="H72"/>
  <c r="H77"/>
  <c r="E62" i="39"/>
  <c r="E56"/>
  <c r="E51" i="40"/>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B8"/>
  <c r="E4"/>
  <c r="E11"/>
  <c r="F8" i="67"/>
  <c r="F43"/>
  <c r="F16"/>
  <c r="M22"/>
  <c r="F38" i="15"/>
  <c r="L47" i="67"/>
  <c r="F40"/>
  <c r="F8" i="15"/>
  <c r="L48" i="67"/>
  <c r="F42"/>
  <c r="C76" i="15"/>
  <c r="M23"/>
  <c r="M6"/>
  <c r="L47"/>
  <c r="F9"/>
  <c r="F6" i="67"/>
  <c r="F43" i="15"/>
  <c r="M29"/>
  <c r="C76" i="67"/>
  <c r="J15"/>
  <c r="M8"/>
  <c r="M28"/>
  <c r="F6" i="15"/>
  <c r="L48"/>
  <c r="M28"/>
  <c r="M6" i="67"/>
  <c r="F7" i="15"/>
  <c r="F13" i="67"/>
  <c r="F37" i="15"/>
  <c r="F7" i="67"/>
  <c r="M29"/>
  <c r="F42" i="15"/>
  <c r="J15"/>
  <c r="M24"/>
  <c r="M26"/>
  <c r="M9" i="67"/>
  <c r="F36"/>
  <c r="M24"/>
  <c r="F9"/>
  <c r="M23"/>
  <c r="M22" i="15"/>
  <c r="F13"/>
  <c r="F38" i="67"/>
  <c r="F26"/>
  <c r="M26"/>
  <c r="F40" i="15"/>
  <c r="F26"/>
  <c r="M9"/>
  <c r="F16"/>
  <c r="F37" i="67"/>
  <c r="F36" i="15"/>
  <c r="M8"/>
  <c r="G1" i="73"/>
  <c r="W43" i="21" l="1"/>
  <c r="U43"/>
  <c r="U19"/>
  <c r="AB19"/>
  <c r="S25" i="39"/>
  <c r="W17" i="21"/>
  <c r="AC15"/>
  <c r="U25" i="39"/>
  <c r="AA11" i="43"/>
  <c r="AA13" s="1"/>
  <c r="AB11"/>
  <c r="AB13" s="1"/>
  <c r="D101"/>
  <c r="D109" s="1"/>
  <c r="AC11"/>
  <c r="AC13" s="1"/>
  <c r="Z11"/>
  <c r="Z13" s="1"/>
  <c r="AJ11"/>
  <c r="AJ13" s="1"/>
  <c r="G22"/>
  <c r="H101"/>
  <c r="AE11"/>
  <c r="AE13" s="1"/>
  <c r="Z7"/>
  <c r="AF11"/>
  <c r="AF13" s="1"/>
  <c r="I101"/>
  <c r="I109" s="1"/>
  <c r="L101"/>
  <c r="L109" s="1"/>
  <c r="U12" i="39"/>
  <c r="AR12" i="1"/>
  <c r="J101" i="43"/>
  <c r="N101"/>
  <c r="K101"/>
  <c r="G101"/>
  <c r="F104"/>
  <c r="F107"/>
  <c r="F105"/>
  <c r="F106"/>
  <c r="F103"/>
  <c r="F109"/>
  <c r="F102"/>
  <c r="N104" i="46"/>
  <c r="E22" i="43"/>
  <c r="B113"/>
  <c r="D115" s="1"/>
  <c r="E115" s="1"/>
  <c r="F115" s="1"/>
  <c r="G115" s="1"/>
  <c r="H115" s="1"/>
  <c r="C101"/>
  <c r="L19" i="6"/>
  <c r="L21"/>
  <c r="L20"/>
  <c r="E56" i="40"/>
  <c r="D22" i="43"/>
  <c r="C4" i="4"/>
  <c r="B4" i="62" s="1"/>
  <c r="B71" i="72" s="1"/>
  <c r="AR10" i="1"/>
  <c r="E4" i="4"/>
  <c r="L58" i="67"/>
  <c r="L58" i="15"/>
  <c r="Q73" s="1"/>
  <c r="N59" i="67"/>
  <c r="L59" s="1"/>
  <c r="J53"/>
  <c r="I54"/>
  <c r="N59" i="15"/>
  <c r="I54"/>
  <c r="AQ13" i="1"/>
  <c r="AZ13" i="3"/>
  <c r="AZ5" s="1"/>
  <c r="M6" i="1"/>
  <c r="O6" s="1"/>
  <c r="P6" s="1"/>
  <c r="F30" i="68"/>
  <c r="C30" s="1"/>
  <c r="F30" i="11"/>
  <c r="C48" s="1"/>
  <c r="F28" i="67"/>
  <c r="C28" s="1"/>
  <c r="F31" i="12"/>
  <c r="F52" i="9"/>
  <c r="M18" i="67"/>
  <c r="F32"/>
  <c r="F60" s="1"/>
  <c r="F30" i="69"/>
  <c r="C48" s="1"/>
  <c r="F32" i="15"/>
  <c r="F60" s="1"/>
  <c r="M18"/>
  <c r="F28"/>
  <c r="C28" s="1"/>
  <c r="E63" i="39"/>
  <c r="E66" s="1"/>
  <c r="T11" i="1"/>
  <c r="D9" i="69"/>
  <c r="C9" s="1"/>
  <c r="AQ9" i="1"/>
  <c r="AR11"/>
  <c r="E59" i="40"/>
  <c r="D68" i="39"/>
  <c r="D70" s="1"/>
  <c r="E30" i="6"/>
  <c r="E31" s="1"/>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D9" i="68"/>
  <c r="C9" s="1"/>
  <c r="K20" i="6"/>
  <c r="S7" i="1" s="1"/>
  <c r="E7" i="70"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S6" i="43"/>
  <c r="C23"/>
  <c r="C21" s="1"/>
  <c r="S4"/>
  <c r="S3"/>
  <c r="S7"/>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K24" i="6"/>
  <c r="M24" s="1"/>
  <c r="I24" s="1"/>
  <c r="S24" s="1"/>
  <c r="K14" i="1"/>
  <c r="M14" s="1"/>
  <c r="O14" s="1"/>
  <c r="P14" s="1"/>
  <c r="BL5" i="3"/>
  <c r="C19" i="43"/>
  <c r="J59" i="9"/>
  <c r="J61" s="1"/>
  <c r="K21" i="6"/>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M22" s="1"/>
  <c r="I22" s="1"/>
  <c r="S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R22" i="31"/>
  <c r="B21" s="1"/>
  <c r="B40" i="1"/>
  <c r="O19" i="43"/>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C10" i="15"/>
  <c r="L27" i="6"/>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i="67"/>
  <c r="AP7" i="1"/>
  <c r="C36" i="69" s="1"/>
  <c r="M7" i="1"/>
  <c r="O7" s="1"/>
  <c r="Q16"/>
  <c r="F27" i="69" s="1"/>
  <c r="H16" i="1"/>
  <c r="AB45" i="21"/>
  <c r="AC33"/>
  <c r="W33"/>
  <c r="S33"/>
  <c r="AA33"/>
  <c r="W32"/>
  <c r="AC32"/>
  <c r="AB9"/>
  <c r="U9"/>
  <c r="AA32"/>
  <c r="S32"/>
  <c r="W9"/>
  <c r="AC9"/>
  <c r="AB32"/>
  <c r="U32"/>
  <c r="AA10"/>
  <c r="S10"/>
  <c r="D19" i="12"/>
  <c r="M17" i="15"/>
  <c r="F59" i="67"/>
  <c r="M17"/>
  <c r="F31" i="15"/>
  <c r="F59"/>
  <c r="F31" i="67"/>
  <c r="C16" i="15"/>
  <c r="C17"/>
  <c r="C16" i="67"/>
  <c r="C19" i="12" l="1"/>
  <c r="C30" i="69"/>
  <c r="C48" i="68"/>
  <c r="I115" i="43"/>
  <c r="J115" s="1"/>
  <c r="K115" s="1"/>
  <c r="L115" s="1"/>
  <c r="M115" s="1"/>
  <c r="I117"/>
  <c r="J117" s="1"/>
  <c r="K117" s="1"/>
  <c r="L117" s="1"/>
  <c r="M117" s="1"/>
  <c r="J104"/>
  <c r="J105"/>
  <c r="J103"/>
  <c r="J107"/>
  <c r="J106"/>
  <c r="J102"/>
  <c r="J109"/>
  <c r="N102"/>
  <c r="N103"/>
  <c r="N104"/>
  <c r="N105"/>
  <c r="N107"/>
  <c r="N106"/>
  <c r="N109"/>
  <c r="K103"/>
  <c r="K104"/>
  <c r="K102"/>
  <c r="K105"/>
  <c r="K107"/>
  <c r="K106"/>
  <c r="K109"/>
  <c r="G105"/>
  <c r="G109"/>
  <c r="G104"/>
  <c r="G103"/>
  <c r="G102"/>
  <c r="G107"/>
  <c r="G106"/>
  <c r="G118"/>
  <c r="H118" s="1"/>
  <c r="B115"/>
  <c r="C115" s="1"/>
  <c r="I118"/>
  <c r="J118" s="1"/>
  <c r="K118" s="1"/>
  <c r="L118" s="1"/>
  <c r="M118" s="1"/>
  <c r="D117"/>
  <c r="E117" s="1"/>
  <c r="F117" s="1"/>
  <c r="G117" s="1"/>
  <c r="H117" s="1"/>
  <c r="B116"/>
  <c r="C116" s="1"/>
  <c r="I116"/>
  <c r="J116" s="1"/>
  <c r="K116" s="1"/>
  <c r="L116" s="1"/>
  <c r="M116" s="1"/>
  <c r="B118"/>
  <c r="C118" s="1"/>
  <c r="D116"/>
  <c r="E116" s="1"/>
  <c r="F116" s="1"/>
  <c r="G116" s="1"/>
  <c r="H116" s="1"/>
  <c r="B117"/>
  <c r="C117" s="1"/>
  <c r="C104"/>
  <c r="C105"/>
  <c r="C106"/>
  <c r="C107"/>
  <c r="C102"/>
  <c r="S2" s="1"/>
  <c r="T2" s="1"/>
  <c r="V2" s="1"/>
  <c r="C103"/>
  <c r="C109"/>
  <c r="D118"/>
  <c r="E118" s="1"/>
  <c r="F118" s="1"/>
  <c r="M21" i="6"/>
  <c r="I21" s="1"/>
  <c r="S21" s="1"/>
  <c r="S8" i="1"/>
  <c r="K16"/>
  <c r="AQ7"/>
  <c r="M20" i="6"/>
  <c r="I20" s="1"/>
  <c r="S20" s="1"/>
  <c r="K4" i="4"/>
  <c r="B46" i="48" s="1"/>
  <c r="B4" i="72" s="1"/>
  <c r="M19" i="6"/>
  <c r="I19" s="1"/>
  <c r="AY6" i="3"/>
  <c r="AY83" s="1"/>
  <c r="E3" i="6"/>
  <c r="D37" i="11" s="1"/>
  <c r="AR6" i="1"/>
  <c r="B5" i="62"/>
  <c r="B73" i="72" s="1"/>
  <c r="T7" i="1"/>
  <c r="AR7"/>
  <c r="C30" i="11"/>
  <c r="E6" i="70"/>
  <c r="K27" i="6"/>
  <c r="A18" i="62"/>
  <c r="B64" i="72" s="1"/>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AY416" i="3"/>
  <c r="C47" i="69"/>
  <c r="D45" s="1"/>
  <c r="C29"/>
  <c r="D27" s="1"/>
  <c r="F27" i="68"/>
  <c r="P7" i="1"/>
  <c r="O16"/>
  <c r="C38" i="43"/>
  <c r="G38" s="1"/>
  <c r="I38" s="1"/>
  <c r="F24" i="15"/>
  <c r="C24" s="1"/>
  <c r="F22" i="11"/>
  <c r="F25" i="12"/>
  <c r="F22" i="69"/>
  <c r="F24" i="67"/>
  <c r="C24" s="1"/>
  <c r="F22" i="68"/>
  <c r="C29" i="43"/>
  <c r="T11"/>
  <c r="V11" s="1"/>
  <c r="T16"/>
  <c r="V16" s="1"/>
  <c r="T14"/>
  <c r="V14" s="1"/>
  <c r="T12"/>
  <c r="V12" s="1"/>
  <c r="T9"/>
  <c r="V9" s="1"/>
  <c r="T3"/>
  <c r="V3" s="1"/>
  <c r="T7"/>
  <c r="V7" s="1"/>
  <c r="T8"/>
  <c r="V8" s="1"/>
  <c r="T15"/>
  <c r="V15" s="1"/>
  <c r="T13"/>
  <c r="V13" s="1"/>
  <c r="T10"/>
  <c r="V10" s="1"/>
  <c r="T5"/>
  <c r="V5" s="1"/>
  <c r="T6"/>
  <c r="V6" s="1"/>
  <c r="T4"/>
  <c r="V4" s="1"/>
  <c r="C39"/>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H10" i="39"/>
  <c r="J10"/>
  <c r="C49" i="15"/>
  <c r="Q60"/>
  <c r="M16" i="1"/>
  <c r="N16" s="1"/>
  <c r="B21" s="1"/>
  <c r="Q60" i="67"/>
  <c r="Q73"/>
  <c r="F27" i="11"/>
  <c r="Q61" i="67"/>
  <c r="Q74"/>
  <c r="C49"/>
  <c r="F1"/>
  <c r="Q52"/>
  <c r="F28" i="12"/>
  <c r="B23" i="1" l="1"/>
  <c r="B24"/>
  <c r="C29" i="68"/>
  <c r="D27" s="1"/>
  <c r="C29" i="12"/>
  <c r="D28" s="1"/>
  <c r="D19" i="11"/>
  <c r="C19" s="1"/>
  <c r="C20" s="1"/>
  <c r="C25" s="1"/>
  <c r="E6" i="6"/>
  <c r="D113" i="43"/>
  <c r="J22" s="1"/>
  <c r="AY291" i="3"/>
  <c r="AY545"/>
  <c r="AY400"/>
  <c r="AY62"/>
  <c r="AY238"/>
  <c r="M27" i="6"/>
  <c r="AY119" i="3"/>
  <c r="AY572"/>
  <c r="AY363"/>
  <c r="AY293"/>
  <c r="AY543"/>
  <c r="AY412"/>
  <c r="AY498"/>
  <c r="AY367"/>
  <c r="AY408"/>
  <c r="AY396"/>
  <c r="AY121"/>
  <c r="AY557"/>
  <c r="D3" i="37"/>
  <c r="AY351" i="3"/>
  <c r="AY107"/>
  <c r="AY320"/>
  <c r="AY370"/>
  <c r="AY105"/>
  <c r="AY196"/>
  <c r="BC6"/>
  <c r="AY306"/>
  <c r="AY256"/>
  <c r="AY200"/>
  <c r="AY301"/>
  <c r="AY434"/>
  <c r="AY81"/>
  <c r="AY483"/>
  <c r="AY368"/>
  <c r="AY52"/>
  <c r="AY229"/>
  <c r="AY74"/>
  <c r="C17" i="4"/>
  <c r="B4" i="52" s="1"/>
  <c r="B43" i="72" s="1"/>
  <c r="AY566" i="3"/>
  <c r="AY477"/>
  <c r="AY240"/>
  <c r="AY164"/>
  <c r="AY359"/>
  <c r="AY538"/>
  <c r="AY153"/>
  <c r="AY406"/>
  <c r="AY72"/>
  <c r="AY162"/>
  <c r="AY326"/>
  <c r="AY204"/>
  <c r="AR8" i="1"/>
  <c r="T8"/>
  <c r="AQ8"/>
  <c r="AY568" i="3"/>
  <c r="AY451"/>
  <c r="AY394"/>
  <c r="AY151"/>
  <c r="AY79"/>
  <c r="AY551"/>
  <c r="AY505"/>
  <c r="AY445"/>
  <c r="AY305"/>
  <c r="AY250"/>
  <c r="AY174"/>
  <c r="AY523"/>
  <c r="AY552"/>
  <c r="AY580"/>
  <c r="AY438"/>
  <c r="AY324"/>
  <c r="AY215"/>
  <c r="AY161"/>
  <c r="AY88"/>
  <c r="AY373"/>
  <c r="AY270"/>
  <c r="AY134"/>
  <c r="AY193"/>
  <c r="AY84"/>
  <c r="AY539"/>
  <c r="AY417"/>
  <c r="AY343"/>
  <c r="AY116"/>
  <c r="AY455"/>
  <c r="AY209"/>
  <c r="AY261"/>
  <c r="AY289"/>
  <c r="AY50"/>
  <c r="AY504"/>
  <c r="AY550"/>
  <c r="AY459"/>
  <c r="AY323"/>
  <c r="AY213"/>
  <c r="AY273"/>
  <c r="AY159"/>
  <c r="AY71"/>
  <c r="AY500"/>
  <c r="AY315"/>
  <c r="AY265"/>
  <c r="AY19"/>
  <c r="BP6"/>
  <c r="AY522"/>
  <c r="AY402"/>
  <c r="AY479"/>
  <c r="AY361"/>
  <c r="AY113"/>
  <c r="AY64"/>
  <c r="AY532"/>
  <c r="AY536"/>
  <c r="AY419"/>
  <c r="AY480"/>
  <c r="AY341"/>
  <c r="AY275"/>
  <c r="AY29"/>
  <c r="AY507"/>
  <c r="AY227"/>
  <c r="AY286"/>
  <c r="AY173"/>
  <c r="AY20"/>
  <c r="AY100"/>
  <c r="AY573"/>
  <c r="AY478"/>
  <c r="AY212"/>
  <c r="AY497"/>
  <c r="AY319"/>
  <c r="AY284"/>
  <c r="AY183"/>
  <c r="AY160"/>
  <c r="AY103"/>
  <c r="BT6"/>
  <c r="AY521"/>
  <c r="AY443"/>
  <c r="AY307"/>
  <c r="AY386"/>
  <c r="AY257"/>
  <c r="AY143"/>
  <c r="AY54"/>
  <c r="AY547"/>
  <c r="AY485"/>
  <c r="AY248"/>
  <c r="AY172"/>
  <c r="AY493"/>
  <c r="AY515"/>
  <c r="AY415"/>
  <c r="AY476"/>
  <c r="AY337"/>
  <c r="AY267"/>
  <c r="AY21"/>
  <c r="AY496"/>
  <c r="AY520"/>
  <c r="AY503"/>
  <c r="AY449"/>
  <c r="AY309"/>
  <c r="AY258"/>
  <c r="AY181"/>
  <c r="BB6"/>
  <c r="AY384"/>
  <c r="AY255"/>
  <c r="AY141"/>
  <c r="AY198"/>
  <c r="AY69"/>
  <c r="AY540"/>
  <c r="AY436"/>
  <c r="AY379"/>
  <c r="AY43"/>
  <c r="AY489"/>
  <c r="AY252"/>
  <c r="AY123"/>
  <c r="AY139"/>
  <c r="AY67"/>
  <c r="D3" i="33"/>
  <c r="L18" i="9"/>
  <c r="AY586" i="3"/>
  <c r="AY511"/>
  <c r="BD6"/>
  <c r="AY429"/>
  <c r="AY448"/>
  <c r="AY490"/>
  <c r="AY338"/>
  <c r="AY354"/>
  <c r="AY391"/>
  <c r="AY224"/>
  <c r="AY241"/>
  <c r="AY277"/>
  <c r="AY128"/>
  <c r="AY148"/>
  <c r="AY184"/>
  <c r="AY38"/>
  <c r="AY55"/>
  <c r="AY91"/>
  <c r="BL6"/>
  <c r="AY560"/>
  <c r="AY558"/>
  <c r="AY437"/>
  <c r="AY456"/>
  <c r="AY469"/>
  <c r="AY346"/>
  <c r="AY362"/>
  <c r="AY378"/>
  <c r="AY232"/>
  <c r="AY249"/>
  <c r="AY285"/>
  <c r="AY135"/>
  <c r="AY156"/>
  <c r="AY192"/>
  <c r="AY46"/>
  <c r="AY63"/>
  <c r="AY99"/>
  <c r="AY578"/>
  <c r="AY570"/>
  <c r="AY542"/>
  <c r="AY565"/>
  <c r="AY524"/>
  <c r="AY14"/>
  <c r="AY506"/>
  <c r="AY407"/>
  <c r="AY439"/>
  <c r="AY426"/>
  <c r="AY458"/>
  <c r="AY468"/>
  <c r="AY471"/>
  <c r="AY312"/>
  <c r="AY344"/>
  <c r="AY329"/>
  <c r="AY364"/>
  <c r="AY380"/>
  <c r="AY234"/>
  <c r="AY251"/>
  <c r="AY287"/>
  <c r="AY137"/>
  <c r="AY158"/>
  <c r="AY194"/>
  <c r="AY48"/>
  <c r="AY65"/>
  <c r="AY101"/>
  <c r="AY582"/>
  <c r="AY494"/>
  <c r="AY501"/>
  <c r="BG6"/>
  <c r="AY495"/>
  <c r="AY571"/>
  <c r="AY534"/>
  <c r="AY585"/>
  <c r="BQ6"/>
  <c r="AY411"/>
  <c r="AY398"/>
  <c r="AY430"/>
  <c r="AY462"/>
  <c r="AY472"/>
  <c r="AY475"/>
  <c r="AY316"/>
  <c r="AY348"/>
  <c r="AY333"/>
  <c r="AY353"/>
  <c r="AY388"/>
  <c r="AY242"/>
  <c r="AY259"/>
  <c r="AY295"/>
  <c r="AY145"/>
  <c r="AY166"/>
  <c r="AY202"/>
  <c r="AY56"/>
  <c r="AY73"/>
  <c r="AY109"/>
  <c r="BH6"/>
  <c r="AY360"/>
  <c r="AY374"/>
  <c r="AY397"/>
  <c r="AY219"/>
  <c r="AY230"/>
  <c r="AY262"/>
  <c r="AY247"/>
  <c r="AY278"/>
  <c r="AY283"/>
  <c r="AY125"/>
  <c r="AY133"/>
  <c r="AY165"/>
  <c r="AY154"/>
  <c r="AY185"/>
  <c r="AY190"/>
  <c r="AY33"/>
  <c r="AY44"/>
  <c r="AY76"/>
  <c r="AY61"/>
  <c r="AY92"/>
  <c r="AY97"/>
  <c r="BE6"/>
  <c r="AY533"/>
  <c r="AY544"/>
  <c r="AY549"/>
  <c r="AY401"/>
  <c r="AY420"/>
  <c r="AY463"/>
  <c r="AY310"/>
  <c r="AY327"/>
  <c r="AY372"/>
  <c r="AY217"/>
  <c r="AY260"/>
  <c r="AY300"/>
  <c r="AY26"/>
  <c r="AY529"/>
  <c r="AY441"/>
  <c r="AY460"/>
  <c r="AY473"/>
  <c r="AY303"/>
  <c r="AY366"/>
  <c r="AY382"/>
  <c r="AY236"/>
  <c r="AY253"/>
  <c r="AY168"/>
  <c r="AY111"/>
  <c r="AY281"/>
  <c r="AY152"/>
  <c r="AY42"/>
  <c r="AY95"/>
  <c r="AY124"/>
  <c r="AY144"/>
  <c r="AY207"/>
  <c r="AY34"/>
  <c r="AY51"/>
  <c r="AY87"/>
  <c r="AY567"/>
  <c r="AY583"/>
  <c r="AY15"/>
  <c r="AY413"/>
  <c r="AY432"/>
  <c r="AY474"/>
  <c r="AY322"/>
  <c r="AY339"/>
  <c r="AY375"/>
  <c r="AY208"/>
  <c r="AY272"/>
  <c r="AY288"/>
  <c r="AY136"/>
  <c r="AY175"/>
  <c r="AY195"/>
  <c r="AY22"/>
  <c r="AY39"/>
  <c r="AY102"/>
  <c r="AY576"/>
  <c r="AY528"/>
  <c r="AY13"/>
  <c r="AY421"/>
  <c r="AY440"/>
  <c r="AY482"/>
  <c r="AY330"/>
  <c r="AY347"/>
  <c r="AY383"/>
  <c r="AY216"/>
  <c r="AY233"/>
  <c r="AY296"/>
  <c r="AY120"/>
  <c r="AY140"/>
  <c r="AY203"/>
  <c r="AY30"/>
  <c r="AY47"/>
  <c r="AY110"/>
  <c r="AY563"/>
  <c r="AY548"/>
  <c r="AY530"/>
  <c r="AY537"/>
  <c r="AY575"/>
  <c r="AY564"/>
  <c r="AY17"/>
  <c r="AY399"/>
  <c r="AY431"/>
  <c r="AY418"/>
  <c r="AY450"/>
  <c r="AY461"/>
  <c r="AY492"/>
  <c r="AY304"/>
  <c r="AY336"/>
  <c r="AY321"/>
  <c r="AY352"/>
  <c r="AY385"/>
  <c r="AY218"/>
  <c r="AY235"/>
  <c r="AY298"/>
  <c r="AY122"/>
  <c r="AY142"/>
  <c r="AY205"/>
  <c r="AY32"/>
  <c r="AY49"/>
  <c r="AY112"/>
  <c r="AY577"/>
  <c r="AY556"/>
  <c r="AY508"/>
  <c r="AY559"/>
  <c r="AY518"/>
  <c r="AY527"/>
  <c r="BN6"/>
  <c r="AY516"/>
  <c r="AY525"/>
  <c r="AY403"/>
  <c r="AY435"/>
  <c r="AY422"/>
  <c r="AY454"/>
  <c r="AY464"/>
  <c r="AY467"/>
  <c r="AY308"/>
  <c r="AY340"/>
  <c r="AY325"/>
  <c r="AY356"/>
  <c r="AY393"/>
  <c r="AY226"/>
  <c r="AY243"/>
  <c r="AY279"/>
  <c r="AY130"/>
  <c r="AY150"/>
  <c r="AY186"/>
  <c r="AY40"/>
  <c r="AY57"/>
  <c r="AY93"/>
  <c r="BI6"/>
  <c r="BS6"/>
  <c r="AY365"/>
  <c r="AY389"/>
  <c r="AY211"/>
  <c r="AY222"/>
  <c r="AY254"/>
  <c r="AY239"/>
  <c r="AY271"/>
  <c r="AY302"/>
  <c r="AY117"/>
  <c r="AY126"/>
  <c r="AY157"/>
  <c r="AY146"/>
  <c r="AY178"/>
  <c r="AY182"/>
  <c r="AY25"/>
  <c r="AY36"/>
  <c r="AY68"/>
  <c r="AY53"/>
  <c r="AY85"/>
  <c r="AY89"/>
  <c r="AY555"/>
  <c r="BO6"/>
  <c r="AY574"/>
  <c r="AY562"/>
  <c r="AY535"/>
  <c r="AY404"/>
  <c r="AY447"/>
  <c r="AY481"/>
  <c r="AY311"/>
  <c r="AY355"/>
  <c r="AY390"/>
  <c r="AY244"/>
  <c r="AY269"/>
  <c r="AY199"/>
  <c r="AY526"/>
  <c r="AY425"/>
  <c r="AY444"/>
  <c r="AY486"/>
  <c r="AY334"/>
  <c r="AY350"/>
  <c r="AY387"/>
  <c r="AY220"/>
  <c r="AY237"/>
  <c r="AY147"/>
  <c r="AY75"/>
  <c r="AY292"/>
  <c r="AY163"/>
  <c r="AY31"/>
  <c r="AY90"/>
  <c r="AY132"/>
  <c r="AY171"/>
  <c r="AY191"/>
  <c r="AY18"/>
  <c r="AY82"/>
  <c r="AY98"/>
  <c r="AY179"/>
  <c r="AY27"/>
  <c r="AY70"/>
  <c r="AY86"/>
  <c r="AY587"/>
  <c r="AY512"/>
  <c r="AY517"/>
  <c r="AY405"/>
  <c r="AY424"/>
  <c r="AY466"/>
  <c r="AY314"/>
  <c r="AY331"/>
  <c r="AY376"/>
  <c r="AY221"/>
  <c r="AY264"/>
  <c r="AY280"/>
  <c r="AY127"/>
  <c r="AY167"/>
  <c r="AY187"/>
  <c r="AY35"/>
  <c r="AY78"/>
  <c r="AY94"/>
  <c r="BA6"/>
  <c r="AY531"/>
  <c r="BR6"/>
  <c r="AY509"/>
  <c r="AY502"/>
  <c r="D3" i="6"/>
  <c r="AY499" i="3"/>
  <c r="AY579"/>
  <c r="AY423"/>
  <c r="AY410"/>
  <c r="AY442"/>
  <c r="AY453"/>
  <c r="AY484"/>
  <c r="AY487"/>
  <c r="AY328"/>
  <c r="AY313"/>
  <c r="AY345"/>
  <c r="AY369"/>
  <c r="AY223"/>
  <c r="AY266"/>
  <c r="AY282"/>
  <c r="AY129"/>
  <c r="AY169"/>
  <c r="AY189"/>
  <c r="AY37"/>
  <c r="AY80"/>
  <c r="AY96"/>
  <c r="AY519"/>
  <c r="AY514"/>
  <c r="AY584"/>
  <c r="AY16"/>
  <c r="AY510"/>
  <c r="AY546"/>
  <c r="BF6"/>
  <c r="AY561"/>
  <c r="BM6"/>
  <c r="AY581"/>
  <c r="AY427"/>
  <c r="AY414"/>
  <c r="AY446"/>
  <c r="AY457"/>
  <c r="AY488"/>
  <c r="AY491"/>
  <c r="AY332"/>
  <c r="AY317"/>
  <c r="AY349"/>
  <c r="AY377"/>
  <c r="AY210"/>
  <c r="AY274"/>
  <c r="AY290"/>
  <c r="AY114"/>
  <c r="AY177"/>
  <c r="AY197"/>
  <c r="AY24"/>
  <c r="AY41"/>
  <c r="AY104"/>
  <c r="BJ6"/>
  <c r="AY554"/>
  <c r="AY357"/>
  <c r="AY381"/>
  <c r="AY392"/>
  <c r="AY214"/>
  <c r="AY246"/>
  <c r="AY231"/>
  <c r="AY263"/>
  <c r="AY294"/>
  <c r="AY299"/>
  <c r="AY118"/>
  <c r="AY149"/>
  <c r="AY138"/>
  <c r="AY170"/>
  <c r="AY201"/>
  <c r="AY206"/>
  <c r="AY28"/>
  <c r="AY60"/>
  <c r="AY45"/>
  <c r="AY77"/>
  <c r="AY108"/>
  <c r="AY553"/>
  <c r="AY541"/>
  <c r="AY569"/>
  <c r="BK6"/>
  <c r="AY513"/>
  <c r="AY433"/>
  <c r="AY452"/>
  <c r="AY465"/>
  <c r="AY342"/>
  <c r="AY358"/>
  <c r="AY395"/>
  <c r="AY228"/>
  <c r="AY245"/>
  <c r="AY180"/>
  <c r="AY106"/>
  <c r="AY409"/>
  <c r="AY428"/>
  <c r="AY470"/>
  <c r="AY318"/>
  <c r="AY335"/>
  <c r="AY371"/>
  <c r="AY225"/>
  <c r="AY268"/>
  <c r="AY297"/>
  <c r="AY58"/>
  <c r="AY276"/>
  <c r="AY131"/>
  <c r="AY188"/>
  <c r="AY59"/>
  <c r="AY115"/>
  <c r="AY155"/>
  <c r="AY176"/>
  <c r="AY23"/>
  <c r="AY66"/>
  <c r="D3" i="34"/>
  <c r="D3" i="21"/>
  <c r="M18" i="9"/>
  <c r="B118" s="1"/>
  <c r="B14" i="74" s="1"/>
  <c r="B1" s="1"/>
  <c r="E37" i="43"/>
  <c r="AA7" i="36"/>
  <c r="R36" s="1"/>
  <c r="E36" s="1"/>
  <c r="E40" s="1"/>
  <c r="F40" s="1"/>
  <c r="AC11" i="37"/>
  <c r="W11"/>
  <c r="AB7"/>
  <c r="T42" s="1"/>
  <c r="G42" s="1"/>
  <c r="G46" s="1"/>
  <c r="H46" s="1"/>
  <c r="W11" i="34"/>
  <c r="AC11"/>
  <c r="J5" i="67"/>
  <c r="J5" i="15"/>
  <c r="H20" i="6"/>
  <c r="AB7" i="36"/>
  <c r="T36" s="1"/>
  <c r="C38" i="15"/>
  <c r="E38" i="43"/>
  <c r="E6" i="3"/>
  <c r="C47" i="68"/>
  <c r="D45" s="1"/>
  <c r="AA10" i="39"/>
  <c r="D10" i="68"/>
  <c r="D10" i="11"/>
  <c r="C10" s="1"/>
  <c r="M19" i="9"/>
  <c r="C118" s="1"/>
  <c r="C14" i="74" s="1"/>
  <c r="B2" s="1"/>
  <c r="D19" i="6"/>
  <c r="D25"/>
  <c r="D26"/>
  <c r="D15"/>
  <c r="C18" i="4"/>
  <c r="D22" i="6"/>
  <c r="D8"/>
  <c r="D21"/>
  <c r="D23"/>
  <c r="D24"/>
  <c r="D14"/>
  <c r="D20"/>
  <c r="D5"/>
  <c r="D6"/>
  <c r="D12"/>
  <c r="D9"/>
  <c r="D11"/>
  <c r="D10"/>
  <c r="D13"/>
  <c r="L19" i="9"/>
  <c r="D28" i="6"/>
  <c r="D29"/>
  <c r="E61" i="40"/>
  <c r="H25" i="6"/>
  <c r="R25" s="1"/>
  <c r="H22"/>
  <c r="H23"/>
  <c r="H21"/>
  <c r="H26"/>
  <c r="H24"/>
  <c r="P16" i="1"/>
  <c r="C26" i="12"/>
  <c r="D25" s="1"/>
  <c r="F34" i="11"/>
  <c r="C37" s="1"/>
  <c r="F34" i="68"/>
  <c r="C36" s="1"/>
  <c r="AC10" i="40"/>
  <c r="C26" i="68"/>
  <c r="D22" s="1"/>
  <c r="C44"/>
  <c r="D41" s="1"/>
  <c r="C26" i="69"/>
  <c r="D22" s="1"/>
  <c r="C44"/>
  <c r="D41" s="1"/>
  <c r="C26" i="11"/>
  <c r="D22" s="1"/>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F63" i="40"/>
  <c r="E65"/>
  <c r="E70" i="39"/>
  <c r="F70"/>
  <c r="S10" i="40"/>
  <c r="C38" i="67"/>
  <c r="H19" i="6"/>
  <c r="S19"/>
  <c r="S27" s="1"/>
  <c r="I27"/>
  <c r="W10" i="39"/>
  <c r="AC10"/>
  <c r="U10"/>
  <c r="AB10"/>
  <c r="F50" i="11"/>
  <c r="F50" i="69"/>
  <c r="F50" i="68"/>
  <c r="C47" i="11"/>
  <c r="D45" s="1"/>
  <c r="C29"/>
  <c r="D27" s="1"/>
  <c r="L16" i="1"/>
  <c r="C34" i="11"/>
  <c r="D14" i="12"/>
  <c r="D20"/>
  <c r="C11"/>
  <c r="C13"/>
  <c r="F11"/>
  <c r="M59" i="67" l="1"/>
  <c r="J53" i="15"/>
  <c r="M59"/>
  <c r="L59" s="1"/>
  <c r="C20" i="12"/>
  <c r="D17"/>
  <c r="C17" s="1"/>
  <c r="C28" i="11"/>
  <c r="C27" s="1"/>
  <c r="C24"/>
  <c r="C22" s="1"/>
  <c r="R20" i="6"/>
  <c r="R7" i="1"/>
  <c r="AA7" i="34"/>
  <c r="R49" s="1"/>
  <c r="C36" i="11"/>
  <c r="J24" i="67"/>
  <c r="J18"/>
  <c r="J24" i="15"/>
  <c r="J18"/>
  <c r="G36" i="36"/>
  <c r="R37"/>
  <c r="AB7" i="34"/>
  <c r="T49" s="1"/>
  <c r="G49" s="1"/>
  <c r="G53" s="1"/>
  <c r="H53" s="1"/>
  <c r="W7" i="21"/>
  <c r="AA7"/>
  <c r="R48" s="1"/>
  <c r="E48" s="1"/>
  <c r="E52" s="1"/>
  <c r="F52" s="1"/>
  <c r="R26" i="6"/>
  <c r="R23"/>
  <c r="R24"/>
  <c r="R21"/>
  <c r="R8" i="1" s="1"/>
  <c r="R22" i="6"/>
  <c r="D30"/>
  <c r="D16"/>
  <c r="A7" i="51"/>
  <c r="B7" i="72" s="1"/>
  <c r="C4" i="52"/>
  <c r="B45" i="72" s="1"/>
  <c r="A10" i="51"/>
  <c r="B9" i="72" s="1"/>
  <c r="D27" i="6"/>
  <c r="D19" i="68"/>
  <c r="C10"/>
  <c r="B29" i="1" s="1"/>
  <c r="C8" i="68" s="1"/>
  <c r="C12" i="12"/>
  <c r="C15"/>
  <c r="C34" i="68"/>
  <c r="U7" i="2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E6" i="76"/>
  <c r="C18" i="12" l="1"/>
  <c r="L56" i="15"/>
  <c r="Q52"/>
  <c r="F1"/>
  <c r="Q74"/>
  <c r="Q61"/>
  <c r="C31" i="11"/>
  <c r="D31" i="6"/>
  <c r="I6" s="1"/>
  <c r="E2" i="76"/>
  <c r="B2" i="43"/>
  <c r="R49" i="21"/>
  <c r="C48" s="1"/>
  <c r="G54" i="34"/>
  <c r="H54" s="1"/>
  <c r="I53" i="21"/>
  <c r="J53" s="1"/>
  <c r="C37" i="36"/>
  <c r="C36"/>
  <c r="G40"/>
  <c r="H40" s="1"/>
  <c r="E41"/>
  <c r="F41" s="1"/>
  <c r="G41"/>
  <c r="H41" s="1"/>
  <c r="C19" i="68"/>
  <c r="D37"/>
  <c r="C37" s="1"/>
  <c r="R27" i="6"/>
  <c r="R6" i="1"/>
  <c r="C16" i="12"/>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B6" i="76"/>
  <c r="M21" i="15"/>
  <c r="F35"/>
  <c r="F35" i="67"/>
  <c r="M21"/>
  <c r="C21" i="12" l="1"/>
  <c r="C22" s="1"/>
  <c r="I5" i="6"/>
  <c r="B2" i="76"/>
  <c r="B3" s="1"/>
  <c r="B3" i="43"/>
  <c r="C49" i="21"/>
  <c r="F63" i="67"/>
  <c r="C62" s="1"/>
  <c r="C34"/>
  <c r="J20"/>
  <c r="C24" i="68"/>
  <c r="J20" i="15"/>
  <c r="F63"/>
  <c r="C62" s="1"/>
  <c r="C34"/>
  <c r="R16" i="1"/>
  <c r="C33" i="68"/>
  <c r="I63" i="40"/>
  <c r="H65"/>
  <c r="C39" i="11"/>
  <c r="C43" s="1"/>
  <c r="C41" s="1"/>
  <c r="I70" i="39"/>
  <c r="C39" i="68" l="1"/>
  <c r="C43" s="1"/>
  <c r="C42"/>
  <c r="J63" i="40"/>
  <c r="I65"/>
  <c r="C46" i="11"/>
  <c r="C45" s="1"/>
  <c r="C49" s="1"/>
  <c r="C51" s="1"/>
  <c r="C52" s="1"/>
  <c r="B2" s="1"/>
  <c r="B3" s="1"/>
  <c r="J70" i="39"/>
  <c r="C41" i="68" l="1"/>
  <c r="C46"/>
  <c r="C45" s="1"/>
  <c r="K63" i="40"/>
  <c r="J65"/>
  <c r="K70" i="39"/>
  <c r="C56" i="11"/>
  <c r="C57" s="1"/>
  <c r="C49" i="68" l="1"/>
  <c r="C51"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C66" i="15" l="1"/>
  <c r="C60"/>
  <c r="C59" s="1"/>
  <c r="AG6" i="1"/>
  <c r="C80" i="15"/>
  <c r="C79" s="1"/>
  <c r="C65"/>
  <c r="Q68"/>
  <c r="F41"/>
  <c r="L51"/>
  <c r="F41" i="67"/>
  <c r="M27" i="15"/>
  <c r="M27" i="67"/>
  <c r="L57" i="15" l="1"/>
  <c r="L60" s="1"/>
  <c r="Q66" s="1"/>
  <c r="Q67"/>
  <c r="J26"/>
  <c r="J29" s="1"/>
  <c r="J26" i="67"/>
  <c r="J29" s="1"/>
  <c r="C58" i="15"/>
  <c r="C67" s="1"/>
  <c r="F69"/>
  <c r="C40"/>
  <c r="C43" s="1"/>
  <c r="L46"/>
  <c r="F69" i="67"/>
  <c r="C68" s="1"/>
  <c r="C71" s="1"/>
  <c r="C40"/>
  <c r="C83" s="1"/>
  <c r="C82" s="1"/>
  <c r="Q57" i="15" l="1"/>
  <c r="C68"/>
  <c r="C71" s="1"/>
  <c r="C83"/>
  <c r="C82" s="1"/>
  <c r="Q65"/>
  <c r="Q75" s="1"/>
  <c r="Q47"/>
  <c r="Q53" s="1"/>
  <c r="Q56"/>
  <c r="B2"/>
  <c r="C43" i="67"/>
  <c r="C45"/>
  <c r="C46" s="1"/>
  <c r="Q65"/>
  <c r="Q75" s="1"/>
  <c r="Q56"/>
  <c r="Q62" s="1"/>
  <c r="Q47"/>
  <c r="Q53" s="1"/>
  <c r="D2"/>
  <c r="B2" s="1"/>
  <c r="AO6" i="1"/>
  <c r="AO7"/>
  <c r="E2" i="69"/>
  <c r="AO8" i="1"/>
  <c r="B3" i="15" l="1"/>
  <c r="D6" i="12" s="1"/>
  <c r="D8"/>
  <c r="C4" s="1"/>
  <c r="C23" s="1"/>
  <c r="Q62" i="15"/>
  <c r="B8" i="70"/>
  <c r="B7"/>
  <c r="B6"/>
  <c r="C46" i="15"/>
  <c r="B2" i="69"/>
  <c r="B3" s="1"/>
  <c r="B3" i="67"/>
  <c r="D2" i="21"/>
  <c r="E2" i="68"/>
  <c r="D2" i="33"/>
  <c r="D2" i="35"/>
  <c r="D2" i="36"/>
  <c r="F20" i="31"/>
  <c r="D2" i="37"/>
  <c r="D2" i="34"/>
  <c r="C31" i="12" l="1"/>
  <c r="C27"/>
  <c r="C25" s="1"/>
  <c r="C30"/>
  <c r="C28" s="1"/>
  <c r="B20" i="31"/>
  <c r="B2" i="36"/>
  <c r="B3" s="1"/>
  <c r="B2" i="35"/>
  <c r="B3" s="1"/>
  <c r="B2" i="37"/>
  <c r="B3" s="1"/>
  <c r="B2" i="34"/>
  <c r="B3" s="1"/>
  <c r="B2" i="21"/>
  <c r="B3" s="1"/>
  <c r="B2" i="70"/>
  <c r="B3" s="1"/>
  <c r="C32" i="12" l="1"/>
  <c r="B2" s="1"/>
  <c r="B3" s="1"/>
  <c r="D20" i="9"/>
  <c r="D19"/>
  <c r="D103" l="1"/>
  <c r="D102"/>
  <c r="D21"/>
  <c r="D34"/>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D35" i="9"/>
  <c r="B3" i="39" l="1"/>
  <c r="C6" i="68"/>
  <c r="C7" l="1"/>
  <c r="C5" s="1"/>
  <c r="C23" l="1"/>
  <c r="C20"/>
  <c r="H112" i="9"/>
  <c r="D21" i="53" s="1"/>
  <c r="B39" i="72" s="1"/>
  <c r="H111" i="9"/>
  <c r="D126" s="1"/>
  <c r="D59"/>
  <c r="M55"/>
  <c r="C28" i="68" l="1"/>
  <c r="C27" s="1"/>
  <c r="C25"/>
  <c r="C22" s="1"/>
  <c r="D19" i="53"/>
  <c r="D20" s="1"/>
  <c r="B40" i="72" s="1"/>
  <c r="I14" i="74"/>
  <c r="B8" s="1"/>
  <c r="D127" i="9"/>
  <c r="D13" i="52" s="1"/>
  <c r="D12"/>
  <c r="C31" i="68" l="1"/>
  <c r="C52" s="1"/>
  <c r="B2" s="1"/>
  <c r="B38" i="72"/>
  <c r="D8" i="74"/>
  <c r="C8"/>
  <c r="H107" i="9"/>
  <c r="C19"/>
  <c r="C57" i="68" l="1"/>
  <c r="C56" s="1"/>
  <c r="C102" i="9"/>
  <c r="C21"/>
  <c r="D22"/>
  <c r="G19"/>
  <c r="J21" s="1"/>
  <c r="B3" i="68"/>
  <c r="D122" i="9"/>
  <c r="H108"/>
  <c r="D15" i="53" s="1"/>
  <c r="B31" i="72" s="1"/>
  <c r="D13" i="53"/>
  <c r="C20" i="9"/>
  <c r="C103" l="1"/>
  <c r="G20"/>
  <c r="J20"/>
  <c r="C32"/>
  <c r="G21"/>
  <c r="D14" i="53"/>
  <c r="B32" i="72" s="1"/>
  <c r="B30"/>
  <c r="G14" i="74"/>
  <c r="B6" s="1"/>
  <c r="D123" i="9"/>
  <c r="D9" i="52" s="1"/>
  <c r="D8"/>
  <c r="C35" i="9" l="1"/>
  <c r="F118" s="1"/>
  <c r="H118"/>
  <c r="D6" i="74"/>
  <c r="C6"/>
  <c r="G118" i="9" l="1"/>
  <c r="G4" i="52" s="1"/>
  <c r="B52" i="72" s="1"/>
  <c r="F119" i="9"/>
  <c r="F5" i="52" s="1"/>
  <c r="B53" i="72" s="1"/>
  <c r="F4" i="52"/>
  <c r="B51" i="72" s="1"/>
  <c r="C34" i="9"/>
  <c r="D118" s="1"/>
  <c r="C104"/>
  <c r="H119"/>
  <c r="H5" i="52" s="1"/>
  <c r="I118" i="9"/>
  <c r="H101"/>
  <c r="H4" i="52"/>
  <c r="D14" i="74"/>
  <c r="C105" i="9" l="1"/>
  <c r="E118"/>
  <c r="E4" i="52" s="1"/>
  <c r="B48" i="72" s="1"/>
  <c r="H102" i="9"/>
  <c r="D7" i="53" s="1"/>
  <c r="B21" i="72" s="1"/>
  <c r="I4" i="52"/>
  <c r="F14" i="74"/>
  <c r="E14"/>
  <c r="M48" i="9"/>
  <c r="D5" i="53"/>
  <c r="D45" i="9"/>
  <c r="H109"/>
  <c r="D119"/>
  <c r="D5" i="52" s="1"/>
  <c r="B49" i="72" s="1"/>
  <c r="D4" i="52"/>
  <c r="B47" i="72" s="1"/>
  <c r="B20" l="1"/>
  <c r="D6" i="53"/>
  <c r="B22" i="72" s="1"/>
  <c r="D53" i="9"/>
  <c r="C78"/>
  <c r="C73" s="1"/>
  <c r="C64"/>
  <c r="C63" s="1"/>
  <c r="C67" s="1"/>
  <c r="C68" s="1"/>
  <c r="D54" s="1"/>
  <c r="D52"/>
  <c r="D55"/>
  <c r="M53" s="1"/>
  <c r="C93"/>
  <c r="C86" s="1"/>
  <c r="C72"/>
  <c r="C85"/>
  <c r="D124"/>
  <c r="D16" i="53"/>
  <c r="H110" i="9"/>
  <c r="D18" i="53" s="1"/>
  <c r="B35" i="72" s="1"/>
  <c r="M49" i="9"/>
  <c r="AD3" i="71"/>
  <c r="P21" i="43" s="1"/>
  <c r="C95" i="9" l="1"/>
  <c r="C96" s="1"/>
  <c r="E96" s="1"/>
  <c r="E97" s="1"/>
  <c r="C79"/>
  <c r="C80" s="1"/>
  <c r="L68"/>
  <c r="M68" s="1"/>
  <c r="L64"/>
  <c r="M64" s="1"/>
  <c r="L67"/>
  <c r="M67" s="1"/>
  <c r="L65"/>
  <c r="M65" s="1"/>
  <c r="L63"/>
  <c r="M63" s="1"/>
  <c r="L66"/>
  <c r="M66" s="1"/>
  <c r="H14" i="74"/>
  <c r="B7" s="1"/>
  <c r="D125" i="9"/>
  <c r="D11" i="52" s="1"/>
  <c r="D10"/>
  <c r="D17" i="53"/>
  <c r="B36" i="72" s="1"/>
  <c r="B34"/>
  <c r="P22" i="43"/>
  <c r="P23"/>
  <c r="B71" i="39" s="1"/>
  <c r="P24" i="43"/>
  <c r="B66" i="40" s="1"/>
  <c r="P25" i="43"/>
  <c r="E80" i="9" l="1"/>
  <c r="E81" s="1"/>
  <c r="C81"/>
  <c r="M69"/>
  <c r="N69" s="1"/>
  <c r="D7" i="74"/>
  <c r="C7"/>
  <c r="C97" i="9"/>
  <c r="D58" s="1"/>
  <c r="D56" s="1"/>
  <c r="M54" s="1"/>
  <c r="N57" s="1"/>
  <c r="P57" l="1"/>
  <c r="N58"/>
  <c r="N59"/>
  <c r="N60" l="1"/>
  <c r="N61"/>
  <c r="D15" i="74" l="1"/>
  <c r="F15" l="1"/>
  <c r="E15"/>
  <c r="D18" l="1"/>
  <c r="F18" l="1"/>
  <c r="E18"/>
  <c r="D17" l="1"/>
  <c r="F17" l="1"/>
  <c r="E17"/>
  <c r="B5"/>
  <c r="C5" l="1"/>
  <c r="D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<sst xmlns="http://schemas.openxmlformats.org/spreadsheetml/2006/main" count="7910" uniqueCount="3232">
  <si>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</si>
  <si>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</si>
  <si>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</si>
  <si>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</si>
  <si>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</si>
  <si>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</si>
  <si>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</si>
  <si>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</si>
  <si>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</si>
  <si>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</si>
  <si>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</si>
  <si>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</si>
  <si>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</si>
  <si>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</si>
  <si>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</si>
  <si>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</si>
  <si>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</si>
  <si>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</si>
  <si>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</si>
  <si>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</si>
  <si>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</si>
  <si>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</si>
  <si>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</si>
  <si>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</si>
  <si>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</si>
  <si>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</si>
  <si>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</si>
  <si>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</si>
  <si>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</si>
  <si>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</si>
  <si>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</si>
  <si>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</si>
  <si>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</si>
  <si>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</si>
  <si>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</si>
  <si>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</si>
  <si>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</si>
  <si>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</si>
  <si>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</si>
  <si>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</si>
  <si>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</si>
  <si>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</si>
  <si>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</si>
  <si>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</si>
  <si>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</si>
  <si>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</si>
  <si>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</si>
  <si>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</si>
  <si>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</si>
  <si>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</si>
  <si>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</si>
  <si>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</si>
  <si>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</si>
  <si>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</si>
  <si>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</si>
  <si>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</si>
  <si>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</si>
  <si>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</si>
  <si>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</si>
  <si>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</si>
  <si>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</si>
  <si>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</si>
  <si>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</si>
  <si>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</si>
  <si>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</si>
  <si>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</si>
  <si>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</si>
  <si>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</si>
  <si>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</si>
  <si>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</si>
  <si>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</si>
  <si>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</si>
  <si>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</si>
  <si>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</si>
  <si>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</si>
  <si>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</si>
  <si>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</si>
  <si>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</si>
  <si>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</si>
  <si>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</si>
  <si>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</si>
  <si>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</si>
  <si>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</si>
  <si>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</si>
  <si>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</si>
  <si>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</si>
  <si>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</si>
  <si>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</si>
  <si>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</si>
  <si>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</si>
  <si>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</si>
  <si>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</si>
  <si>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</si>
  <si>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</si>
  <si>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</si>
  <si>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</si>
  <si>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</si>
  <si>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</si>
  <si>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</si>
  <si>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</si>
  <si>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</si>
  <si>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</si>
  <si>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</si>
  <si>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</si>
  <si>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</si>
  <si>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</si>
  <si>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</si>
  <si>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</si>
  <si>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</si>
  <si>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</si>
  <si>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</si>
  <si>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</si>
  <si>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</si>
  <si>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</si>
  <si>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</si>
  <si>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</si>
  <si>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</si>
  <si>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</si>
  <si>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</si>
  <si>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</si>
  <si>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</si>
  <si>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</si>
  <si>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</si>
  <si>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</si>
  <si>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</si>
  <si>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</si>
  <si>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</si>
  <si>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</si>
  <si>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</si>
  <si>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</si>
  <si>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</si>
  <si>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</si>
  <si>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</si>
  <si>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</si>
  <si>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</si>
  <si>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</si>
  <si>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</si>
  <si>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</si>
  <si>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</si>
  <si>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</si>
  <si>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</si>
  <si>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</si>
  <si>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</si>
  <si>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</si>
  <si>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</si>
  <si>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</si>
  <si>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</si>
  <si>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</si>
  <si>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</si>
  <si>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</si>
  <si>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</si>
  <si>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</si>
  <si>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</si>
  <si>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</si>
  <si>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</si>
  <si>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</si>
  <si>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</si>
  <si>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</si>
  <si>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</si>
  <si>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</si>
  <si>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</si>
  <si>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</si>
  <si>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</si>
  <si>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</si>
  <si>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</si>
  <si>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</si>
  <si>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</si>
  <si>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</si>
  <si>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</si>
  <si>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</si>
  <si>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</si>
  <si>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</si>
  <si>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</si>
  <si>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</si>
  <si>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</si>
  <si>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</si>
  <si>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</si>
  <si>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</si>
  <si>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</si>
  <si>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</si>
  <si>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</si>
  <si>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</si>
  <si>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</si>
  <si>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</si>
  <si>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</si>
  <si>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</si>
  <si>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</si>
  <si>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</si>
  <si>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</si>
  <si>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</si>
  <si>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</si>
  <si>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</si>
  <si>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</si>
  <si>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</si>
  <si>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</si>
  <si>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</si>
  <si>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</si>
  <si>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</si>
  <si>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</si>
  <si>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</si>
  <si>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</si>
  <si>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</si>
  <si>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</si>
  <si>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</si>
  <si>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</si>
  <si>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</si>
  <si>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</si>
  <si>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</si>
  <si>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</si>
  <si>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</si>
  <si>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</si>
  <si>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</si>
  <si>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</si>
  <si>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</si>
  <si>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</si>
  <si>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</si>
  <si>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</si>
  <si>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</si>
  <si>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</si>
  <si>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</si>
  <si>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</si>
  <si>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</si>
  <si>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</si>
  <si>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</si>
  <si>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</si>
  <si>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</si>
  <si>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</si>
  <si>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</si>
  <si>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</si>
  <si>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</si>
  <si>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</si>
  <si>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</si>
  <si>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</si>
  <si>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</si>
  <si>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</si>
  <si>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</si>
  <si>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</si>
  <si>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</si>
  <si>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</si>
  <si>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</si>
  <si>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</si>
  <si>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</si>
  <si>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</si>
  <si>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</si>
  <si>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</si>
  <si>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</si>
  <si>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</si>
  <si>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</si>
  <si>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</si>
  <si>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</si>
  <si>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</si>
  <si>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</si>
  <si>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</si>
  <si>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</si>
  <si>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</si>
  <si>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</si>
  <si>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</si>
  <si>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</si>
  <si>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</si>
  <si>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</si>
  <si>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</si>
  <si>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</si>
  <si>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</si>
  <si>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</si>
  <si>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</si>
  <si>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</si>
  <si>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</si>
  <si>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</si>
  <si>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</si>
  <si>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</si>
  <si>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</si>
  <si>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</si>
  <si>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</si>
  <si>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</si>
  <si>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</si>
  <si>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</si>
  <si>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</si>
  <si>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</si>
  <si>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</si>
  <si>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</si>
  <si>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</si>
  <si>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</si>
  <si>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</si>
  <si>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</si>
  <si>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</si>
  <si>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</si>
  <si>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</si>
  <si>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</si>
  <si>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</si>
  <si>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</si>
  <si>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</si>
  <si>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</si>
  <si>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</si>
  <si>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</si>
  <si>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</si>
  <si>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</si>
  <si>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</si>
  <si>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</si>
  <si>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</si>
  <si>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</si>
  <si>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</si>
  <si>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</si>
  <si>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</si>
  <si>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</si>
  <si>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</si>
  <si>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</si>
  <si>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</si>
  <si>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</si>
  <si>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</si>
  <si>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</si>
  <si>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</si>
  <si>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</si>
  <si>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</si>
  <si>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</si>
  <si>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</si>
  <si>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</si>
  <si>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</si>
  <si>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</si>
  <si>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</si>
  <si>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</si>
  <si>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</si>
  <si>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</si>
  <si>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</si>
  <si>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</si>
  <si>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</si>
  <si>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</si>
  <si>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</si>
  <si>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</si>
  <si>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</si>
  <si>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</si>
  <si>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</si>
  <si>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</si>
  <si>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</si>
  <si>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</si>
  <si>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</si>
  <si>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</si>
  <si>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</si>
  <si>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</si>
  <si>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</si>
  <si>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</si>
  <si>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</si>
  <si>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</si>
  <si>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</si>
  <si>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</si>
  <si>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</si>
  <si>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</si>
  <si>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</si>
  <si>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</si>
  <si>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</si>
  <si>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</si>
  <si>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</si>
  <si>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</si>
  <si>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</si>
  <si>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</si>
  <si>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</si>
  <si>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</si>
  <si>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</si>
  <si>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</si>
  <si>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</si>
  <si>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</si>
  <si>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</si>
  <si>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</si>
  <si>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</si>
  <si>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</si>
  <si>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</si>
  <si>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</si>
  <si>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</si>
  <si>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</si>
  <si>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</si>
  <si>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</si>
  <si>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</si>
  <si>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</si>
  <si>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</si>
  <si>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</si>
  <si>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</si>
  <si>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</si>
  <si>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</si>
  <si>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</si>
  <si>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</si>
  <si>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</si>
  <si>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</si>
  <si>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</si>
  <si>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</si>
  <si>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</si>
  <si>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</si>
  <si>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</si>
  <si>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</si>
  <si>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</si>
  <si>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</si>
  <si>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</si>
  <si>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</si>
  <si>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</si>
  <si>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</si>
  <si>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</si>
  <si>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</si>
  <si>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</si>
  <si>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</si>
  <si>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</si>
  <si>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</si>
  <si>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</si>
  <si>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</si>
  <si>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</si>
  <si>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</si>
  <si>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</si>
  <si>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</si>
  <si>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</si>
  <si>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</si>
  <si>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</si>
  <si>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</si>
  <si>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</si>
  <si>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</si>
  <si>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</si>
  <si>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</si>
  <si>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</si>
  <si>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</si>
  <si>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</si>
  <si>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</si>
  <si>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</si>
  <si>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</si>
  <si>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</si>
  <si>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</si>
  <si>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</si>
  <si>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</si>
  <si>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</si>
  <si>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</si>
  <si>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</si>
  <si>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</si>
  <si>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</si>
  <si>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</si>
  <si>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</si>
  <si>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</si>
  <si>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</si>
  <si>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</si>
  <si>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</si>
  <si>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</si>
  <si>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</si>
  <si>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</si>
  <si>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</si>
  <si>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</si>
  <si>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</si>
  <si>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</si>
  <si>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</si>
  <si>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</si>
  <si>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</si>
  <si>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</si>
  <si>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</si>
  <si>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</si>
  <si>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</si>
  <si>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</si>
  <si>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</si>
  <si>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</si>
  <si>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</si>
  <si>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</si>
  <si>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</si>
  <si>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</si>
  <si>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</si>
  <si>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</si>
  <si>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</si>
  <si>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</si>
  <si>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</si>
  <si>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</si>
  <si>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</si>
  <si>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</si>
  <si>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</si>
  <si>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</si>
  <si>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</si>
  <si>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</si>
  <si>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</si>
  <si>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</si>
  <si>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</si>
  <si>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</si>
  <si>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</si>
  <si>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</si>
  <si>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</si>
  <si>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</si>
  <si>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</si>
  <si>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</si>
  <si>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</si>
  <si>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</si>
  <si>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</si>
  <si>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</si>
  <si>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</si>
  <si>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</si>
  <si>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</si>
  <si>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</si>
  <si>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</si>
  <si>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</si>
  <si>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</si>
  <si>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</si>
  <si>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</si>
  <si>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</si>
  <si>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</si>
  <si>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</si>
  <si>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</si>
  <si>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</si>
  <si>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</si>
  <si>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</si>
  <si>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</si>
  <si>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</si>
  <si>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</si>
  <si>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</si>
  <si>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</si>
  <si>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</si>
  <si>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</si>
  <si>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</si>
  <si>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</si>
  <si>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</si>
  <si>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</si>
  <si>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</si>
  <si>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</si>
  <si>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</si>
  <si>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</si>
  <si>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</si>
  <si>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</si>
  <si>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</si>
  <si>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</si>
  <si>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</si>
  <si>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</si>
  <si>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</si>
  <si>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</si>
  <si>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</si>
  <si>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</si>
  <si>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</si>
  <si>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</si>
  <si>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</si>
  <si>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</si>
  <si>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</si>
  <si>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</si>
  <si>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</si>
  <si>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</si>
  <si>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</si>
  <si>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</si>
  <si>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</si>
  <si>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</si>
  <si>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</si>
  <si>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</si>
  <si>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</si>
  <si>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</si>
  <si>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</si>
  <si>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</si>
  <si>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</si>
  <si>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</si>
  <si>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</si>
  <si>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</si>
  <si>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</si>
  <si>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</si>
  <si>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</si>
  <si>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</si>
  <si>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</si>
  <si>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</si>
  <si>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</si>
  <si>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</si>
  <si>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</si>
  <si>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</si>
  <si>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</si>
  <si>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</si>
  <si>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</si>
  <si>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</si>
  <si>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</si>
  <si>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</si>
  <si>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</si>
  <si>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</si>
  <si>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</si>
  <si>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</si>
  <si>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</si>
  <si>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</si>
  <si>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</si>
  <si>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</si>
  <si>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</si>
  <si>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</si>
  <si>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</si>
  <si>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</si>
  <si>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</si>
  <si>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</si>
  <si>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</si>
  <si>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</si>
  <si>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</si>
  <si>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</si>
  <si>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</si>
  <si>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</si>
  <si>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</si>
  <si>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</si>
  <si>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</si>
  <si>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</si>
  <si>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</si>
  <si>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</si>
  <si>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</si>
  <si>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</si>
  <si>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</si>
  <si>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</si>
  <si>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</si>
  <si>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</si>
  <si>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</si>
  <si>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</si>
  <si>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</si>
  <si>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</si>
  <si>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</si>
  <si>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</si>
  <si>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</si>
  <si>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</si>
  <si>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</si>
  <si>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</si>
  <si>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</si>
  <si>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</si>
  <si>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</si>
  <si>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</si>
  <si>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</si>
  <si>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</si>
  <si>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</si>
  <si>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</si>
  <si>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</si>
  <si>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</si>
  <si>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</si>
  <si>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</si>
  <si>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</si>
  <si>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</si>
  <si>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</si>
  <si>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</si>
  <si>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</si>
  <si>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</si>
  <si>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</si>
  <si>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</si>
  <si>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</si>
  <si>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</si>
  <si>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</si>
  <si>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</si>
  <si>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</si>
  <si>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</si>
  <si>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</si>
  <si>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</si>
  <si>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</si>
  <si>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</si>
  <si>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</si>
  <si>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</si>
  <si>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</si>
  <si>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</si>
  <si>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</si>
  <si>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</si>
  <si>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</si>
  <si>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</si>
  <si>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</si>
  <si>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</si>
  <si>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</si>
  <si>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</si>
  <si>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</si>
  <si>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</si>
  <si>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</si>
  <si>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</si>
  <si>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</si>
  <si>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</si>
  <si>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</si>
  <si>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</si>
  <si>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</si>
  <si>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</si>
  <si>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</si>
  <si>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</si>
  <si>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</si>
  <si>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</si>
  <si>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</si>
  <si>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</si>
  <si>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</si>
  <si>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</si>
  <si>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</si>
  <si>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</si>
  <si>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</si>
  <si>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</si>
  <si>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</si>
  <si>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</si>
  <si>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</si>
  <si>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</si>
  <si>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</si>
  <si>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</si>
  <si>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</si>
  <si>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</si>
  <si>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</si>
  <si>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</si>
  <si>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</si>
  <si>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</si>
  <si>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</si>
  <si>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</si>
  <si>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</si>
  <si>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</si>
  <si>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</si>
  <si>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</si>
  <si>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</si>
  <si>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</si>
  <si>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</si>
  <si>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</si>
  <si>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</si>
  <si>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</si>
  <si>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</si>
  <si>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</si>
  <si>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</si>
  <si>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</si>
  <si>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</si>
  <si>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</si>
  <si>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</si>
  <si>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</si>
  <si>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</si>
  <si>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</si>
  <si>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</si>
  <si>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</si>
  <si>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</si>
  <si>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</si>
  <si>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</si>
  <si>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</si>
  <si>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</si>
  <si>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</si>
  <si>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</si>
  <si>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</si>
  <si>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</si>
  <si>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</si>
  <si>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</si>
  <si>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</si>
  <si>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</si>
  <si>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</si>
  <si>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</si>
  <si>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</si>
  <si>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</si>
  <si>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</si>
  <si>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</si>
  <si>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</si>
  <si>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</si>
  <si>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</si>
  <si>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</si>
  <si>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</si>
  <si>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</si>
  <si>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</si>
  <si>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</si>
  <si>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</si>
  <si>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</si>
  <si>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</si>
  <si>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</si>
  <si>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</si>
  <si>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</si>
  <si>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</si>
  <si>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</si>
  <si>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</si>
  <si>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</si>
  <si>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</si>
  <si>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</si>
  <si>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</si>
  <si>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</si>
  <si>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</si>
  <si>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</si>
  <si>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</si>
  <si>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</si>
  <si>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</si>
  <si>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</si>
  <si>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</si>
  <si>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</si>
  <si>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</si>
  <si>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</si>
  <si>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</si>
  <si>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</si>
  <si>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</si>
  <si>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</si>
  <si>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</si>
  <si>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</si>
  <si>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</si>
  <si>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</si>
  <si>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</si>
  <si>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</si>
  <si>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</si>
  <si>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</si>
  <si>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</si>
  <si>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</si>
  <si>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</si>
  <si>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</si>
  <si>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</si>
  <si>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</si>
  <si>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</si>
  <si>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</si>
  <si>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</si>
  <si>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</si>
  <si>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</si>
  <si>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</si>
  <si>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</si>
  <si>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</si>
  <si>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</si>
  <si>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</si>
  <si>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</si>
  <si>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</si>
  <si>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</si>
  <si>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</si>
  <si>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</si>
  <si>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</si>
  <si>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</si>
  <si>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</si>
  <si>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</si>
  <si>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</si>
  <si>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</si>
  <si>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</si>
  <si>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</si>
  <si>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</si>
  <si>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</si>
  <si>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</si>
  <si>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</si>
  <si>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</si>
  <si>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</si>
  <si>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</si>
  <si>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</si>
  <si>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</si>
  <si>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</si>
  <si>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</si>
  <si>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</si>
  <si>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</si>
  <si>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</si>
  <si>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</si>
  <si>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</si>
  <si>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</si>
  <si>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</si>
  <si>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</si>
  <si>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</si>
  <si>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</si>
  <si>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</si>
  <si>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</si>
  <si>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</si>
  <si>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</si>
  <si>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</si>
  <si>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</si>
  <si>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</si>
  <si>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</si>
  <si>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</si>
  <si>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</si>
  <si>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</si>
  <si>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</si>
  <si>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</si>
  <si>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</si>
  <si>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</si>
  <si>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</si>
  <si>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</si>
  <si>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</si>
  <si>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</si>
  <si>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</si>
  <si>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</si>
  <si>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</si>
  <si>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</si>
  <si>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</si>
  <si>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</si>
  <si>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</si>
  <si>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</si>
  <si>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</si>
  <si>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</si>
  <si>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</si>
  <si>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</si>
  <si>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</si>
  <si>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</si>
  <si>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</si>
  <si>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</si>
  <si>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</si>
  <si>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</si>
  <si>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</si>
  <si>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</si>
  <si>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</si>
  <si>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</si>
  <si>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</si>
  <si>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</si>
  <si>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</si>
  <si>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</si>
  <si>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</si>
  <si>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</si>
  <si>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</si>
  <si>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</si>
  <si>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</si>
  <si>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</si>
  <si>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</si>
  <si>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</si>
  <si>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</si>
  <si>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</si>
  <si>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</si>
  <si>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</si>
  <si>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</si>
  <si>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</si>
  <si>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</si>
  <si>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</si>
  <si>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</si>
  <si>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</si>
  <si>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</si>
  <si>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</si>
  <si>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</si>
  <si>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</si>
  <si>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</si>
  <si>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</si>
  <si>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</si>
  <si>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</si>
  <si>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</si>
  <si>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</si>
  <si>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</si>
  <si>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</si>
  <si>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</si>
  <si>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</si>
  <si>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</si>
  <si>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</si>
  <si>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</si>
  <si>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</si>
  <si>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</si>
  <si>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</si>
  <si>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</si>
  <si>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</si>
  <si>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</si>
  <si>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</si>
  <si>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</si>
  <si>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</si>
  <si>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</si>
  <si>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</si>
  <si>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</si>
  <si>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</si>
  <si>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</si>
  <si>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</si>
  <si>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</si>
  <si>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</si>
  <si>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</si>
  <si>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</si>
  <si>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</si>
  <si>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</si>
  <si>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</si>
  <si>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</si>
  <si>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</si>
  <si>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</si>
  <si>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</si>
  <si>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</si>
  <si>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</si>
  <si>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</si>
  <si>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</si>
  <si>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</si>
  <si>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</si>
  <si>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</si>
  <si>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</si>
  <si>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</si>
  <si>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</si>
  <si>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</si>
  <si>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</si>
  <si>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</si>
  <si>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</si>
  <si>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</si>
  <si>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</si>
  <si>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</si>
  <si>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</si>
  <si>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</si>
  <si>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</si>
  <si>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</si>
  <si>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</si>
  <si>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</si>
  <si>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</si>
  <si>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</si>
  <si>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</si>
  <si>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</si>
  <si>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</si>
  <si>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</si>
  <si>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</si>
  <si>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</si>
  <si>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</si>
  <si>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</si>
  <si>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</si>
  <si>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</si>
  <si>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</si>
  <si>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</si>
  <si>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</si>
  <si>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</si>
  <si>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</si>
  <si>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</si>
  <si>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</si>
  <si>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</si>
  <si>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</si>
  <si>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</si>
  <si>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</si>
  <si>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</si>
  <si>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</si>
  <si>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</si>
  <si>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</si>
  <si>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</si>
  <si>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</si>
  <si>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</si>
  <si>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</si>
  <si>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</si>
  <si>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</si>
  <si>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</si>
  <si>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</si>
  <si>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</si>
  <si>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</si>
  <si>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</si>
  <si>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</si>
  <si>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</si>
  <si>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</si>
  <si>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</si>
  <si>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</si>
  <si>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</si>
  <si>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</si>
  <si>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</si>
  <si>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</si>
  <si>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</si>
  <si>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</si>
  <si>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</si>
  <si>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</si>
  <si>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</si>
  <si>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</si>
  <si>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</si>
  <si>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</si>
  <si>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</si>
  <si>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</si>
  <si>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</si>
  <si>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</si>
  <si>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</si>
  <si>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</si>
  <si>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</si>
  <si>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</si>
  <si>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</si>
  <si>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</si>
  <si>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</si>
  <si>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</si>
  <si>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</si>
  <si>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</si>
  <si>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</si>
  <si>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</si>
  <si>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</si>
  <si>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</si>
  <si>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</si>
  <si>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</si>
  <si>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</si>
  <si>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</si>
  <si>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</si>
  <si>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</si>
  <si>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</si>
  <si>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</si>
  <si>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</si>
  <si>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</si>
  <si>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</si>
  <si>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</si>
  <si>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</si>
  <si>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</si>
  <si>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</si>
  <si>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</si>
  <si>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</si>
  <si>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</si>
  <si>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</si>
  <si>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</si>
  <si>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</si>
  <si>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</si>
  <si>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</si>
  <si>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</si>
  <si>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</si>
  <si>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</si>
  <si>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</si>
  <si>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</si>
  <si>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</si>
  <si>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</si>
  <si>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</si>
  <si>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</si>
  <si>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</si>
  <si>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</si>
  <si>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</si>
  <si>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</si>
  <si>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</si>
  <si>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</si>
  <si>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</si>
  <si>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</si>
  <si>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</si>
  <si>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</si>
  <si>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</si>
  <si>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</si>
  <si>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</si>
  <si>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</si>
  <si>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</si>
  <si>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</si>
  <si>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</si>
  <si>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</si>
  <si>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</si>
  <si>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</si>
  <si>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</si>
  <si>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</si>
  <si>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</si>
  <si>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</si>
  <si>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</si>
  <si>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</si>
  <si>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</si>
  <si>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</si>
  <si>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</si>
  <si>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</si>
  <si>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</si>
  <si>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</si>
  <si>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</si>
  <si>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</si>
  <si>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</si>
  <si>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</si>
  <si>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</si>
  <si>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</si>
  <si>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</si>
  <si>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</si>
  <si>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</si>
  <si>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</si>
  <si>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</si>
  <si>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</si>
  <si>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</si>
  <si>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</si>
  <si>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</si>
  <si>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</si>
  <si>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</si>
  <si>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</si>
  <si>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</si>
  <si>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</si>
  <si>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</si>
  <si>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</si>
  <si>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</si>
  <si>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</si>
  <si>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</si>
  <si>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</si>
  <si>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</si>
  <si>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</si>
  <si>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</si>
  <si>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</si>
  <si>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</si>
  <si>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</si>
  <si>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</si>
  <si>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</si>
  <si>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</si>
  <si>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</si>
  <si>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</si>
  <si>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</si>
  <si>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</si>
  <si>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</si>
  <si>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</si>
  <si>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</si>
  <si>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</si>
  <si>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</si>
  <si>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</si>
  <si>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</si>
  <si>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</si>
  <si>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</si>
  <si>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</si>
  <si>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</si>
  <si>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</si>
  <si>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</si>
  <si>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</si>
  <si>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</si>
  <si>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</si>
  <si>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</si>
  <si>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</si>
  <si>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</si>
  <si>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</si>
  <si>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</si>
  <si>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</si>
  <si>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</si>
  <si>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</si>
  <si>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</si>
  <si>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</si>
  <si>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</si>
  <si>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</si>
  <si>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</si>
  <si>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</si>
  <si>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</si>
  <si>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</si>
  <si>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</si>
  <si>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</si>
  <si>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</si>
  <si>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</si>
  <si>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</si>
  <si>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</si>
  <si>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</si>
  <si>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</si>
  <si>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</si>
  <si>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</si>
  <si>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</si>
  <si>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</si>
  <si>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</si>
  <si>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</si>
  <si>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</si>
  <si>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</si>
  <si>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</si>
  <si>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</si>
  <si>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</si>
  <si>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</si>
  <si>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</si>
  <si>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</si>
  <si>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</si>
  <si>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</si>
  <si>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</si>
  <si>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</si>
  <si>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</si>
  <si>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</si>
  <si>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</si>
  <si>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</si>
  <si>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</si>
  <si>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</si>
  <si>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</si>
  <si>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</si>
  <si>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</si>
  <si>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</si>
  <si>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</si>
  <si>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</si>
  <si>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</si>
  <si>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</si>
  <si>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</si>
  <si>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</si>
  <si>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</si>
  <si>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</si>
  <si>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</si>
  <si>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</si>
  <si>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</si>
  <si>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</si>
  <si>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</si>
  <si>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</si>
  <si>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</si>
  <si>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</si>
  <si>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</si>
  <si>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</si>
  <si>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</si>
  <si>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</si>
  <si>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</si>
  <si>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</si>
  <si>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</si>
  <si>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</si>
  <si>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</si>
  <si>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</si>
  <si>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</si>
  <si>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</si>
  <si>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</si>
  <si>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</si>
  <si>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</si>
  <si>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</si>
  <si>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</si>
  <si>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</si>
  <si>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</si>
  <si>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</si>
  <si>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</si>
  <si>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</si>
  <si>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</si>
  <si>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</si>
  <si>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</si>
  <si>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</si>
  <si>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</si>
  <si>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</si>
  <si>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</si>
  <si>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</si>
  <si>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</si>
  <si>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</si>
  <si>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</si>
  <si>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</si>
  <si>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</si>
  <si>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</si>
  <si>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</si>
  <si>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</si>
  <si>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</si>
  <si>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</si>
  <si>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</si>
  <si>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</si>
  <si>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</si>
  <si>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</si>
  <si>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</si>
  <si>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</si>
  <si>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</si>
  <si>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</si>
  <si>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</si>
  <si>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</si>
  <si>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</si>
  <si>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</si>
  <si>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</si>
  <si>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</si>
  <si>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</si>
  <si>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</si>
  <si>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</si>
  <si>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</si>
  <si>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</si>
  <si>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</si>
  <si>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</si>
  <si>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</si>
  <si>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</si>
  <si>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</si>
  <si>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</si>
  <si>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</si>
  <si>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</si>
  <si>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</si>
  <si>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</si>
  <si>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</si>
  <si>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</si>
  <si>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</si>
  <si>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</si>
  <si>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</si>
  <si>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</si>
  <si>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</si>
  <si>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</si>
  <si>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</si>
  <si>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</si>
  <si>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</si>
  <si>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</si>
  <si>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</si>
  <si>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</si>
  <si>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</si>
  <si>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</si>
  <si>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</si>
  <si>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</si>
  <si>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</si>
  <si>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</si>
  <si>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</si>
  <si>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</si>
  <si>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</si>
  <si>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</si>
  <si>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</si>
  <si>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</si>
  <si>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</si>
  <si>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</si>
  <si>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</si>
  <si>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</si>
  <si>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</si>
  <si>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</si>
  <si>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</si>
  <si>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</si>
  <si>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</si>
  <si>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</si>
  <si>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</si>
  <si>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</si>
  <si>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</si>
  <si>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</si>
  <si>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</si>
  <si>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</si>
  <si>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</si>
  <si>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</si>
  <si>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</si>
  <si>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</si>
  <si>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</si>
  <si>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</si>
  <si>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</si>
  <si>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</si>
  <si>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</si>
  <si>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</si>
  <si>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</si>
  <si>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</si>
  <si>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</si>
  <si>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</si>
  <si>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</si>
  <si>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</si>
  <si>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</si>
  <si>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</si>
  <si>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</si>
  <si>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</si>
  <si>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</si>
  <si>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</si>
  <si>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</si>
  <si>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</si>
  <si>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</si>
  <si>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</si>
  <si>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</si>
  <si>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</si>
  <si>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</si>
  <si>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</si>
  <si>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</si>
  <si>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</si>
  <si>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</si>
  <si>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</si>
  <si>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</si>
  <si>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</si>
  <si>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</si>
  <si>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</si>
  <si>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</si>
  <si>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</si>
  <si>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</si>
  <si>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</si>
  <si>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</si>
  <si>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</si>
  <si>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</si>
  <si>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</si>
  <si>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</si>
  <si>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</si>
  <si>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</si>
  <si>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</si>
  <si>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</si>
  <si>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</si>
  <si>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</si>
  <si>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</si>
  <si>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</si>
  <si>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</si>
  <si>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</si>
  <si>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</si>
  <si>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</si>
  <si>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</si>
  <si>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</si>
  <si>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</si>
  <si>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</si>
  <si>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</si>
  <si>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</si>
  <si>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</si>
  <si>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</si>
  <si>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</si>
  <si>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</si>
  <si>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</si>
  <si>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</si>
  <si>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</si>
  <si>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</si>
  <si>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</si>
  <si>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</si>
  <si>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</si>
  <si>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</si>
  <si>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</si>
  <si>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</si>
  <si>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</si>
  <si>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</si>
  <si>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</si>
  <si>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</si>
  <si>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</si>
  <si>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</si>
  <si>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</si>
  <si>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</si>
  <si>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</si>
  <si>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</si>
  <si>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</si>
  <si>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</si>
  <si>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</si>
  <si>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</si>
  <si>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</si>
  <si>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</si>
  <si>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</si>
  <si>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</si>
  <si>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</si>
  <si>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</si>
  <si>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</si>
  <si>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</si>
  <si>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</si>
  <si>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</si>
  <si>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</si>
  <si>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</si>
  <si>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</si>
  <si>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</si>
  <si>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</si>
  <si>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</si>
  <si>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</si>
  <si>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</si>
  <si>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</si>
  <si>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</si>
  <si>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</si>
  <si>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</si>
  <si>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</si>
  <si>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</si>
  <si>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</si>
  <si>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</si>
  <si>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</si>
  <si>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</si>
  <si>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</si>
  <si>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</si>
  <si>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</si>
  <si>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</si>
  <si>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</si>
  <si>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</si>
  <si>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</si>
  <si>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</si>
  <si>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</si>
  <si>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</si>
  <si>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</si>
  <si>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</si>
  <si>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</si>
  <si>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</si>
  <si>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</si>
  <si>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</si>
  <si>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</si>
  <si>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</si>
  <si>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</si>
  <si>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</si>
  <si>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</si>
  <si>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</si>
  <si>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</si>
  <si>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</si>
  <si>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</si>
  <si>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</si>
  <si>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</si>
  <si>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</si>
  <si>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</si>
  <si>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</si>
  <si>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</si>
  <si>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</si>
  <si>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</si>
  <si>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</si>
  <si>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</si>
  <si>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</si>
  <si>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</si>
  <si>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</si>
  <si>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</si>
  <si>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</si>
  <si>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</si>
  <si>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</si>
  <si>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</si>
  <si>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</si>
  <si>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</si>
  <si>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</si>
  <si>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</si>
  <si>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</si>
  <si>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</si>
  <si>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</si>
  <si>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</si>
  <si>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</si>
  <si>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</si>
  <si>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</si>
  <si>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</si>
  <si>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</si>
  <si>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</si>
  <si>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</si>
  <si>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</si>
  <si>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</si>
  <si>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</si>
  <si>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</si>
  <si>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</si>
  <si>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</si>
  <si>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</si>
  <si>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</si>
  <si>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</si>
  <si>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</si>
  <si>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</si>
  <si>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</si>
  <si>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</si>
  <si>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</si>
  <si>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</si>
  <si>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</si>
  <si>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</si>
  <si>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</si>
  <si>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</si>
  <si>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</si>
  <si>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</si>
  <si>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</si>
  <si>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</si>
  <si>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</si>
  <si>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</si>
  <si>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</si>
  <si>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</si>
  <si>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</si>
  <si>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</si>
  <si>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</si>
  <si>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</si>
  <si>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</si>
  <si>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</si>
  <si>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</si>
  <si>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</si>
  <si>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</si>
  <si>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</si>
  <si>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</si>
  <si>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</si>
  <si>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</si>
  <si>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</si>
  <si>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</si>
  <si>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</si>
  <si>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</si>
  <si>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</si>
  <si>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</si>
  <si>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</si>
  <si>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</si>
  <si>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</si>
  <si>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</si>
  <si>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</si>
  <si>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</si>
  <si>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</si>
  <si>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</si>
  <si>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</si>
  <si>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</si>
  <si>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</si>
  <si>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</si>
  <si>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</si>
  <si>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</si>
  <si>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</si>
  <si>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</si>
  <si>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</si>
  <si>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</si>
  <si>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</si>
  <si>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</si>
  <si>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</si>
  <si>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</si>
  <si>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</si>
  <si>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</si>
  <si>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</si>
  <si>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</si>
  <si>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</si>
  <si>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</si>
  <si>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</si>
  <si>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</si>
  <si>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</si>
  <si>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</si>
  <si>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</si>
  <si>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</si>
  <si>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</si>
  <si>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</si>
  <si>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</si>
  <si>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</si>
  <si>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</si>
  <si>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</si>
  <si>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</si>
  <si>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</si>
  <si>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</si>
  <si>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</si>
  <si>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</si>
  <si>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</si>
  <si>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</si>
  <si>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</si>
  <si>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</si>
  <si>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</si>
  <si>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</si>
  <si>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</si>
  <si>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</si>
  <si>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</si>
  <si>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</si>
  <si>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</si>
  <si>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</si>
  <si>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</si>
  <si>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</si>
  <si>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</si>
  <si>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</si>
  <si>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</si>
  <si>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</si>
  <si>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</si>
  <si>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</si>
  <si>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</si>
  <si>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</si>
  <si>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</si>
  <si>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</si>
  <si>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</si>
  <si>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</si>
  <si>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</si>
  <si>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</si>
  <si>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</si>
  <si>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</si>
  <si>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</si>
  <si>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</si>
  <si>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</si>
  <si>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</si>
  <si>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</si>
  <si>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</si>
  <si>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</si>
  <si>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</si>
  <si>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</si>
  <si>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</si>
  <si>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</si>
  <si>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</si>
  <si>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</si>
  <si>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</si>
  <si>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</si>
  <si>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</si>
  <si>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</si>
  <si>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</si>
  <si>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</si>
  <si>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</si>
  <si>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</si>
  <si>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</si>
  <si>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</si>
  <si>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</si>
  <si>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</si>
  <si>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</si>
  <si>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</si>
  <si>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</si>
  <si>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</si>
  <si>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</si>
  <si>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</si>
  <si>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</si>
  <si>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</si>
  <si>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</si>
  <si>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</si>
  <si>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</si>
  <si>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</si>
  <si>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</si>
  <si>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</si>
  <si>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</si>
  <si>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</si>
  <si>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</si>
  <si>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</si>
  <si>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</si>
  <si>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</si>
  <si>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</si>
  <si>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</si>
  <si>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</si>
  <si>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</si>
  <si>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</si>
  <si>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</si>
  <si>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</si>
  <si>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</si>
  <si>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</si>
  <si>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</si>
  <si>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</si>
  <si>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</si>
  <si>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</si>
  <si>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</si>
  <si>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</si>
  <si>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</si>
  <si>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</si>
  <si>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</si>
  <si>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</si>
  <si>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</si>
  <si>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</si>
  <si>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</si>
  <si>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</si>
  <si>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</si>
  <si>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</si>
  <si>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</si>
  <si>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</si>
  <si>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</si>
  <si>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</si>
  <si>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</si>
  <si>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</si>
  <si>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</si>
  <si>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</si>
  <si>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</si>
  <si>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</si>
  <si>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</si>
  <si>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</si>
  <si>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</si>
  <si>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</si>
  <si>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</si>
  <si>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</si>
  <si>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</si>
  <si>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</si>
  <si>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</si>
  <si>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</si>
  <si>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</si>
  <si>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</si>
  <si>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</si>
  <si>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</si>
  <si>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</si>
  <si>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</si>
  <si>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</si>
  <si>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</si>
  <si>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</si>
  <si>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</si>
  <si>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</si>
  <si>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</si>
  <si>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</si>
  <si>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</si>
  <si>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</si>
  <si>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</si>
  <si>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</si>
  <si>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</si>
  <si>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</si>
  <si>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</si>
  <si>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</si>
  <si>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</si>
  <si>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</si>
  <si>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</si>
  <si>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</si>
  <si>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</si>
  <si>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</si>
  <si>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</si>
  <si>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</si>
  <si>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</si>
  <si>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</si>
  <si>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</si>
  <si>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</si>
  <si>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</si>
  <si>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</si>
  <si>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</si>
  <si>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</si>
  <si>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</si>
  <si>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</si>
  <si>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</si>
  <si>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</si>
  <si>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</si>
  <si>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</si>
  <si>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</si>
  <si>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</si>
  <si>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</si>
  <si>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</si>
  <si>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</si>
  <si>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</si>
  <si>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</si>
  <si>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</si>
  <si>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</si>
  <si>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</si>
  <si>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</si>
  <si>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</si>
  <si>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</si>
  <si>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</si>
  <si>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</si>
  <si>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</si>
  <si>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</si>
  <si>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</si>
  <si>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</si>
  <si>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</si>
  <si>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</si>
  <si>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</si>
  <si>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</si>
  <si>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</si>
  <si>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</si>
  <si>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</si>
  <si>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</si>
  <si>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</si>
  <si>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</si>
  <si>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</si>
  <si>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</si>
  <si>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</si>
  <si>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</si>
  <si>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</si>
  <si>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</si>
  <si>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</si>
  <si>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</si>
  <si>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</si>
  <si>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</si>
  <si>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</si>
  <si>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</si>
  <si>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</si>
  <si>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</si>
  <si>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</si>
  <si>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</si>
  <si>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</si>
  <si>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</si>
  <si>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</si>
  <si>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</si>
  <si>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</si>
  <si>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</si>
  <si>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</si>
  <si>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</si>
  <si>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</si>
  <si>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</si>
  <si>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</si>
  <si>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</si>
  <si>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</si>
  <si>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</si>
  <si>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</si>
  <si>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</si>
  <si>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</si>
  <si>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</si>
  <si>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</si>
  <si>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</si>
  <si>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</si>
  <si>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</si>
  <si>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</si>
  <si>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</si>
  <si>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</si>
  <si>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</si>
  <si>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</si>
  <si>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</si>
  <si>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</si>
  <si>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</si>
  <si>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</si>
  <si>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</si>
  <si>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</si>
  <si>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</si>
  <si>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</si>
  <si>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</si>
  <si>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</si>
  <si>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</si>
  <si>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</si>
  <si>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</si>
  <si>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</si>
  <si>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</si>
  <si>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</si>
  <si>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</si>
  <si>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</si>
  <si>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</si>
  <si>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</si>
  <si>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</si>
  <si>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</si>
  <si>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</si>
  <si>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</si>
  <si>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</si>
  <si>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</si>
  <si>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</si>
  <si>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</si>
  <si>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</si>
  <si>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</si>
  <si>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</si>
  <si>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</si>
  <si>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</si>
  <si>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</si>
  <si>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</si>
  <si>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</si>
  <si>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</si>
  <si>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</si>
  <si>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</si>
  <si>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</si>
  <si>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</si>
  <si>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</si>
  <si>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</si>
  <si>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</si>
  <si>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</si>
  <si>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</si>
  <si>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</si>
  <si>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</si>
  <si>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</si>
  <si>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</si>
  <si>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</si>
  <si>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</si>
  <si>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</si>
  <si>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</si>
  <si>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</si>
  <si>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</si>
  <si>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</si>
  <si>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</si>
  <si>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</si>
  <si>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</si>
  <si>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</si>
  <si>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</si>
  <si>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</si>
  <si>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</si>
  <si>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</si>
  <si>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</si>
  <si>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</si>
  <si>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</si>
  <si>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</si>
  <si>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</si>
  <si>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</si>
  <si>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</si>
  <si>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</si>
  <si>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</si>
  <si>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</si>
  <si>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</si>
  <si>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</si>
  <si>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</si>
  <si>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</si>
  <si>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</si>
  <si>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</si>
  <si>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</si>
  <si>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</si>
  <si>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</si>
  <si>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</si>
  <si>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</si>
  <si>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</si>
  <si>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</si>
  <si>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</si>
  <si>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</si>
  <si>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</si>
  <si>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</si>
  <si>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</si>
  <si>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</si>
  <si>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</si>
  <si>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</si>
  <si>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</si>
  <si>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</si>
  <si>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</si>
  <si>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</si>
  <si>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</si>
  <si>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</si>
  <si>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</si>
  <si>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</si>
  <si>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</si>
  <si>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</si>
  <si>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</si>
  <si>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</si>
  <si>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</si>
  <si>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</si>
  <si>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</si>
  <si>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</si>
  <si>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</si>
  <si>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</si>
  <si>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</si>
  <si>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</si>
  <si>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</si>
  <si>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</si>
  <si>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</si>
  <si>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</si>
  <si>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</si>
  <si>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</si>
  <si>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</si>
  <si>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</si>
  <si>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</si>
  <si>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</si>
  <si>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</si>
  <si>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</si>
  <si>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</si>
  <si>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</si>
  <si>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</si>
  <si>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</si>
  <si>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</si>
  <si>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</si>
  <si>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</si>
  <si>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</si>
  <si>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</si>
  <si>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</si>
  <si>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</si>
  <si>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</si>
  <si>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</si>
  <si>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</si>
  <si>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</si>
  <si>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</si>
  <si>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</si>
  <si>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</si>
  <si>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</si>
  <si>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</si>
  <si>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</si>
  <si>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</si>
  <si>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</si>
  <si>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</si>
  <si>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</si>
  <si>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</si>
  <si>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</si>
  <si>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</si>
  <si>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</si>
  <si>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</si>
  <si>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</si>
  <si>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</si>
  <si>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</si>
  <si>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</si>
  <si>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</si>
  <si>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</si>
  <si>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</si>
  <si>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</si>
  <si>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</si>
  <si>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</si>
  <si>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</si>
  <si>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</si>
  <si>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</si>
  <si>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</si>
  <si>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</si>
  <si>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</si>
  <si>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</si>
  <si>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</si>
  <si>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</si>
  <si>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</si>
  <si>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</si>
  <si>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</si>
  <si>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</si>
  <si>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</si>
  <si>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</si>
  <si>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</si>
  <si>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</si>
  <si>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</si>
  <si>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</si>
  <si>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</si>
  <si>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</si>
  <si>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</si>
  <si>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</si>
  <si>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</si>
  <si>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</si>
  <si>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</si>
  <si>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</si>
  <si>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</si>
  <si>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</si>
  <si>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</si>
  <si>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</si>
  <si>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</si>
  <si>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</si>
  <si>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</si>
  <si>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</si>
  <si>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</si>
  <si>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</si>
  <si>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</si>
  <si>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</si>
  <si>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</si>
  <si>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</si>
  <si>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</si>
  <si>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</si>
  <si>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</si>
  <si>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</si>
  <si>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</si>
  <si>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</si>
  <si>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</si>
  <si>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</si>
  <si>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</si>
  <si>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</si>
  <si>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</si>
  <si>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</si>
  <si>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</si>
  <si>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</si>
  <si>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</si>
  <si>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</si>
  <si>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</si>
  <si>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</si>
  <si>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</si>
  <si>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</si>
  <si>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</si>
  <si>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</si>
  <si>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</si>
  <si>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</si>
  <si>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</si>
  <si>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</si>
  <si>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</si>
  <si>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</si>
  <si>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</si>
  <si>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</si>
  <si>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</si>
  <si>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</si>
  <si>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</si>
  <si>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</si>
  <si>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</si>
  <si>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</si>
  <si>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</si>
  <si>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</si>
  <si>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</si>
  <si>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</si>
  <si>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</si>
  <si>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</si>
  <si>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</si>
  <si>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</si>
  <si>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</si>
  <si>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</si>
  <si>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</si>
  <si>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</si>
  <si>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</si>
  <si>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</si>
  <si>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</si>
  <si>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</si>
  <si>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</si>
  <si>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</si>
  <si>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</si>
  <si>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</si>
  <si>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</si>
  <si>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</si>
  <si>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</si>
  <si>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</si>
  <si>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</si>
  <si>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</si>
  <si>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</si>
  <si>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</si>
  <si>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</si>
  <si>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</si>
  <si>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</si>
  <si>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</si>
  <si>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</si>
  <si>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</si>
  <si>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</si>
  <si>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</si>
  <si>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</si>
  <si>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</si>
  <si>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</si>
  <si>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</si>
  <si>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</si>
  <si>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</si>
  <si>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</si>
  <si>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</si>
  <si>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</si>
  <si>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</si>
  <si>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</si>
  <si>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</si>
  <si>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</si>
  <si>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</si>
  <si>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</si>
  <si>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</si>
  <si>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</si>
  <si>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</si>
  <si>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</si>
  <si>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</si>
  <si>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</si>
  <si>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</si>
  <si>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</si>
  <si>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</si>
  <si>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</si>
  <si>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</si>
  <si>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</si>
  <si>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</si>
  <si>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</si>
  <si>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</si>
  <si>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</si>
  <si>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</si>
  <si>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</si>
  <si>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</si>
  <si>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</si>
  <si>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</si>
  <si>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</si>
  <si>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</si>
  <si>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</si>
  <si>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</si>
  <si>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</si>
  <si>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</si>
  <si>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</si>
  <si>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</si>
  <si>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</si>
  <si>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</si>
  <si>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</si>
  <si>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</si>
  <si>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</si>
  <si>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</si>
  <si>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</si>
  <si>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</si>
  <si>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</si>
  <si>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</si>
  <si>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</si>
  <si>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</si>
  <si>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</si>
  <si>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</si>
  <si>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</si>
  <si>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</si>
  <si>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</si>
  <si>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</si>
  <si>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</si>
  <si>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</si>
  <si>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</si>
  <si>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</si>
  <si>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</si>
  <si>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</si>
  <si>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</si>
  <si>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</si>
  <si>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</si>
  <si>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</si>
  <si>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</si>
  <si>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</si>
  <si>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</si>
  <si>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</si>
  <si>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</si>
  <si>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</si>
  <si>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</si>
  <si>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</si>
  <si>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</si>
  <si>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</si>
  <si>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</si>
  <si>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</si>
  <si>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</si>
  <si>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</si>
  <si>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</si>
  <si>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</si>
  <si>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</si>
  <si>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</si>
  <si>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</si>
  <si>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</si>
  <si>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</si>
  <si>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</si>
  <si>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</si>
  <si>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</si>
  <si>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</si>
  <si>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</si>
  <si>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</si>
  <si>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</si>
  <si>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</si>
  <si>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</si>
  <si>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</si>
  <si>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</si>
  <si>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</si>
  <si>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</si>
  <si>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</si>
  <si>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</si>
  <si>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</si>
  <si>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</si>
  <si>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</si>
  <si>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</si>
  <si>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</si>
  <si>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</si>
  <si>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</si>
  <si>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</si>
  <si>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</si>
  <si>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</si>
  <si>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</si>
  <si>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</si>
  <si>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</si>
  <si>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</si>
  <si>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</si>
  <si>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</si>
  <si>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</si>
  <si>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</si>
  <si>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</si>
  <si>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</si>
  <si>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</si>
  <si>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</si>
  <si>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</si>
  <si>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</si>
  <si>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</si>
  <si>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</si>
  <si>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</si>
  <si>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</si>
  <si>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</si>
  <si>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</si>
  <si>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</si>
  <si>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</si>
  <si>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</si>
  <si>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</si>
  <si>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</si>
  <si>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</si>
  <si>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</si>
  <si>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</si>
  <si>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</si>
  <si>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</si>
  <si>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</si>
  <si>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</si>
  <si>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</si>
  <si>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</si>
  <si>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</si>
  <si>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</si>
  <si>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</si>
  <si>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</si>
  <si>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</si>
  <si>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</si>
  <si>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</si>
  <si>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</si>
  <si>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</si>
  <si>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</si>
  <si>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</si>
  <si>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</si>
  <si>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</si>
  <si>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</si>
  <si>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</si>
  <si>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</si>
  <si>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</si>
  <si>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</si>
  <si>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</si>
  <si>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</si>
  <si>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</si>
  <si>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</si>
  <si>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</si>
  <si>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</si>
  <si>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</si>
  <si>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</si>
  <si>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</si>
  <si>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</si>
  <si>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</si>
  <si>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</si>
  <si>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</si>
  <si>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</si>
  <si>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</si>
  <si>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</si>
  <si>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</si>
  <si>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</si>
  <si>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</si>
  <si>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</si>
  <si>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</si>
  <si>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</si>
  <si>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</si>
  <si>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</si>
  <si>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</si>
  <si>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</si>
  <si>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</si>
  <si>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</si>
  <si>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</si>
  <si>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</si>
  <si>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</si>
  <si>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</si>
  <si>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</si>
  <si>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</si>
  <si>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</si>
  <si>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</si>
  <si>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</si>
  <si>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</si>
  <si>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</si>
  <si>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</si>
  <si>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</si>
  <si>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</si>
  <si>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</si>
  <si>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</si>
  <si>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</si>
  <si>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</si>
  <si>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</si>
  <si>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</si>
  <si>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</si>
  <si>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</si>
  <si>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</si>
  <si>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</si>
  <si>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</si>
  <si>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</si>
  <si>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</si>
  <si>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</si>
  <si>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</si>
  <si>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</si>
  <si>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</si>
  <si>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</si>
  <si>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</si>
  <si>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</si>
  <si>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</si>
  <si>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</si>
  <si>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</si>
  <si>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</si>
  <si>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</si>
  <si>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</si>
  <si>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</si>
  <si>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</si>
  <si>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</si>
  <si>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</si>
  <si>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</si>
  <si>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</si>
  <si>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</si>
  <si>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</si>
  <si>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</si>
  <si>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</si>
  <si>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</si>
  <si>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</si>
  <si>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</si>
  <si>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</si>
  <si>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</si>
  <si>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</si>
  <si>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</si>
  <si>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</si>
  <si>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</si>
  <si>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</si>
  <si>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</si>
  <si>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</si>
  <si>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</si>
  <si>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</si>
  <si>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</si>
  <si>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</si>
  <si>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</si>
  <si>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</si>
  <si>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</si>
  <si>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</si>
  <si>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</si>
  <si>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</si>
  <si>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</si>
  <si>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</si>
  <si>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</si>
  <si>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</si>
  <si>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</si>
  <si>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</si>
  <si>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</si>
  <si>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</si>
  <si>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</si>
  <si>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</si>
  <si>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</si>
  <si>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</si>
  <si>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</si>
  <si>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</si>
  <si>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</si>
  <si>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</si>
  <si>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</si>
  <si>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</si>
  <si>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</si>
  <si>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</si>
  <si>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</si>
  <si>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</si>
  <si>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</si>
  <si>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</si>
  <si>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</si>
  <si>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</si>
  <si>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</si>
  <si>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</si>
  <si>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</si>
  <si>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</si>
  <si>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</si>
  <si>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</si>
  <si>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</si>
  <si>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</si>
  <si>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</si>
  <si>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</si>
  <si>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</si>
  <si>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</si>
  <si>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</si>
  <si>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</si>
  <si>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</si>
  <si>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</si>
  <si>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</si>
  <si>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</si>
  <si>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</si>
  <si>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</si>
  <si>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</si>
  <si>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</si>
  <si>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</si>
  <si>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</si>
  <si>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</si>
  <si>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</si>
  <si>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</si>
  <si>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</si>
  <si>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</si>
  <si>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</si>
  <si>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</si>
  <si>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</si>
  <si>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</si>
  <si>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</si>
  <si>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</si>
  <si>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</si>
  <si>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</si>
  <si>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</si>
  <si>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</si>
  <si>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</si>
  <si>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</si>
  <si>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</si>
  <si>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</si>
  <si>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</si>
  <si>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</si>
  <si>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</si>
  <si>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</si>
  <si>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</si>
  <si>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</si>
  <si>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</si>
  <si>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</si>
  <si>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</si>
  <si>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</si>
  <si>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</si>
  <si>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</si>
  <si>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</si>
  <si>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</si>
  <si>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</si>
  <si>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</si>
  <si>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</si>
  <si>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</si>
  <si>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</si>
  <si>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</si>
  <si>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</si>
  <si>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</si>
  <si>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</si>
  <si>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</si>
  <si>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</si>
  <si>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</si>
  <si>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</si>
  <si>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</si>
  <si>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</si>
  <si>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</si>
  <si>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</si>
  <si>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</si>
  <si>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</si>
  <si>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</si>
  <si>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</si>
  <si>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</si>
  <si>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</si>
  <si>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</si>
  <si>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</si>
  <si>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</si>
  <si>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</si>
  <si>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</si>
  <si>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</si>
  <si>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</si>
  <si>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</si>
  <si>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</si>
  <si>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</si>
  <si>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</si>
  <si>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</si>
  <si>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</si>
  <si>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</si>
  <si>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</si>
  <si>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</si>
  <si>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</si>
  <si>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</si>
  <si>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</si>
  <si>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</si>
  <si>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</si>
  <si>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</si>
  <si>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</si>
  <si>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</si>
  <si>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</si>
  <si>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</si>
  <si>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</si>
  <si>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</si>
  <si>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</si>
  <si>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</si>
  <si>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</si>
  <si>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</si>
  <si>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</si>
  <si>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</si>
  <si>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</si>
  <si>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</si>
  <si>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</si>
  <si>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</si>
  <si>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</si>
  <si>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</si>
  <si>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</si>
  <si>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</si>
  <si>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</si>
  <si>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</si>
  <si>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</si>
  <si>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</si>
  <si>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</si>
  <si>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</si>
  <si>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</si>
  <si>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</si>
  <si>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</si>
  <si>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</si>
  <si>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</si>
  <si>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</si>
  <si>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</si>
  <si>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</si>
  <si>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</si>
  <si>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</si>
  <si>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</si>
  <si>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</si>
  <si>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</si>
  <si>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</si>
  <si>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</si>
  <si>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</si>
  <si>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</si>
  <si>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</si>
  <si>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</si>
  <si>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</si>
  <si>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</si>
  <si>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</si>
  <si>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</si>
  <si>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</si>
  <si>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</si>
  <si>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</si>
  <si>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</si>
  <si>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</si>
  <si>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</si>
  <si>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</si>
  <si>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</si>
  <si>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</si>
  <si>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</si>
  <si>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</si>
  <si>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</si>
  <si>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</si>
  <si>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</si>
  <si>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</si>
  <si>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</si>
  <si>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</si>
  <si>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</si>
  <si>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</si>
  <si>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</si>
  <si>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</si>
  <si>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</si>
  <si>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</si>
  <si>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</si>
  <si>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</si>
  <si>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</si>
  <si>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</si>
  <si>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</si>
  <si>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</si>
  <si>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</si>
  <si>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</si>
  <si>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</si>
  <si>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</si>
  <si>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</si>
  <si>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</si>
  <si>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</si>
  <si>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</si>
  <si>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</si>
  <si>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</si>
  <si>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</si>
  <si>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</si>
  <si>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</si>
  <si>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</si>
  <si>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</si>
  <si>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</si>
  <si>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</si>
  <si>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</si>
  <si>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</si>
  <si>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</si>
  <si>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</si>
  <si>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</si>
  <si>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</si>
  <si>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</si>
  <si>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</si>
  <si>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</si>
  <si>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</si>
  <si>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</si>
  <si>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</si>
  <si>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</si>
  <si>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</si>
  <si>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</si>
  <si>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</si>
  <si>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</si>
  <si>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</si>
  <si>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</si>
  <si>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</si>
  <si>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</si>
  <si>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</si>
  <si>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</si>
  <si>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</si>
  <si>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</si>
  <si>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</si>
  <si>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</si>
  <si>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</si>
  <si>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</si>
  <si>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</si>
  <si>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</si>
  <si>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</si>
  <si>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</si>
  <si>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</si>
  <si>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</si>
  <si>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</si>
  <si>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</si>
  <si>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</si>
  <si>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</si>
  <si>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</si>
  <si>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</si>
  <si>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</si>
  <si>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</si>
  <si>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</si>
  <si>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</si>
  <si>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</si>
  <si>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</si>
  <si>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</si>
  <si>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</si>
  <si>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</si>
  <si>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</si>
  <si>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</si>
  <si>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</si>
  <si>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</si>
  <si>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</si>
  <si>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</si>
  <si>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</si>
  <si>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</si>
  <si>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</si>
  <si>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</si>
  <si>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</si>
  <si>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</si>
  <si>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</si>
  <si>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</si>
  <si>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</si>
  <si>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</si>
  <si>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</si>
  <si>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</si>
  <si>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</si>
  <si>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</si>
  <si>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</si>
  <si>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</si>
  <si>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</si>
  <si>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</si>
  <si>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</si>
  <si>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</si>
  <si>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</si>
  <si>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</si>
  <si>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</si>
  <si>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</si>
  <si>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</si>
  <si>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</si>
  <si>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</si>
  <si>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</si>
  <si>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</si>
  <si>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</si>
  <si>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</si>
  <si>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</si>
  <si>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</si>
  <si>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</si>
  <si>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</si>
  <si>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</si>
  <si>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</si>
  <si>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</si>
  <si>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</si>
  <si>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</si>
  <si>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</si>
  <si>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</si>
  <si>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</si>
  <si>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</si>
  <si>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</si>
  <si>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</si>
  <si>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</si>
  <si>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</si>
  <si>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</si>
  <si>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</si>
  <si>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</si>
  <si>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</si>
  <si>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</si>
  <si>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</si>
  <si>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</si>
  <si>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</si>
  <si>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</si>
  <si>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</si>
  <si>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</si>
  <si>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</si>
  <si>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</si>
  <si>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</si>
  <si>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</si>
  <si>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</si>
  <si>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</si>
  <si>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</si>
  <si>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</si>
  <si>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</si>
  <si>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</si>
  <si>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</si>
  <si>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</si>
  <si>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</si>
  <si>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</si>
  <si>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</si>
  <si>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</si>
  <si>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</si>
  <si>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</si>
  <si>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</si>
  <si>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</si>
  <si>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</si>
  <si>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</si>
  <si>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</si>
  <si>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</si>
  <si>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</si>
  <si>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</si>
  <si>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</si>
  <si>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</si>
  <si>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</si>
  <si>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</si>
  <si>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</si>
  <si>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</si>
  <si>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</si>
  <si>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</si>
  <si>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</si>
  <si>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</si>
  <si>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</si>
  <si>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</si>
  <si>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</si>
  <si>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</si>
  <si>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</si>
  <si>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</si>
  <si>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</si>
  <si>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</si>
  <si>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</si>
  <si>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</si>
  <si>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</si>
  <si>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</si>
  <si>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</si>
  <si>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</si>
  <si>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</si>
  <si>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</si>
  <si>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</si>
  <si>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</si>
  <si>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</si>
  <si>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</si>
  <si>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</si>
  <si>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</si>
  <si>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</si>
  <si>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</si>
  <si>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</si>
  <si>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</si>
  <si>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</si>
  <si>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</si>
  <si>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</si>
  <si>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</si>
  <si>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</si>
  <si>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</si>
  <si>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</si>
  <si>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</si>
  <si>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</si>
  <si>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</si>
  <si>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</si>
  <si>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</si>
  <si>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</si>
  <si>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</si>
  <si>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</si>
  <si>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</si>
  <si>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</si>
  <si>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</si>
  <si>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</si>
  <si>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</si>
  <si>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</si>
  <si>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</si>
  <si>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</si>
  <si>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</si>
  <si>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</si>
  <si>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</si>
  <si>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</si>
  <si>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</si>
  <si>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</si>
  <si>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</si>
  <si>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</si>
  <si>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</si>
  <si>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</si>
  <si>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</si>
  <si>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</si>
  <si>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</si>
  <si>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</si>
  <si>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</si>
  <si>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</si>
  <si>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</si>
  <si>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</si>
  <si>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</si>
  <si>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</si>
  <si>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</si>
  <si>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</si>
  <si>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</si>
  <si>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</si>
  <si>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</si>
  <si>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</si>
  <si>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</si>
  <si>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</si>
  <si>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</si>
  <si>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</si>
  <si>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</si>
  <si>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</si>
  <si>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</si>
  <si>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</si>
  <si>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</si>
  <si>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</si>
  <si>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</si>
  <si>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</si>
  <si>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</si>
  <si>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</si>
  <si>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</si>
  <si>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</si>
  <si>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</si>
  <si>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</si>
  <si>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</si>
  <si>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</si>
  <si>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</si>
  <si>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</si>
  <si>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</si>
  <si>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</si>
  <si>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</si>
  <si>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</si>
  <si>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</si>
  <si>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</si>
  <si>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</si>
  <si>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</si>
  <si>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</si>
  <si>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</si>
  <si>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</si>
  <si>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</si>
  <si>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</si>
  <si>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</si>
  <si>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</si>
  <si>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</si>
  <si>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</si>
  <si>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</si>
  <si>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</si>
  <si>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</si>
  <si>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</si>
  <si>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</si>
  <si>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</si>
  <si>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</si>
  <si>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</si>
  <si>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</si>
  <si>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</si>
  <si>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</si>
  <si>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</si>
  <si>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</si>
  <si>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</si>
  <si>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</si>
  <si>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</si>
  <si>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</si>
  <si>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</si>
  <si>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</si>
  <si>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</si>
  <si>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</si>
  <si>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</si>
  <si>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</si>
  <si>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</si>
  <si>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</si>
  <si>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</si>
  <si>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</si>
  <si>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</si>
  <si>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</si>
  <si>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</si>
  <si>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</si>
  <si>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</si>
  <si>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</si>
  <si>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</si>
  <si>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</si>
  <si>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</si>
  <si>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</si>
  <si>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</si>
  <si>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</si>
  <si>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</si>
  <si>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</si>
  <si>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</si>
  <si>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</si>
  <si>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</si>
  <si>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</si>
  <si>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</si>
  <si>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</si>
  <si>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</si>
  <si>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</si>
  <si>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</si>
  <si>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</si>
  <si>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</si>
  <si>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</si>
  <si>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</si>
  <si>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</si>
  <si>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</si>
  <si>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</si>
  <si>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</si>
  <si>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</si>
  <si>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</si>
  <si>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</si>
  <si>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</si>
  <si>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</si>
  <si>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</si>
  <si>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</si>
  <si>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</si>
  <si>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</si>
  <si>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</si>
  <si>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</si>
  <si>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</si>
  <si>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</si>
  <si>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</si>
  <si>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</si>
  <si>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</si>
  <si>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</si>
  <si>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</si>
  <si>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</si>
  <si>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</si>
  <si>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</si>
  <si>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</si>
  <si>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</si>
  <si>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</si>
  <si>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</si>
  <si>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</si>
  <si>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</si>
  <si>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</si>
  <si>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</si>
  <si>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</si>
  <si>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</si>
  <si>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</si>
  <si>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</si>
  <si>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</si>
  <si>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</si>
  <si>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</si>
  <si>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</si>
  <si>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</si>
  <si>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</si>
  <si>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</si>
  <si>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</si>
  <si>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</si>
  <si>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</si>
  <si>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</si>
  <si>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</si>
  <si>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</si>
  <si>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</si>
  <si>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</si>
  <si>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</si>
  <si>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</si>
  <si>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</si>
  <si>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</si>
  <si>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</si>
  <si>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</si>
  <si>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</si>
  <si>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</si>
  <si>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</si>
  <si>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</si>
  <si>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</si>
  <si>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</si>
  <si>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</si>
  <si>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</si>
  <si>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</si>
  <si>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</si>
  <si>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</si>
  <si>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</si>
  <si>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</si>
  <si>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</si>
  <si>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</si>
  <si>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</si>
  <si>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</si>
  <si>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</si>
  <si>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</si>
  <si>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</si>
  <si>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</si>
  <si>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</si>
  <si>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</si>
  <si>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</si>
  <si>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</si>
  <si>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</si>
  <si>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</si>
  <si>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</si>
  <si>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</si>
  <si>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</si>
  <si>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</si>
  <si>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</si>
  <si>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</si>
  <si>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</si>
  <si>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</si>
  <si>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</si>
  <si>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</si>
  <si>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</si>
  <si>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</si>
  <si>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</si>
  <si>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</si>
  <si>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</si>
  <si>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</si>
  <si>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</si>
  <si>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</si>
  <si>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</si>
  <si>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</si>
  <si>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</si>
  <si>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</si>
  <si>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</si>
  <si>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</si>
  <si>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</si>
  <si>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</si>
  <si>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</si>
  <si>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</si>
  <si>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</si>
  <si>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</si>
  <si>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</si>
  <si>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</si>
  <si>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</si>
  <si>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</si>
  <si>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</si>
  <si>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</si>
  <si>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</si>
  <si>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</si>
  <si>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</si>
  <si>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</si>
  <si>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</si>
  <si>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</si>
  <si>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</si>
  <si>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</si>
  <si>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</si>
  <si>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</si>
  <si>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</si>
  <si>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</si>
  <si>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</si>
  <si>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</si>
  <si>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</si>
  <si>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</si>
  <si>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王鹏</t>
  </si>
  <si>
    <t>郑燚</t>
  </si>
  <si>
    <t>23#、24#公寓</t>
  </si>
  <si>
    <t>A1</t>
  </si>
  <si>
    <t>2层</t>
  </si>
  <si>
    <t>公寓</t>
  </si>
  <si>
    <t>B1</t>
  </si>
  <si>
    <t>C1</t>
  </si>
  <si>
    <t>3层</t>
  </si>
  <si>
    <t>4层</t>
  </si>
  <si>
    <t>16层</t>
  </si>
  <si>
    <t>17层</t>
  </si>
  <si>
    <t>18层</t>
  </si>
  <si>
    <t>13层</t>
  </si>
  <si>
    <t>商铺</t>
  </si>
  <si>
    <t>1层</t>
  </si>
  <si>
    <t>大商业一层</t>
    <phoneticPr fontId="3" type="noConversion"/>
  </si>
  <si>
    <t>大商业二层</t>
  </si>
  <si>
    <t>101铺</t>
  </si>
  <si>
    <t>102铺</t>
  </si>
  <si>
    <t>103铺</t>
  </si>
  <si>
    <t>104铺</t>
  </si>
  <si>
    <t>109铺</t>
  </si>
  <si>
    <t>111铺</t>
  </si>
  <si>
    <t>112铺</t>
  </si>
  <si>
    <t>113铺</t>
  </si>
  <si>
    <t>114铺</t>
  </si>
  <si>
    <t>115铺</t>
  </si>
  <si>
    <t>120铺</t>
  </si>
  <si>
    <t>121铺</t>
  </si>
  <si>
    <t>122铺</t>
  </si>
  <si>
    <t>123铺</t>
  </si>
  <si>
    <t>124铺</t>
  </si>
  <si>
    <t>125铺</t>
  </si>
  <si>
    <t>126铺</t>
  </si>
  <si>
    <t>130铺</t>
  </si>
  <si>
    <t>131铺</t>
  </si>
  <si>
    <t>132铺</t>
  </si>
  <si>
    <t>133铺</t>
  </si>
  <si>
    <t>134铺</t>
  </si>
  <si>
    <t>135铺</t>
  </si>
  <si>
    <t>136铺</t>
  </si>
  <si>
    <t>137铺</t>
  </si>
  <si>
    <t>138铺</t>
  </si>
  <si>
    <t>序号</t>
  </si>
  <si>
    <t>幢号</t>
  </si>
  <si>
    <t>户型</t>
  </si>
  <si>
    <t>楼层</t>
  </si>
  <si>
    <t>房号</t>
  </si>
  <si>
    <t>实测建筑面积</t>
    <phoneticPr fontId="3" type="noConversion"/>
  </si>
  <si>
    <t>产品类型</t>
  </si>
  <si>
    <t>昆仑信托有限责任公司</t>
    <phoneticPr fontId="6" type="noConversion"/>
  </si>
  <si>
    <t>海南昂立投资有限公司</t>
    <phoneticPr fontId="6" type="noConversion"/>
  </si>
  <si>
    <t>抵押</t>
  </si>
  <si>
    <t>已注销</t>
  </si>
  <si>
    <t>房地产抵押价值</t>
  </si>
  <si>
    <t>其他：</t>
  </si>
  <si>
    <t>海南省文昌市</t>
    <phoneticPr fontId="6" type="noConversion"/>
  </si>
  <si>
    <t>企业</t>
  </si>
  <si>
    <t>青澜新市区高隆湾沿海地段</t>
    <phoneticPr fontId="6" type="noConversion"/>
  </si>
  <si>
    <t>出让</t>
  </si>
  <si>
    <t>抵押物清单/测绘报告</t>
    <phoneticPr fontId="6" type="noConversion"/>
  </si>
  <si>
    <t>与测绘报告不符，需确认</t>
    <phoneticPr fontId="143" type="noConversion"/>
  </si>
  <si>
    <t>需确认所在楼幢</t>
    <phoneticPr fontId="143" type="noConversion"/>
  </si>
  <si>
    <t>二期23#/24#住宅在建工程</t>
  </si>
  <si>
    <t>二期23#/24#住宅在建工程</t>
    <phoneticPr fontId="3" type="noConversion"/>
  </si>
  <si>
    <t>二期商业在建工程</t>
  </si>
  <si>
    <t>二期商业在建工程</t>
    <phoneticPr fontId="3" type="noConversion"/>
  </si>
  <si>
    <t>地上</t>
  </si>
  <si>
    <t>住宅</t>
  </si>
  <si>
    <t>存在租赁情况</t>
    <phoneticPr fontId="143" type="noConversion"/>
  </si>
  <si>
    <t>来源</t>
    <phoneticPr fontId="143" type="noConversion"/>
  </si>
  <si>
    <t>B1区总图</t>
    <phoneticPr fontId="143" type="noConversion"/>
  </si>
  <si>
    <t>1#</t>
    <phoneticPr fontId="143" type="noConversion"/>
  </si>
  <si>
    <t>2#</t>
  </si>
  <si>
    <t>3#</t>
  </si>
  <si>
    <t>4#</t>
  </si>
  <si>
    <t>23#</t>
    <phoneticPr fontId="143" type="noConversion"/>
  </si>
  <si>
    <t>24#</t>
    <phoneticPr fontId="143" type="noConversion"/>
  </si>
  <si>
    <t>S1</t>
    <phoneticPr fontId="143" type="noConversion"/>
  </si>
  <si>
    <t>用地面积</t>
    <phoneticPr fontId="143" type="noConversion"/>
  </si>
  <si>
    <t>预售许可证</t>
    <phoneticPr fontId="143" type="noConversion"/>
  </si>
  <si>
    <t>所在部位</t>
    <phoneticPr fontId="143" type="noConversion"/>
  </si>
  <si>
    <t>B区二组团</t>
    <phoneticPr fontId="143" type="noConversion"/>
  </si>
  <si>
    <t>5#</t>
    <phoneticPr fontId="143" type="noConversion"/>
  </si>
  <si>
    <t>6#</t>
    <phoneticPr fontId="143" type="noConversion"/>
  </si>
  <si>
    <t>预售许可证</t>
    <phoneticPr fontId="143" type="noConversion"/>
  </si>
  <si>
    <t>B区土地部分</t>
    <phoneticPr fontId="143" type="noConversion"/>
  </si>
  <si>
    <t>容积率及土地使用证</t>
    <phoneticPr fontId="143" type="noConversion"/>
  </si>
  <si>
    <t>B区一组团（经不动产权利人介绍A/B/C区统一规划，C区（商业）规划指标中未建部分在B区中建设，有关增容协议中所涉及增容部分无相关文件说明具体地块）</t>
    <phoneticPr fontId="143" type="noConversion"/>
  </si>
  <si>
    <t>B区在建工程部份（待建部分）</t>
  </si>
  <si>
    <t>B区在建工程部份（待建部分）</t>
    <phoneticPr fontId="143" type="noConversion"/>
  </si>
  <si>
    <t>B区全部-B区土地部分-B区已建部分</t>
    <phoneticPr fontId="143" type="noConversion"/>
  </si>
  <si>
    <t>B区已建部分未售</t>
    <phoneticPr fontId="143" type="noConversion"/>
  </si>
  <si>
    <t>未售清单</t>
    <phoneticPr fontId="143" type="noConversion"/>
  </si>
  <si>
    <t>非本测算表范围</t>
    <phoneticPr fontId="143" type="noConversion"/>
  </si>
  <si>
    <t>本测算表范围</t>
    <phoneticPr fontId="143" type="noConversion"/>
  </si>
  <si>
    <t>自用做办公</t>
    <phoneticPr fontId="143" type="noConversion"/>
  </si>
  <si>
    <t>是</t>
  </si>
  <si>
    <t>B区地上部分</t>
    <phoneticPr fontId="143" type="noConversion"/>
  </si>
  <si>
    <t>B区地库</t>
    <phoneticPr fontId="143" type="noConversion"/>
  </si>
  <si>
    <t>建筑面积</t>
    <phoneticPr fontId="143" type="noConversion"/>
  </si>
  <si>
    <t>B区地下室已测绘部分</t>
    <phoneticPr fontId="143" type="noConversion"/>
  </si>
  <si>
    <t>高隆湾1号地下室测绘报告</t>
    <phoneticPr fontId="143" type="noConversion"/>
  </si>
  <si>
    <t>B区地下未测绘部分</t>
    <phoneticPr fontId="143" type="noConversion"/>
  </si>
  <si>
    <t>收益法</t>
  </si>
  <si>
    <t>钢混</t>
  </si>
  <si>
    <t>非生产用房</t>
  </si>
  <si>
    <t>押一</t>
  </si>
  <si>
    <t>按租金收入计税</t>
  </si>
  <si>
    <t>在建（套用方法）</t>
  </si>
  <si>
    <t>成本法</t>
  </si>
  <si>
    <t>项目局部</t>
  </si>
  <si>
    <t>假设开发法</t>
  </si>
  <si>
    <t>地块名称</t>
  </si>
  <si>
    <t>城市</t>
  </si>
  <si>
    <t>用地性质</t>
  </si>
  <si>
    <t>区县</t>
  </si>
  <si>
    <t>板块</t>
  </si>
  <si>
    <t>土地位置</t>
  </si>
  <si>
    <t>出让方式</t>
  </si>
  <si>
    <t>地块编号</t>
  </si>
  <si>
    <t>详细规划</t>
  </si>
  <si>
    <t>建设用地面积(㎡)</t>
  </si>
  <si>
    <t>规划建筑面积(㎡)</t>
  </si>
  <si>
    <t>容积率</t>
  </si>
  <si>
    <t>商业比例</t>
  </si>
  <si>
    <t>截止日期</t>
  </si>
  <si>
    <t>成交日期</t>
  </si>
  <si>
    <t>受让单位</t>
  </si>
  <si>
    <t>起始价(万元)</t>
  </si>
  <si>
    <t>成交价(万元)</t>
  </si>
  <si>
    <t>成交楼面价(元/㎡)</t>
  </si>
  <si>
    <t>溢价率</t>
  </si>
  <si>
    <t>出让年限</t>
  </si>
  <si>
    <t>文昌市文城镇清澜开发区高隆湾沿海地段</t>
  </si>
  <si>
    <t>省直辖县级行政单位</t>
  </si>
  <si>
    <t>住宅用地</t>
  </si>
  <si>
    <t>文昌市</t>
  </si>
  <si>
    <t>挂牌</t>
  </si>
  <si>
    <t>文国土储(2014)-8-1号</t>
  </si>
  <si>
    <t>其他普通商品住房用地</t>
  </si>
  <si>
    <t>＞1且≤1.617</t>
  </si>
  <si>
    <t>2016-01-27</t>
  </si>
  <si>
    <t>晋唐集团海南房地产开发有限公司</t>
  </si>
  <si>
    <t>70年</t>
  </si>
  <si>
    <t>文国土储(2014)-8-2号</t>
  </si>
  <si>
    <t>文昌市文城镇清澜开发区北二环路东侧地段</t>
  </si>
  <si>
    <t>文国土储(2015)-3-1号</t>
  </si>
  <si>
    <t>中低价位、中小套型普通商品住房用地</t>
  </si>
  <si>
    <t>＞1,≤1.5</t>
  </si>
  <si>
    <t>2015-07-29</t>
  </si>
  <si>
    <t>海南八门湾红树林旅业开发有限公司</t>
  </si>
  <si>
    <t>住宅</t>
    <phoneticPr fontId="31" type="noConversion"/>
  </si>
  <si>
    <t>较好</t>
  </si>
  <si>
    <t>一般</t>
  </si>
  <si>
    <t>支路</t>
  </si>
  <si>
    <t>支路</t>
    <phoneticPr fontId="31" type="noConversion"/>
  </si>
  <si>
    <t>较规则</t>
  </si>
  <si>
    <t>较规则</t>
    <phoneticPr fontId="31" type="noConversion"/>
  </si>
  <si>
    <t>较好</t>
    <phoneticPr fontId="31" type="noConversion"/>
  </si>
  <si>
    <t>六通</t>
  </si>
  <si>
    <t>未包含在土地购买价格中</t>
  </si>
  <si>
    <t>已包含在土地取得成本中</t>
  </si>
  <si>
    <t>别墅</t>
    <phoneticPr fontId="25" type="noConversion"/>
  </si>
  <si>
    <t>高层</t>
  </si>
  <si>
    <t>高层</t>
    <phoneticPr fontId="25" type="noConversion"/>
  </si>
  <si>
    <t>钢混</t>
    <phoneticPr fontId="25" type="noConversion"/>
  </si>
  <si>
    <t>高档</t>
  </si>
  <si>
    <t>高档</t>
    <phoneticPr fontId="25" type="noConversion"/>
  </si>
  <si>
    <t>精装修</t>
  </si>
  <si>
    <t>精装修</t>
    <phoneticPr fontId="25" type="noConversion"/>
  </si>
  <si>
    <t>专业</t>
  </si>
  <si>
    <t>专业</t>
    <phoneticPr fontId="25" type="noConversion"/>
  </si>
  <si>
    <t>50-60（含）</t>
  </si>
  <si>
    <t>60-70（含）</t>
  </si>
  <si>
    <t>住宅</t>
    <phoneticPr fontId="25" type="noConversion"/>
  </si>
  <si>
    <t>海拓澜湾</t>
    <phoneticPr fontId="3" type="noConversion"/>
  </si>
  <si>
    <t>项目位置</t>
    <phoneticPr fontId="3" type="noConversion"/>
  </si>
  <si>
    <t>恒大晋唐海湾</t>
    <phoneticPr fontId="3" type="noConversion"/>
  </si>
  <si>
    <t>波溪丽亚湾</t>
    <phoneticPr fontId="3" type="noConversion"/>
  </si>
  <si>
    <t>地上单价</t>
    <phoneticPr fontId="8" type="noConversion"/>
  </si>
</sst>
</file>

<file path=xl/styles.xml><?xml version="1.0" encoding="utf-8"?>
<styleSheet xmlns="http://schemas.openxmlformats.org/spreadsheetml/2006/main">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华文细黑"/>
      <family val="3"/>
      <charset val="134"/>
    </font>
    <font>
      <b/>
      <sz val="11"/>
      <name val="华文细黑"/>
      <family val="3"/>
      <charset val="134"/>
    </font>
    <font>
      <b/>
      <sz val="11"/>
      <color rgb="FFFF0000"/>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254" fillId="0" borderId="1" xfId="0" applyFont="1" applyFill="1" applyBorder="1" applyAlignment="1">
      <alignment horizontal="center"/>
    </xf>
    <xf numFmtId="0" fontId="254" fillId="0" borderId="1" xfId="0" applyFont="1" applyFill="1" applyBorder="1" applyAlignment="1">
      <alignment horizontal="center" vertical="center"/>
    </xf>
    <xf numFmtId="0" fontId="254" fillId="0" borderId="1" xfId="0" applyFont="1" applyFill="1" applyBorder="1" applyAlignment="1">
      <alignment horizontal="center" vertical="top"/>
    </xf>
    <xf numFmtId="197" fontId="254" fillId="0" borderId="1" xfId="0" applyNumberFormat="1" applyFont="1" applyFill="1" applyBorder="1" applyAlignment="1">
      <alignment horizontal="center" vertical="top"/>
    </xf>
    <xf numFmtId="0" fontId="255" fillId="17" borderId="1" xfId="0" applyFont="1" applyFill="1" applyBorder="1" applyAlignment="1">
      <alignment vertical="center" wrapText="1"/>
    </xf>
    <xf numFmtId="0" fontId="255" fillId="17" borderId="1" xfId="0" applyFont="1" applyFill="1" applyBorder="1" applyAlignment="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256" fillId="0" borderId="15" xfId="0" applyFont="1" applyFill="1" applyBorder="1" applyAlignment="1">
      <alignment horizontal="center" vertical="top"/>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97" fontId="0" fillId="0" borderId="0" xfId="0" applyNumberFormat="1">
      <alignment vertical="center"/>
    </xf>
    <xf numFmtId="0" fontId="114" fillId="0" borderId="0" xfId="0" applyFont="1">
      <alignment vertical="center"/>
    </xf>
    <xf numFmtId="0" fontId="99" fillId="0" borderId="1" xfId="0" applyFont="1" applyBorder="1" applyAlignment="1">
      <alignment vertical="center"/>
    </xf>
    <xf numFmtId="0" fontId="99" fillId="0" borderId="1" xfId="0" applyFont="1" applyBorder="1" applyAlignment="1">
      <alignment horizontal="left" vertical="center"/>
    </xf>
    <xf numFmtId="0" fontId="0" fillId="0" borderId="1" xfId="0" applyBorder="1" applyAlignment="1">
      <alignment horizontal="left" vertical="center"/>
    </xf>
    <xf numFmtId="0" fontId="0" fillId="18" borderId="1" xfId="0" applyFill="1" applyBorder="1" applyAlignment="1">
      <alignment horizontal="left" vertical="center"/>
    </xf>
    <xf numFmtId="0" fontId="99" fillId="18" borderId="0" xfId="0" applyFont="1" applyFill="1">
      <alignment vertical="center"/>
    </xf>
    <xf numFmtId="0" fontId="99" fillId="19" borderId="0" xfId="0" applyFont="1" applyFill="1">
      <alignment vertical="center"/>
    </xf>
    <xf numFmtId="0" fontId="0" fillId="19" borderId="1" xfId="0" applyFill="1" applyBorder="1" applyAlignment="1">
      <alignment horizontal="left" vertical="center"/>
    </xf>
    <xf numFmtId="0" fontId="0" fillId="19" borderId="1" xfId="0" applyNumberFormat="1" applyFill="1" applyBorder="1" applyAlignment="1">
      <alignment horizontal="left" vertical="center"/>
    </xf>
    <xf numFmtId="0" fontId="99" fillId="0" borderId="13" xfId="0" applyFont="1" applyBorder="1" applyAlignment="1">
      <alignment vertical="center"/>
    </xf>
    <xf numFmtId="0" fontId="99" fillId="0" borderId="1" xfId="0" applyFont="1" applyFill="1" applyBorder="1" applyAlignment="1">
      <alignment vertical="center"/>
    </xf>
    <xf numFmtId="0" fontId="0" fillId="19" borderId="1" xfId="0" applyFill="1" applyBorder="1" applyAlignment="1">
      <alignment vertical="center"/>
    </xf>
    <xf numFmtId="0" fontId="99" fillId="19" borderId="1" xfId="0" applyFont="1" applyFill="1" applyBorder="1" applyAlignment="1">
      <alignment vertical="center"/>
    </xf>
    <xf numFmtId="0" fontId="99" fillId="18" borderId="1" xfId="0" applyFont="1" applyFill="1" applyBorder="1" applyAlignment="1">
      <alignment vertical="center"/>
    </xf>
    <xf numFmtId="0" fontId="47" fillId="19" borderId="23" xfId="0" applyFont="1" applyFill="1" applyBorder="1" applyAlignment="1" applyProtection="1">
      <alignment vertical="center"/>
      <protection locked="0"/>
    </xf>
    <xf numFmtId="0" fontId="0" fillId="19" borderId="0" xfId="0" applyFill="1" applyAlignme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19" borderId="0" xfId="0" applyFont="1" applyFill="1" applyAlignment="1" applyProtection="1">
      <alignment horizontal="center" vertical="center"/>
      <protection locked="0"/>
    </xf>
    <xf numFmtId="0" fontId="50" fillId="19" borderId="0" xfId="0"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4" fillId="0" borderId="1" xfId="0" applyFont="1" applyFill="1" applyBorder="1" applyAlignment="1">
      <alignment horizontal="center"/>
    </xf>
    <xf numFmtId="0" fontId="99" fillId="0" borderId="1" xfId="0" applyFont="1" applyBorder="1" applyAlignment="1">
      <alignment vertical="center"/>
    </xf>
    <xf numFmtId="0" fontId="0" fillId="0" borderId="1" xfId="0" applyBorder="1" applyAlignment="1">
      <alignment vertical="center"/>
    </xf>
    <xf numFmtId="0" fontId="99" fillId="0" borderId="36" xfId="0" applyFont="1" applyBorder="1" applyAlignment="1">
      <alignment vertical="center"/>
    </xf>
    <xf numFmtId="0" fontId="0" fillId="0" borderId="1" xfId="0" applyBorder="1" applyAlignment="1">
      <alignment horizontal="left" vertical="center"/>
    </xf>
    <xf numFmtId="0" fontId="0" fillId="0" borderId="13" xfId="0" applyBorder="1" applyAlignment="1">
      <alignment horizontal="left" vertical="center"/>
    </xf>
    <xf numFmtId="0" fontId="0" fillId="0" borderId="2" xfId="0" applyBorder="1" applyAlignment="1">
      <alignment horizontal="left" vertical="center"/>
    </xf>
    <xf numFmtId="0" fontId="99" fillId="19" borderId="1" xfId="0" applyFont="1" applyFill="1" applyBorder="1" applyAlignment="1">
      <alignment vertical="center"/>
    </xf>
    <xf numFmtId="0" fontId="99" fillId="18" borderId="5" xfId="0" applyFont="1" applyFill="1" applyBorder="1" applyAlignment="1">
      <alignment vertical="center"/>
    </xf>
    <xf numFmtId="0" fontId="99" fillId="18" borderId="3" xfId="0" applyFont="1" applyFill="1" applyBorder="1" applyAlignment="1">
      <alignment vertical="center"/>
    </xf>
    <xf numFmtId="0" fontId="99" fillId="0" borderId="13" xfId="0" applyFont="1" applyBorder="1" applyAlignment="1">
      <alignment horizontal="center" vertical="center" wrapText="1"/>
    </xf>
    <xf numFmtId="0" fontId="99" fillId="0" borderId="15" xfId="0" applyFont="1" applyBorder="1" applyAlignment="1">
      <alignment horizontal="center" vertical="center" wrapText="1"/>
    </xf>
    <xf numFmtId="0" fontId="99" fillId="0" borderId="2" xfId="0" applyFont="1" applyBorder="1" applyAlignment="1">
      <alignment horizontal="center" vertical="center" wrapText="1"/>
    </xf>
    <xf numFmtId="0" fontId="0" fillId="0" borderId="15" xfId="0" applyBorder="1" applyAlignment="1">
      <alignment horizontal="lef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600075</xdr:colOff>
      <xdr:row>0</xdr:row>
      <xdr:rowOff>19050</xdr:rowOff>
    </xdr:from>
    <xdr:to>
      <xdr:col>22</xdr:col>
      <xdr:colOff>533400</xdr:colOff>
      <xdr:row>13</xdr:row>
      <xdr:rowOff>104775</xdr:rowOff>
    </xdr:to>
    <xdr:pic>
      <xdr:nvPicPr>
        <xdr:cNvPr id="11264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6316325" y="19050"/>
          <a:ext cx="4048125" cy="288607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6</xdr:row>
      <xdr:rowOff>0</xdr:rowOff>
    </xdr:from>
    <xdr:to>
      <xdr:col>16</xdr:col>
      <xdr:colOff>314325</xdr:colOff>
      <xdr:row>31</xdr:row>
      <xdr:rowOff>161925</xdr:rowOff>
    </xdr:to>
    <xdr:pic>
      <xdr:nvPicPr>
        <xdr:cNvPr id="11366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630525" y="990600"/>
          <a:ext cx="7705725" cy="4448175"/>
        </a:xfrm>
        <a:prstGeom prst="rect">
          <a:avLst/>
        </a:prstGeom>
        <a:noFill/>
        <a:ln w="1">
          <a:noFill/>
          <a:miter lim="800000"/>
          <a:headEnd/>
          <a:tailEnd type="none" w="med" len="med"/>
        </a:ln>
        <a:effectLst/>
      </xdr:spPr>
    </xdr:pic>
    <xdr:clientData/>
  </xdr:twoCellAnchor>
  <xdr:twoCellAnchor editAs="oneCell">
    <xdr:from>
      <xdr:col>10</xdr:col>
      <xdr:colOff>0</xdr:colOff>
      <xdr:row>34</xdr:row>
      <xdr:rowOff>0</xdr:rowOff>
    </xdr:from>
    <xdr:to>
      <xdr:col>17</xdr:col>
      <xdr:colOff>600075</xdr:colOff>
      <xdr:row>61</xdr:row>
      <xdr:rowOff>9525</xdr:rowOff>
    </xdr:to>
    <xdr:pic>
      <xdr:nvPicPr>
        <xdr:cNvPr id="11366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5630525" y="5791200"/>
          <a:ext cx="8991600" cy="4638675"/>
        </a:xfrm>
        <a:prstGeom prst="rect">
          <a:avLst/>
        </a:prstGeom>
        <a:noFill/>
        <a:ln w="1">
          <a:noFill/>
          <a:miter lim="800000"/>
          <a:headEnd/>
          <a:tailEnd type="none" w="med" len="med"/>
        </a:ln>
        <a:effectLst/>
      </xdr:spPr>
    </xdr:pic>
    <xdr:clientData/>
  </xdr:twoCellAnchor>
  <xdr:twoCellAnchor editAs="oneCell">
    <xdr:from>
      <xdr:col>10</xdr:col>
      <xdr:colOff>0</xdr:colOff>
      <xdr:row>65</xdr:row>
      <xdr:rowOff>0</xdr:rowOff>
    </xdr:from>
    <xdr:to>
      <xdr:col>16</xdr:col>
      <xdr:colOff>866775</xdr:colOff>
      <xdr:row>87</xdr:row>
      <xdr:rowOff>142875</xdr:rowOff>
    </xdr:to>
    <xdr:pic>
      <xdr:nvPicPr>
        <xdr:cNvPr id="11366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5630525" y="11106150"/>
          <a:ext cx="8258175" cy="3914775"/>
        </a:xfrm>
        <a:prstGeom prst="rect">
          <a:avLst/>
        </a:prstGeom>
        <a:noFill/>
        <a:ln w="1">
          <a:noFill/>
          <a:miter lim="800000"/>
          <a:headEnd/>
          <a:tailEnd type="none" w="med" len="med"/>
        </a:ln>
        <a:effectLst/>
      </xdr:spPr>
    </xdr:pic>
    <xdr:clientData/>
  </xdr:twoCellAnchor>
  <xdr:twoCellAnchor editAs="oneCell">
    <xdr:from>
      <xdr:col>10</xdr:col>
      <xdr:colOff>0</xdr:colOff>
      <xdr:row>89</xdr:row>
      <xdr:rowOff>0</xdr:rowOff>
    </xdr:from>
    <xdr:to>
      <xdr:col>16</xdr:col>
      <xdr:colOff>895350</xdr:colOff>
      <xdr:row>110</xdr:row>
      <xdr:rowOff>123825</xdr:rowOff>
    </xdr:to>
    <xdr:pic>
      <xdr:nvPicPr>
        <xdr:cNvPr id="11366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15630525" y="15220950"/>
          <a:ext cx="8286750" cy="3724275"/>
        </a:xfrm>
        <a:prstGeom prst="rect">
          <a:avLst/>
        </a:prstGeom>
        <a:noFill/>
        <a:ln w="1">
          <a:noFill/>
          <a:miter lim="800000"/>
          <a:headEnd/>
          <a:tailEnd type="none" w="med" len="med"/>
        </a:ln>
        <a:effectLst/>
      </xdr:spPr>
    </xdr:pic>
    <xdr:clientData/>
  </xdr:twoCellAnchor>
  <xdr:twoCellAnchor editAs="oneCell">
    <xdr:from>
      <xdr:col>10</xdr:col>
      <xdr:colOff>0</xdr:colOff>
      <xdr:row>113</xdr:row>
      <xdr:rowOff>0</xdr:rowOff>
    </xdr:from>
    <xdr:to>
      <xdr:col>17</xdr:col>
      <xdr:colOff>28575</xdr:colOff>
      <xdr:row>134</xdr:row>
      <xdr:rowOff>133350</xdr:rowOff>
    </xdr:to>
    <xdr:pic>
      <xdr:nvPicPr>
        <xdr:cNvPr id="113669"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15630525" y="19335750"/>
          <a:ext cx="8420100" cy="373380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5151;&#22320;&#20135;-B&#21306;&#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5151;&#22320;&#20135;-C&#21306;&#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5151;&#22320;&#20135;-A&#21306;&#29616;&#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5151;&#22320;&#20135;-A&#21306;&#22312;&#243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范围"/>
      <sheetName val="数据-汇总表"/>
      <sheetName val="数据-取费表"/>
      <sheetName val="估价对象房地状况"/>
      <sheetName val="系统读取表"/>
      <sheetName val="结果表"/>
      <sheetName val="成本法"/>
      <sheetName val="成本法 (元)"/>
      <sheetName val="土地比较法-住宅"/>
      <sheetName val="假设开发法"/>
      <sheetName val="收益法 (元)"/>
      <sheetName val="收益法（汇总）"/>
      <sheetName val="酒店收入计算"/>
      <sheetName val="比较法-住宅"/>
      <sheetName val="收益法"/>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36516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
      <sheetName val="假设开发法"/>
      <sheetName val="收益法 (元)"/>
      <sheetName val="收益法（汇总）"/>
      <sheetName val="酒店收入计算"/>
      <sheetName val="比较法-住宅"/>
      <sheetName val="收益法"/>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27657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范围"/>
      <sheetName val="数据-汇总表"/>
      <sheetName val="数据-取费表"/>
      <sheetName val="估价对象房地状况"/>
      <sheetName val="系统读取表"/>
      <sheetName val="结果表"/>
      <sheetName val="成本法"/>
      <sheetName val="成本法 (元)"/>
      <sheetName val="土地比较法-住宅"/>
      <sheetName val="假设开发法"/>
      <sheetName val="收益法 (元)"/>
      <sheetName val="收益法（汇总）"/>
      <sheetName val="酒店收入计算"/>
      <sheetName val="比较法-住宅"/>
      <sheetName val="收益法"/>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5">
          <cell r="J25">
            <v>20711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范围"/>
      <sheetName val="数据-汇总表"/>
      <sheetName val="数据-取费表"/>
      <sheetName val="估价对象房地状况"/>
      <sheetName val="系统读取表"/>
      <sheetName val="结果表"/>
      <sheetName val="成本法"/>
      <sheetName val="成本法 (元)"/>
      <sheetName val="土地比较法-住宅"/>
      <sheetName val="假设开发法"/>
      <sheetName val="收益法 (元)"/>
      <sheetName val="收益法（汇总）"/>
      <sheetName val="酒店收入计算"/>
      <sheetName val="比较法-住宅"/>
      <sheetName val="收益法"/>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3061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海南省文昌市青澜新市区高隆湾沿海地段出让国有建设用地使用权及在建建筑物房地产抵押价值预评估</v>
      </c>
    </row>
    <row r="3" spans="1:2" s="1595" customFormat="1">
      <c r="A3" s="1593" t="s">
        <v>1221</v>
      </c>
      <c r="B3" s="1594" t="str">
        <f>'预评函-封皮'!B40</f>
        <v>海南昂立投资有限公司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受贵公司委托，我公司对海南省文昌市青澜新市区高隆湾沿海地段出让国有建设用地使用权及在建建筑物房地产抵押价值进行了预评估。</v>
      </c>
    </row>
    <row r="7" spans="1:2" s="1595" customFormat="1">
      <c r="A7" s="1593" t="s">
        <v>1264</v>
      </c>
      <c r="B7" s="1594" t="str">
        <f>'预评函-1'!A7</f>
        <v>估价对象为海南省文昌市青澜新市区高隆湾沿海地段出让国有建设用地使用权及在建建筑物房地产，为海南昂立投资有限公司所有。根据《国有土地使用证》[]，估价对象（分摊）出让国有建设用地使用权面积为154884.56平方米，建筑面积为296702.55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海南省文昌市青澜新市区高隆湾沿海地段出让国有建设用地使用权及在建建筑物房地产,属海南昂立投资有限公司开发建设的，该项目尚在开发建设中。根据《国有土地使用证》[]，估价对象（分摊）出让国有建设用地使用权面积为154884.56平方米，规划建筑面积为296702.55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为估价委托人在向昆仑信托有限责任公司办理贷款手续过程中，确定房地产抵押贷款额度提供参考依据而评估房地产抵押价值。</v>
      </c>
    </row>
    <row r="12" spans="1:2" s="1595" customFormat="1">
      <c r="A12" s="1593" t="s">
        <v>1226</v>
      </c>
      <c r="B12" s="1594" t="str">
        <f>'预评函-1'!A15</f>
        <v>2018年3月27日（评估专业人员实地查勘之日）</v>
      </c>
    </row>
    <row r="13" spans="1:2" s="1595" customFormat="1">
      <c r="A13" s="1593" t="s">
        <v>1227</v>
      </c>
      <c r="B13" s="1594" t="str">
        <f>'预评函-1'!A18</f>
        <v>本次估价的“房地产价值”是指在正常市场情况下，在价值时点2018年3月27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107513</v>
      </c>
    </row>
    <row r="21" spans="1:2" s="1595" customFormat="1">
      <c r="A21" s="1593" t="s">
        <v>1235</v>
      </c>
      <c r="B21" s="1594">
        <f ca="1">'预评函-2'!D7</f>
        <v>3624</v>
      </c>
    </row>
    <row r="22" spans="1:2" s="1595" customFormat="1">
      <c r="A22" s="1593" t="s">
        <v>1236</v>
      </c>
      <c r="B22" s="1594" t="str">
        <f ca="1">'预评函-2'!D6</f>
        <v>壹拾亿柒仟伍佰壹拾叁万元整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v>
      </c>
    </row>
    <row r="30" spans="1:2" s="1595" customFormat="1">
      <c r="A30" s="1593" t="s">
        <v>1292</v>
      </c>
      <c r="B30" s="1594" t="str">
        <f>'预评函-2'!D13</f>
        <v>——</v>
      </c>
    </row>
    <row r="31" spans="1:2" s="1595" customFormat="1">
      <c r="A31" s="1593" t="s">
        <v>1274</v>
      </c>
      <c r="B31" s="1594" t="e">
        <f>'预评函-2'!D15</f>
        <v>#VALUE!</v>
      </c>
    </row>
    <row r="32" spans="1:2" s="1595" customFormat="1">
      <c r="A32" s="1593" t="s">
        <v>1241</v>
      </c>
      <c r="B32" s="1594" t="e">
        <f>'预评函-2'!D14</f>
        <v>#VALUE!</v>
      </c>
    </row>
    <row r="33" spans="1:2" s="1595" customFormat="1">
      <c r="A33" s="1593" t="s">
        <v>1276</v>
      </c>
      <c r="B33" s="1594" t="str">
        <f>'预评函-2'!B16</f>
        <v>3.抵押担保权已注销时的房地产抵押价值</v>
      </c>
    </row>
    <row r="34" spans="1:2" s="1595" customFormat="1">
      <c r="A34" s="1593" t="s">
        <v>1294</v>
      </c>
      <c r="B34" s="1594">
        <f ca="1">'预评函-2'!D16</f>
        <v>107513</v>
      </c>
    </row>
    <row r="35" spans="1:2" s="1595" customFormat="1">
      <c r="A35" s="1593" t="s">
        <v>1275</v>
      </c>
      <c r="B35" s="1594">
        <f ca="1">'预评函-2'!D18</f>
        <v>3624</v>
      </c>
    </row>
    <row r="36" spans="1:2" s="1595" customFormat="1">
      <c r="A36" s="1593" t="s">
        <v>1242</v>
      </c>
      <c r="B36" s="1594" t="str">
        <f ca="1">'预评函-2'!D17</f>
        <v>壹拾亿柒仟伍佰壹拾叁万元整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海南省文昌市青澜新市区高隆湾沿海地段出让国有建设用地使用权及在建建筑物房地产</v>
      </c>
    </row>
    <row r="42" spans="1:2" s="1595" customFormat="1">
      <c r="A42" s="1593" t="s">
        <v>1288</v>
      </c>
      <c r="B42" s="1594" t="str">
        <f>'预评函-3'!B2</f>
        <v>建筑面积</v>
      </c>
    </row>
    <row r="43" spans="1:2" s="1595" customFormat="1">
      <c r="A43" s="1593" t="s">
        <v>1289</v>
      </c>
      <c r="B43" s="1594">
        <f>'预评函-3'!B4</f>
        <v>296702.55000000005</v>
      </c>
    </row>
    <row r="44" spans="1:2" s="1595" customFormat="1">
      <c r="A44" s="1593" t="s">
        <v>1273</v>
      </c>
      <c r="B44" s="1594" t="str">
        <f>'预评函-3'!C2</f>
        <v>(分摊)土地面积</v>
      </c>
    </row>
    <row r="45" spans="1:2" s="1595" customFormat="1">
      <c r="A45" s="1593" t="s">
        <v>1245</v>
      </c>
      <c r="B45" s="1594">
        <f>'预评函-3'!C4</f>
        <v>154884.56</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757</v>
      </c>
      <c r="C17" s="2017"/>
    </row>
    <row r="18" spans="1:3">
      <c r="A18" s="2016" t="s">
        <v>1768</v>
      </c>
      <c r="B18" s="2016" t="s">
        <v>757</v>
      </c>
      <c r="C18" s="2017"/>
    </row>
    <row r="19" spans="1:3">
      <c r="A19" s="2016" t="s">
        <v>1769</v>
      </c>
      <c r="B19" s="2016" t="s">
        <v>757</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昂立投资有限公司拟使用海南省文昌市青澜新市区高隆湾沿海地段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7"/>
      <c r="B54" s="2024" t="s">
        <v>864</v>
      </c>
      <c r="C54" s="2021" t="s">
        <v>1281</v>
      </c>
    </row>
    <row r="55" spans="1:4">
      <c r="A55" s="3017"/>
      <c r="B55" s="2024" t="s">
        <v>865</v>
      </c>
      <c r="C55" s="2021" t="s">
        <v>1282</v>
      </c>
    </row>
    <row r="56" spans="1:4">
      <c r="A56" s="3017"/>
      <c r="B56" s="2024" t="s">
        <v>866</v>
      </c>
      <c r="C56" s="2021" t="s">
        <v>1286</v>
      </c>
    </row>
    <row r="57" spans="1:4">
      <c r="A57" s="301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1777</v>
      </c>
      <c r="B1" s="3018" t="str">
        <f>IF(B10="北京市","北京市",C10)&amp;F10&amp;IF(结果表!G1="在建","出让国有建设用地使用权及在建建筑物",IF(结果表!G1="土地","出让国有建设用地使用权",))&amp;B9&amp;"预评估"</f>
        <v>海南省文昌市青澜新市区高隆湾沿海地段出让国有建设用地使用权及在建建筑物房地产抵押价值预评估</v>
      </c>
      <c r="C1" s="3019"/>
      <c r="D1" s="3019"/>
      <c r="E1" s="3019"/>
      <c r="F1" s="3019"/>
      <c r="G1" s="3019"/>
      <c r="H1" s="3019"/>
      <c r="I1" s="302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海南省文昌市青澜新市区高隆湾沿海地段出让国有建设用地使用权及在建建筑物房地产抵押价值</v>
      </c>
    </row>
    <row r="2" spans="1:19" ht="18" customHeight="1">
      <c r="A2" s="2028" t="s">
        <v>1778</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海南省文昌市青澜新市区高隆湾沿海地段出让国有建设用地使用权及在建建筑物房地产</v>
      </c>
    </row>
    <row r="3" spans="1:19" ht="18" customHeight="1">
      <c r="A3" s="2037" t="s">
        <v>1779</v>
      </c>
      <c r="B3" s="2038">
        <v>43186</v>
      </c>
      <c r="C3" s="2039" t="s">
        <v>1780</v>
      </c>
      <c r="D3" s="2038">
        <v>43186</v>
      </c>
      <c r="E3" s="2028"/>
      <c r="F3" s="2028"/>
      <c r="G3" s="2028"/>
      <c r="H3" s="2028"/>
      <c r="I3" s="2028"/>
      <c r="J3" s="2028"/>
      <c r="K3" s="2029"/>
      <c r="L3" s="2030"/>
      <c r="M3" s="2030"/>
      <c r="N3" s="2031"/>
      <c r="O3" s="2032"/>
      <c r="P3" s="2031"/>
      <c r="Q3" s="2031"/>
      <c r="R3" s="2031"/>
      <c r="S3" s="2033"/>
    </row>
    <row r="4" spans="1:19" ht="18" customHeight="1" thickBot="1">
      <c r="A4" s="2040" t="s">
        <v>1781</v>
      </c>
      <c r="B4" s="2041" t="s">
        <v>3050</v>
      </c>
      <c r="C4" s="1040">
        <f ca="1">SUMIF(注册房地产估价师,B4,估价师及机构信息!B3:B24)</f>
        <v>1120050019</v>
      </c>
      <c r="D4" s="2041" t="s">
        <v>3051</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1782</v>
      </c>
      <c r="B5" s="2942" t="s">
        <v>3102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2943" t="s">
        <v>3101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1784</v>
      </c>
      <c r="B7" s="2944" t="s">
        <v>3102</v>
      </c>
      <c r="C7" s="2050"/>
      <c r="D7" s="2051"/>
      <c r="E7" s="2036"/>
      <c r="F7" s="2044"/>
      <c r="G7" s="2044"/>
      <c r="H7" s="2044"/>
      <c r="I7" s="2044"/>
      <c r="J7" s="2044"/>
      <c r="K7" s="2053"/>
      <c r="L7" s="2030"/>
      <c r="M7" s="2030"/>
      <c r="N7" s="2031"/>
      <c r="O7" s="2032"/>
      <c r="P7" s="2031"/>
      <c r="Q7" s="2031"/>
      <c r="R7" s="2031"/>
    </row>
    <row r="8" spans="1:19" ht="18" customHeight="1">
      <c r="A8" s="2049" t="s">
        <v>1785</v>
      </c>
      <c r="B8" s="2054" t="s">
        <v>3103</v>
      </c>
      <c r="C8" s="2055"/>
      <c r="D8" s="3021" t="s">
        <v>1786</v>
      </c>
      <c r="E8" s="2056" t="s">
        <v>3104</v>
      </c>
      <c r="F8" s="2057"/>
      <c r="G8" s="2028"/>
      <c r="H8" s="2028"/>
      <c r="I8" s="2028"/>
      <c r="J8" s="2044"/>
      <c r="K8" s="2045"/>
      <c r="L8" s="2030"/>
      <c r="M8" s="2030"/>
      <c r="N8" s="2031"/>
      <c r="O8" s="2032"/>
      <c r="P8" s="2031"/>
      <c r="Q8" s="2031"/>
      <c r="R8" s="2031"/>
    </row>
    <row r="9" spans="1:19" ht="18" customHeight="1" thickBot="1">
      <c r="A9" s="2042" t="s">
        <v>1787</v>
      </c>
      <c r="B9" s="2058" t="s">
        <v>3105</v>
      </c>
      <c r="C9" s="2059"/>
      <c r="D9" s="3022"/>
      <c r="E9" s="2058"/>
      <c r="F9" s="2060"/>
      <c r="G9" s="2061"/>
      <c r="H9" s="2061"/>
      <c r="I9" s="2061"/>
      <c r="J9" s="2044"/>
      <c r="K9" s="2053"/>
      <c r="L9" s="2030"/>
      <c r="M9" s="2030"/>
      <c r="N9" s="2031"/>
      <c r="O9" s="2032"/>
      <c r="P9" s="2031"/>
      <c r="Q9" s="2031"/>
      <c r="R9" s="2031"/>
    </row>
    <row r="10" spans="1:19" ht="18" customHeight="1" thickTop="1">
      <c r="A10" s="2062" t="s">
        <v>1788</v>
      </c>
      <c r="B10" s="2063" t="s">
        <v>3106</v>
      </c>
      <c r="C10" s="2945" t="s">
        <v>3107</v>
      </c>
      <c r="D10" s="2048"/>
      <c r="E10" s="2064" t="s">
        <v>1789</v>
      </c>
      <c r="F10" s="2947" t="s">
        <v>3109</v>
      </c>
      <c r="G10" s="2065"/>
      <c r="H10" s="2066"/>
      <c r="I10" s="2048"/>
      <c r="J10" s="2044"/>
      <c r="K10" s="2053"/>
      <c r="L10" s="2030"/>
      <c r="M10" s="2030"/>
      <c r="N10" s="2031"/>
      <c r="O10" s="2032"/>
      <c r="P10" s="2031"/>
      <c r="Q10" s="2031"/>
      <c r="R10" s="2031"/>
    </row>
    <row r="11" spans="1:19" ht="18" customHeight="1">
      <c r="A11" s="2067" t="s">
        <v>1790</v>
      </c>
      <c r="B11" s="2068" t="s">
        <v>3108</v>
      </c>
      <c r="C11" s="2946" t="s">
        <v>3102</v>
      </c>
      <c r="D11" s="2069"/>
      <c r="E11" s="2044"/>
      <c r="F11" s="2044"/>
      <c r="G11" s="2044"/>
      <c r="H11" s="2044"/>
      <c r="I11" s="2044"/>
      <c r="J11" s="2044"/>
      <c r="K11" s="2053"/>
      <c r="L11" s="2030"/>
      <c r="M11" s="2030"/>
      <c r="N11" s="2031"/>
      <c r="O11" s="2032"/>
      <c r="P11" s="2031"/>
      <c r="Q11" s="2031"/>
      <c r="R11" s="2031"/>
    </row>
    <row r="12" spans="1:19" ht="18" customHeight="1">
      <c r="A12" s="2070" t="s">
        <v>1791</v>
      </c>
      <c r="B12" s="2068" t="s">
        <v>3110</v>
      </c>
      <c r="C12" s="2071" t="s">
        <v>1792</v>
      </c>
      <c r="D12" s="2072" t="s">
        <v>1793</v>
      </c>
      <c r="E12" s="2072" t="s">
        <v>1794</v>
      </c>
      <c r="F12" s="2072" t="s">
        <v>1795</v>
      </c>
      <c r="G12" s="2072" t="s">
        <v>1796</v>
      </c>
      <c r="H12" s="2072" t="s">
        <v>1797</v>
      </c>
      <c r="I12" s="2072" t="s">
        <v>1798</v>
      </c>
      <c r="J12" s="2044"/>
      <c r="K12" s="2053"/>
      <c r="L12" s="2030"/>
      <c r="M12" s="2030"/>
      <c r="N12" s="2031"/>
      <c r="O12" s="2032"/>
      <c r="P12" s="2031"/>
      <c r="Q12" s="2031"/>
      <c r="R12" s="2031"/>
    </row>
    <row r="13" spans="1:19" ht="18" customHeight="1">
      <c r="A13" s="2073"/>
      <c r="B13" s="2074"/>
      <c r="C13" s="2075" t="s">
        <v>1799</v>
      </c>
      <c r="D13" s="2076">
        <v>63954</v>
      </c>
      <c r="E13" s="2076">
        <v>52997</v>
      </c>
      <c r="F13" s="2076"/>
      <c r="G13" s="2076"/>
      <c r="H13" s="2076"/>
      <c r="I13" s="1050"/>
      <c r="J13" s="2044"/>
      <c r="K13" s="2053"/>
      <c r="L13" s="2030"/>
      <c r="M13" s="2030"/>
      <c r="N13" s="2031"/>
      <c r="O13" s="2032"/>
      <c r="P13" s="2031"/>
      <c r="Q13" s="2031"/>
      <c r="R13" s="2031"/>
    </row>
    <row r="14" spans="1:19" ht="18" customHeight="1">
      <c r="A14" s="2073"/>
      <c r="B14" s="2074"/>
      <c r="C14" s="2075" t="s">
        <v>1800</v>
      </c>
      <c r="D14" s="1053">
        <v>70</v>
      </c>
      <c r="E14" s="1053">
        <v>40</v>
      </c>
      <c r="F14" s="1053"/>
      <c r="G14" s="1053"/>
      <c r="H14" s="1053"/>
      <c r="I14" s="1053"/>
      <c r="J14" s="2044"/>
      <c r="K14" s="2077"/>
      <c r="L14" s="2030"/>
      <c r="M14" s="2030"/>
      <c r="N14" s="2031"/>
      <c r="O14" s="2032"/>
      <c r="P14" s="2031"/>
      <c r="Q14" s="2031"/>
      <c r="R14" s="2031"/>
    </row>
    <row r="15" spans="1:19" ht="18" customHeight="1">
      <c r="A15" s="2062"/>
      <c r="B15" s="2078"/>
      <c r="C15" s="2075" t="s">
        <v>1801</v>
      </c>
      <c r="D15" s="1052">
        <f>IF(B12="出让",IF(D13="","",ROUNDDOWN(MIN((D13-$D$3)/365,D14),2)),D14)</f>
        <v>56.89</v>
      </c>
      <c r="E15" s="1052">
        <f>IF(B12="出让",IF(E13="","",ROUNDDOWN(MIN((E13-$D$3)/365,E14),2)),E14)</f>
        <v>26.87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79"/>
      <c r="L15" s="2080"/>
      <c r="M15" s="2080"/>
      <c r="N15" s="2081"/>
      <c r="O15" s="2080"/>
      <c r="P15" s="2081"/>
      <c r="Q15" s="2031"/>
      <c r="R15" s="2031"/>
    </row>
    <row r="16" spans="1:19" ht="30.75" customHeight="1">
      <c r="A16" s="2064" t="s">
        <v>1802</v>
      </c>
      <c r="B16" s="3028"/>
      <c r="C16" s="3029"/>
      <c r="D16" s="3030"/>
      <c r="E16" s="2082" t="s">
        <v>1803</v>
      </c>
      <c r="F16" s="3031"/>
      <c r="G16" s="3032"/>
      <c r="H16" s="3032"/>
      <c r="I16" s="3033"/>
      <c r="J16" s="2031"/>
      <c r="K16" s="2079"/>
      <c r="L16" s="2080"/>
      <c r="M16" s="2080"/>
      <c r="N16" s="2081"/>
      <c r="O16" s="2080"/>
      <c r="P16" s="2081"/>
      <c r="Q16" s="2031"/>
      <c r="R16" s="2031"/>
    </row>
    <row r="17" spans="1:22" ht="18" customHeight="1">
      <c r="A17" s="2083" t="s">
        <v>1804</v>
      </c>
      <c r="B17" s="2037" t="s">
        <v>1805</v>
      </c>
      <c r="C17" s="1057">
        <f>'数据-汇总表'!E3</f>
        <v>296702.55000000005</v>
      </c>
      <c r="D17" s="2084" t="s">
        <v>1806</v>
      </c>
      <c r="E17" s="3034" t="s">
        <v>3111</v>
      </c>
      <c r="F17" s="3035"/>
      <c r="G17" s="3035"/>
      <c r="H17" s="3035"/>
      <c r="I17" s="3036"/>
      <c r="J17" s="2031"/>
      <c r="K17" s="2085"/>
      <c r="L17" s="2080"/>
      <c r="M17" s="2080"/>
      <c r="N17" s="2081"/>
      <c r="O17" s="2080"/>
      <c r="P17" s="2081"/>
      <c r="Q17" s="2031"/>
      <c r="R17" s="2031"/>
      <c r="S17" s="2031"/>
      <c r="T17" s="2031"/>
      <c r="U17" s="2031"/>
      <c r="V17" s="2031"/>
    </row>
    <row r="18" spans="1:22" ht="36" customHeight="1" thickBot="1">
      <c r="A18" s="2086" t="s">
        <v>1807</v>
      </c>
      <c r="B18" s="2040" t="s">
        <v>1808</v>
      </c>
      <c r="C18" s="1447">
        <f>'数据-汇总表'!D3</f>
        <v>154884.56</v>
      </c>
      <c r="D18" s="2087" t="s">
        <v>1806</v>
      </c>
      <c r="E18" s="3037" t="s">
        <v>1809</v>
      </c>
      <c r="F18" s="3038"/>
      <c r="G18" s="3038"/>
      <c r="H18" s="3038"/>
      <c r="I18" s="3039"/>
      <c r="J18" s="2031"/>
      <c r="K18" s="2085"/>
      <c r="L18" s="2080"/>
      <c r="M18" s="2080"/>
      <c r="N18" s="2081"/>
      <c r="O18" s="2080"/>
      <c r="P18" s="2081"/>
      <c r="Q18" s="2031"/>
      <c r="R18" s="2031"/>
      <c r="S18" s="2031"/>
      <c r="T18" s="2031"/>
      <c r="U18" s="2031"/>
      <c r="V18" s="2031"/>
    </row>
    <row r="19" spans="1:22" ht="37.5" customHeight="1" thickTop="1" thickBot="1">
      <c r="A19" s="373" t="s">
        <v>1810</v>
      </c>
      <c r="B19" s="352" t="s">
        <v>1811</v>
      </c>
      <c r="C19" s="2088"/>
      <c r="D19" s="2089" t="s">
        <v>1812</v>
      </c>
      <c r="E19" s="2090"/>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1813</v>
      </c>
      <c r="B20" s="3024" t="s">
        <v>1814</v>
      </c>
      <c r="C20" s="3025"/>
      <c r="D20" s="3026" t="s">
        <v>1815</v>
      </c>
      <c r="E20" s="3027"/>
      <c r="F20" s="2094" t="s">
        <v>1816</v>
      </c>
      <c r="G20" s="2044"/>
      <c r="H20" s="2044"/>
      <c r="I20" s="2044"/>
      <c r="J20" s="2044"/>
      <c r="K20" s="3023"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1"/>
      <c r="O20" s="2080"/>
      <c r="P20" s="2081"/>
      <c r="Q20" s="2031"/>
      <c r="R20" s="2031"/>
      <c r="S20" s="2031"/>
      <c r="T20" s="2031"/>
      <c r="U20" s="2031"/>
      <c r="V20" s="2031"/>
    </row>
    <row r="21" spans="1:22" ht="24.75" customHeight="1">
      <c r="A21" s="2093"/>
      <c r="B21" s="2095" t="s">
        <v>1818</v>
      </c>
      <c r="C21" s="2096" t="s">
        <v>1819</v>
      </c>
      <c r="D21" s="2097" t="s">
        <v>1820</v>
      </c>
      <c r="E21" s="2098" t="s">
        <v>1819</v>
      </c>
      <c r="F21" s="2099"/>
      <c r="G21" s="2044"/>
      <c r="H21" s="2044"/>
      <c r="I21" s="2044"/>
      <c r="J21" s="2044"/>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1"/>
      <c r="O21" s="2080"/>
      <c r="P21" s="2081"/>
      <c r="Q21" s="2031"/>
      <c r="R21" s="2031"/>
      <c r="S21" s="2031"/>
      <c r="T21" s="2031"/>
      <c r="U21" s="2031"/>
      <c r="V21" s="2031"/>
    </row>
    <row r="22" spans="1:22" ht="24.75" customHeight="1" thickBot="1">
      <c r="A22" s="2093"/>
      <c r="B22" s="2100" t="s">
        <v>1821</v>
      </c>
      <c r="C22" s="2096" t="s">
        <v>1822</v>
      </c>
      <c r="D22" s="2028"/>
      <c r="E22" s="2028"/>
      <c r="F22" s="2101"/>
      <c r="G22" s="2044"/>
      <c r="H22" s="2044"/>
      <c r="I22" s="2044"/>
      <c r="J22" s="2044"/>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1823</v>
      </c>
      <c r="B23" s="183" t="s">
        <v>1824</v>
      </c>
      <c r="C23" s="2103"/>
      <c r="D23" s="2104" t="s">
        <v>1824</v>
      </c>
      <c r="E23" s="2105"/>
      <c r="F23" s="2101"/>
      <c r="G23" s="2044"/>
      <c r="H23" s="2044"/>
      <c r="I23" s="2044"/>
      <c r="J23" s="2044"/>
      <c r="K23" s="2106"/>
      <c r="L23" s="748"/>
      <c r="M23" s="2030"/>
      <c r="N23" s="2081"/>
      <c r="O23" s="2080"/>
      <c r="P23" s="2081"/>
      <c r="Q23" s="2031"/>
      <c r="R23" s="2031"/>
      <c r="S23" s="2031"/>
      <c r="T23" s="2031"/>
      <c r="U23" s="2031"/>
      <c r="V23" s="2031"/>
    </row>
    <row r="24" spans="1:22" ht="18" customHeight="1">
      <c r="A24" s="2107"/>
      <c r="B24" s="183" t="s">
        <v>1825</v>
      </c>
      <c r="C24" s="2108"/>
      <c r="D24" s="2102" t="s">
        <v>1825</v>
      </c>
      <c r="E24" s="2109"/>
      <c r="F24" s="2101"/>
      <c r="G24" s="2044"/>
      <c r="H24" s="2044"/>
      <c r="I24" s="2044"/>
      <c r="J24" s="2044"/>
      <c r="K24" s="2106"/>
      <c r="L24" s="748"/>
      <c r="M24" s="2030"/>
      <c r="N24" s="2081"/>
      <c r="O24" s="2080"/>
      <c r="P24" s="2081"/>
      <c r="Q24" s="2031"/>
      <c r="R24" s="2031"/>
      <c r="S24" s="2031"/>
      <c r="T24" s="2031"/>
      <c r="U24" s="2031"/>
      <c r="V24" s="2031"/>
    </row>
    <row r="25" spans="1:22" ht="18" customHeight="1">
      <c r="A25" s="2107"/>
      <c r="B25" s="183" t="s">
        <v>1826</v>
      </c>
      <c r="C25" s="2108"/>
      <c r="D25" s="2102" t="s">
        <v>1826</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1827</v>
      </c>
      <c r="C26" s="2112"/>
      <c r="D26" s="2113" t="s">
        <v>1828</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041" t="s">
        <v>1829</v>
      </c>
      <c r="B27" s="2062" t="s">
        <v>1830</v>
      </c>
      <c r="C27" s="2116"/>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41"/>
      <c r="B28" s="2037" t="s">
        <v>1831</v>
      </c>
      <c r="C28" s="2118"/>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41"/>
      <c r="B29" s="2037" t="s">
        <v>1832</v>
      </c>
      <c r="C29" s="2121"/>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42"/>
      <c r="B30" s="2037" t="s">
        <v>1833</v>
      </c>
      <c r="C30" s="3043"/>
      <c r="D30" s="3044"/>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045" t="s">
        <v>1834</v>
      </c>
      <c r="B31" s="2123"/>
      <c r="C31" s="2124" t="str">
        <f>IF(B31="现房","成新及维护状况正常否",IF(B31="在建","工程状态是否正常",IF(B31="土地","是否闲置","-")))</f>
        <v>-</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046"/>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046"/>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1835</v>
      </c>
      <c r="B34" s="2130"/>
      <c r="C34" s="2130"/>
      <c r="D34" s="2130"/>
      <c r="E34" s="2130"/>
      <c r="F34" s="2130"/>
      <c r="G34" s="2130"/>
      <c r="H34" s="2130"/>
      <c r="I34" s="2044"/>
      <c r="J34" s="2044"/>
      <c r="K34" s="1797">
        <f>COUNTIF(B34:H34,"——")</f>
        <v>0</v>
      </c>
      <c r="L34" s="2071" t="s">
        <v>1836</v>
      </c>
      <c r="M34" s="2071" t="s">
        <v>1837</v>
      </c>
      <c r="N34" s="2071" t="s">
        <v>1838</v>
      </c>
      <c r="O34" s="2071" t="s">
        <v>1839</v>
      </c>
      <c r="P34" s="2071" t="s">
        <v>1840</v>
      </c>
      <c r="Q34" s="2071" t="s">
        <v>1841</v>
      </c>
      <c r="R34" s="2071" t="s">
        <v>1842</v>
      </c>
      <c r="S34" s="3040" t="s">
        <v>1843</v>
      </c>
      <c r="T34" s="2131" t="str">
        <f>NUMBERSTRING(7-K34,1)&amp;"通"</f>
        <v>七通</v>
      </c>
      <c r="U34" s="2031"/>
      <c r="V34" s="2031"/>
    </row>
    <row r="35" spans="1:22" ht="18" customHeight="1">
      <c r="A35" s="2132"/>
      <c r="B35" s="3047" t="s">
        <v>1844</v>
      </c>
      <c r="C35" s="3047"/>
      <c r="D35" s="3047"/>
      <c r="E35" s="3047"/>
      <c r="F35" s="2133" t="str">
        <f>C10</f>
        <v>海南省文昌市</v>
      </c>
      <c r="G35" s="2044"/>
      <c r="H35" s="2044"/>
      <c r="I35" s="2044"/>
      <c r="J35" s="2044"/>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0"/>
      <c r="T35" s="48" t="str">
        <f>IF(T34="一通",L35,IF(T34="二通",M35,IF(T34="三通",N35,IF(T34="四通",O35,IF(T34="五通",P35,IF(T34="六通",Q35,R35))))))</f>
        <v>、、、、、、</v>
      </c>
      <c r="U35" s="2031"/>
      <c r="V35" s="2031"/>
    </row>
    <row r="36" spans="1:22" ht="18" customHeight="1">
      <c r="A36" s="2134"/>
      <c r="B36" s="2133" t="s">
        <v>1845</v>
      </c>
      <c r="C36" s="2133" t="s">
        <v>1846</v>
      </c>
      <c r="D36" s="2133" t="s">
        <v>1847</v>
      </c>
      <c r="E36" s="2133" t="s">
        <v>1848</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1849</v>
      </c>
      <c r="B37" s="2137"/>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1850</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1851</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6"/>
      <c r="L40" s="2080"/>
      <c r="M40" s="2080"/>
      <c r="N40" s="2081"/>
      <c r="O40" s="2080"/>
      <c r="P40" s="2031"/>
      <c r="Q40" s="2031"/>
      <c r="R40" s="2031"/>
      <c r="S40" s="2031"/>
      <c r="T40" s="2031"/>
      <c r="U40" s="2031"/>
      <c r="V40" s="2031"/>
    </row>
    <row r="41" spans="1:22" ht="18" customHeight="1">
      <c r="A41" s="8" t="s">
        <v>1852</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1853</v>
      </c>
      <c r="B42" s="1797" t="s">
        <v>1854</v>
      </c>
      <c r="C42" s="1797" t="s">
        <v>1855</v>
      </c>
      <c r="D42" s="1797" t="s">
        <v>1856</v>
      </c>
      <c r="E42" s="1797" t="s">
        <v>1857</v>
      </c>
      <c r="F42" s="1797" t="s">
        <v>1858</v>
      </c>
      <c r="G42" s="1797" t="s">
        <v>1859</v>
      </c>
      <c r="H42" s="1797" t="s">
        <v>1860</v>
      </c>
      <c r="I42" s="1797" t="s">
        <v>1861</v>
      </c>
      <c r="J42" s="2149" t="s">
        <v>1862</v>
      </c>
      <c r="K42" s="2072" t="s">
        <v>1863</v>
      </c>
      <c r="L42" s="2072" t="s">
        <v>1864</v>
      </c>
      <c r="M42" s="2072" t="s">
        <v>1865</v>
      </c>
      <c r="N42" s="1797" t="s">
        <v>1866</v>
      </c>
      <c r="O42" s="1797" t="s">
        <v>1867</v>
      </c>
      <c r="P42" s="1797" t="s">
        <v>1868</v>
      </c>
      <c r="Q42" s="2071" t="s">
        <v>1869</v>
      </c>
      <c r="R42" s="2071" t="s">
        <v>1870</v>
      </c>
      <c r="S42" s="2031"/>
      <c r="T42" s="2031"/>
      <c r="U42" s="2031"/>
      <c r="V42" s="2031"/>
    </row>
    <row r="43" spans="1:22" s="2154" customFormat="1" ht="18" customHeight="1">
      <c r="A43" s="2150"/>
      <c r="B43" s="1275"/>
      <c r="C43" s="1275"/>
      <c r="D43" s="1275"/>
      <c r="E43" s="1275"/>
      <c r="F43" s="1275"/>
      <c r="G43" s="1275"/>
      <c r="H43" s="9"/>
      <c r="I43" s="9"/>
      <c r="J43" s="2151"/>
      <c r="K43" s="2152"/>
      <c r="L43" s="2152"/>
      <c r="M43" s="9"/>
      <c r="N43" s="1275"/>
      <c r="O43" s="9"/>
      <c r="P43" s="1275"/>
      <c r="Q43" s="1275"/>
      <c r="R43" s="1275"/>
      <c r="S43" s="2153"/>
      <c r="T43" s="2153"/>
      <c r="U43" s="2153"/>
      <c r="V43" s="2153"/>
    </row>
    <row r="44" spans="1:22" s="2154" customFormat="1" ht="18" customHeight="1">
      <c r="A44" s="2150"/>
      <c r="B44" s="2150"/>
      <c r="C44" s="1275"/>
      <c r="D44" s="1275"/>
      <c r="E44" s="1275"/>
      <c r="F44" s="1275"/>
      <c r="G44" s="1275"/>
      <c r="H44" s="9"/>
      <c r="I44" s="9"/>
      <c r="J44" s="2151"/>
      <c r="K44" s="2152"/>
      <c r="L44" s="2152"/>
      <c r="M44" s="9"/>
      <c r="N44" s="1275"/>
      <c r="O44" s="9"/>
      <c r="P44" s="1275"/>
      <c r="Q44" s="1275"/>
      <c r="R44" s="1275"/>
      <c r="S44" s="2153"/>
      <c r="T44" s="2153"/>
      <c r="U44" s="2153"/>
      <c r="V44" s="2153"/>
    </row>
    <row r="45" spans="1:22" s="2154" customFormat="1" ht="18" customHeight="1">
      <c r="A45" s="2150"/>
      <c r="B45" s="2150"/>
      <c r="C45" s="1275"/>
      <c r="D45" s="1275"/>
      <c r="E45" s="1275"/>
      <c r="F45" s="1275"/>
      <c r="G45" s="1275"/>
      <c r="H45" s="9"/>
      <c r="I45" s="9"/>
      <c r="J45" s="2151"/>
      <c r="K45" s="2152"/>
      <c r="L45" s="2152"/>
      <c r="M45" s="9"/>
      <c r="N45" s="1275"/>
      <c r="O45" s="9"/>
      <c r="P45" s="1275"/>
      <c r="Q45" s="1275"/>
      <c r="R45" s="1275"/>
      <c r="S45" s="2153"/>
      <c r="T45" s="2153"/>
      <c r="U45" s="2153"/>
      <c r="V45" s="2153"/>
    </row>
    <row r="46" spans="1:22" s="2154" customFormat="1" ht="18" customHeight="1">
      <c r="A46" s="2150"/>
      <c r="B46" s="2150"/>
      <c r="C46" s="1275"/>
      <c r="D46" s="1275"/>
      <c r="E46" s="1275"/>
      <c r="F46" s="1275"/>
      <c r="G46" s="1275"/>
      <c r="H46" s="9"/>
      <c r="I46" s="9"/>
      <c r="J46" s="2151"/>
      <c r="K46" s="2152"/>
      <c r="L46" s="2152"/>
      <c r="M46" s="9"/>
      <c r="N46" s="1275"/>
      <c r="O46" s="9"/>
      <c r="P46" s="1275"/>
      <c r="Q46" s="1275"/>
      <c r="R46" s="1275"/>
      <c r="S46" s="2153"/>
      <c r="T46" s="2153"/>
      <c r="U46" s="2153"/>
      <c r="V46" s="2153"/>
    </row>
    <row r="47" spans="1:22" s="2154" customFormat="1" ht="18" customHeight="1">
      <c r="A47" s="2150"/>
      <c r="B47" s="2150"/>
      <c r="C47" s="1275"/>
      <c r="D47" s="1275"/>
      <c r="E47" s="1275"/>
      <c r="F47" s="1275"/>
      <c r="G47" s="1275"/>
      <c r="H47" s="9"/>
      <c r="I47" s="9"/>
      <c r="J47" s="2151"/>
      <c r="K47" s="2152"/>
      <c r="L47" s="2152"/>
      <c r="M47" s="9"/>
      <c r="N47" s="1275"/>
      <c r="O47" s="9"/>
      <c r="P47" s="1275"/>
      <c r="Q47" s="1275"/>
      <c r="R47" s="1275"/>
      <c r="S47" s="2153"/>
      <c r="T47" s="2153"/>
      <c r="U47" s="2153"/>
      <c r="V47" s="2153"/>
    </row>
    <row r="48" spans="1:22" s="2154" customFormat="1" ht="18" customHeight="1">
      <c r="A48" s="2150"/>
      <c r="B48" s="2150"/>
      <c r="C48" s="1275"/>
      <c r="D48" s="1275"/>
      <c r="E48" s="1275"/>
      <c r="F48" s="1275"/>
      <c r="G48" s="1275"/>
      <c r="H48" s="9"/>
      <c r="I48" s="9"/>
      <c r="J48" s="2151"/>
      <c r="K48" s="2152"/>
      <c r="L48" s="2152"/>
      <c r="M48" s="9"/>
      <c r="N48" s="1275"/>
      <c r="O48" s="9"/>
      <c r="P48" s="1275"/>
      <c r="Q48" s="1275"/>
      <c r="R48" s="1275"/>
      <c r="S48" s="2153"/>
      <c r="T48" s="2153"/>
      <c r="U48" s="2153"/>
      <c r="V48" s="2153"/>
    </row>
    <row r="49" spans="1:22" s="2154" customFormat="1" ht="18" customHeight="1">
      <c r="A49" s="2150"/>
      <c r="B49" s="2150"/>
      <c r="C49" s="1275"/>
      <c r="D49" s="1275"/>
      <c r="E49" s="1275"/>
      <c r="F49" s="1275"/>
      <c r="G49" s="1275"/>
      <c r="H49" s="9"/>
      <c r="I49" s="9"/>
      <c r="J49" s="2151"/>
      <c r="K49" s="2152"/>
      <c r="L49" s="2152"/>
      <c r="M49" s="9"/>
      <c r="N49" s="1275"/>
      <c r="O49" s="9"/>
      <c r="P49" s="1275"/>
      <c r="Q49" s="1275"/>
      <c r="R49" s="1275"/>
      <c r="S49" s="2153"/>
      <c r="T49" s="2153"/>
      <c r="U49" s="2153"/>
      <c r="V49" s="2153"/>
    </row>
    <row r="50" spans="1:22" s="2154" customFormat="1" ht="18" customHeight="1">
      <c r="A50" s="2150"/>
      <c r="B50" s="2150"/>
      <c r="C50" s="1275"/>
      <c r="D50" s="1275"/>
      <c r="E50" s="1275"/>
      <c r="F50" s="1275"/>
      <c r="G50" s="1275"/>
      <c r="H50" s="9"/>
      <c r="I50" s="9"/>
      <c r="J50" s="2151"/>
      <c r="K50" s="2152"/>
      <c r="L50" s="2152"/>
      <c r="M50" s="9"/>
      <c r="N50" s="1275"/>
      <c r="O50" s="9"/>
      <c r="P50" s="1275"/>
      <c r="Q50" s="1275"/>
      <c r="R50" s="1275"/>
      <c r="S50" s="2153"/>
      <c r="T50" s="2153"/>
      <c r="U50" s="2153"/>
      <c r="V50" s="2153"/>
    </row>
    <row r="51" spans="1:22" s="2154" customFormat="1" ht="18" customHeight="1">
      <c r="A51" s="2150"/>
      <c r="B51" s="2150"/>
      <c r="C51" s="1275"/>
      <c r="D51" s="1275"/>
      <c r="E51" s="1275"/>
      <c r="F51" s="1275"/>
      <c r="G51" s="1275"/>
      <c r="H51" s="9"/>
      <c r="I51" s="9"/>
      <c r="J51" s="2151"/>
      <c r="K51" s="2152"/>
      <c r="L51" s="2152"/>
      <c r="M51" s="9"/>
      <c r="N51" s="1275"/>
      <c r="O51" s="9"/>
      <c r="P51" s="1275"/>
      <c r="Q51" s="1275"/>
      <c r="R51" s="1275"/>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L15" sqref="L1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2" width="9.5" style="2156" customWidth="1"/>
    <col min="13"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hidden="1" customWidth="1"/>
    <col min="31" max="31" width="9.75" style="2156" hidden="1" customWidth="1"/>
    <col min="32" max="41" width="9.5" style="2156" hidden="1" customWidth="1"/>
    <col min="4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1873</v>
      </c>
      <c r="B2" s="11" t="s">
        <v>1874</v>
      </c>
      <c r="C2" s="11" t="s">
        <v>1875</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2" t="s">
        <v>1876</v>
      </c>
      <c r="AZ2" s="1273" t="s">
        <v>1877</v>
      </c>
      <c r="BA2" s="11" t="s">
        <v>1878</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范围!N15+范围!N17+范围!N18</f>
        <v>154884.55999999997</v>
      </c>
      <c r="B3" s="14">
        <f>IF(C3="否",G5-AT5,G5)</f>
        <v>296702.55000000005</v>
      </c>
      <c r="C3" s="2165" t="s">
        <v>1879</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4"/>
      <c r="AZ3" s="1275"/>
      <c r="BA3" s="1276"/>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1880</v>
      </c>
      <c r="B5" s="1805"/>
      <c r="C5" s="1805"/>
      <c r="D5" s="1808"/>
      <c r="E5" s="16" t="s">
        <v>1</v>
      </c>
      <c r="F5" s="16">
        <f>SUM(F13:F587)</f>
        <v>0</v>
      </c>
      <c r="G5" s="16">
        <f>SUM(G13:G587)</f>
        <v>296702.55000000005</v>
      </c>
      <c r="H5" s="16">
        <f t="shared" ref="H5:AT5" si="0">SUM(H13:H656)</f>
        <v>231197.55</v>
      </c>
      <c r="I5" s="16">
        <f t="shared" si="0"/>
        <v>227714.24</v>
      </c>
      <c r="J5" s="16">
        <f t="shared" si="0"/>
        <v>0</v>
      </c>
      <c r="K5" s="16">
        <f t="shared" si="0"/>
        <v>3483.309999999999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65505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65505</v>
      </c>
      <c r="AS5" s="16">
        <f t="shared" si="0"/>
        <v>0</v>
      </c>
      <c r="AT5" s="16">
        <f t="shared" si="0"/>
        <v>0</v>
      </c>
      <c r="AU5" s="1804"/>
      <c r="AV5" s="15" t="s">
        <v>1880</v>
      </c>
      <c r="AW5" s="1805"/>
      <c r="AX5" s="1805"/>
      <c r="AY5" s="17" t="s">
        <v>3</v>
      </c>
      <c r="AZ5" s="18">
        <f t="shared" ref="AZ5:BT5" si="1">SUM(AZ13:AZ656)</f>
        <v>296702.55000000005</v>
      </c>
      <c r="BA5" s="18">
        <f t="shared" si="1"/>
        <v>231197.55</v>
      </c>
      <c r="BB5" s="18">
        <f t="shared" si="1"/>
        <v>227714.24</v>
      </c>
      <c r="BC5" s="18">
        <f t="shared" si="1"/>
        <v>3483.309999999999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65505</v>
      </c>
      <c r="BM5" s="18">
        <f t="shared" si="1"/>
        <v>0</v>
      </c>
      <c r="BN5" s="18">
        <f t="shared" si="1"/>
        <v>0</v>
      </c>
      <c r="BO5" s="18">
        <f t="shared" si="1"/>
        <v>0</v>
      </c>
      <c r="BP5" s="18">
        <f t="shared" si="1"/>
        <v>0</v>
      </c>
      <c r="BQ5" s="18">
        <f t="shared" si="1"/>
        <v>0</v>
      </c>
      <c r="BR5" s="18">
        <f t="shared" si="1"/>
        <v>0</v>
      </c>
      <c r="BS5" s="18">
        <f t="shared" si="1"/>
        <v>0</v>
      </c>
      <c r="BT5" s="19">
        <f t="shared" si="1"/>
        <v>65505</v>
      </c>
    </row>
    <row r="6" spans="1:72" s="2174" customFormat="1" ht="12.75">
      <c r="A6" s="15" t="s">
        <v>1881</v>
      </c>
      <c r="B6" s="2171"/>
      <c r="C6" s="2171"/>
      <c r="D6" s="2172"/>
      <c r="E6" s="16">
        <f>H6+AC6+AT6</f>
        <v>154884.57</v>
      </c>
      <c r="F6" s="16" t="s">
        <v>1</v>
      </c>
      <c r="G6" s="16" t="s">
        <v>2</v>
      </c>
      <c r="H6" s="20">
        <f>SUMIF(I$12:AB$12,"总值",I6:AB6)</f>
        <v>120689.67</v>
      </c>
      <c r="I6" s="16">
        <f t="shared" ref="I6:AB6" si="2">ROUND($A$3*I5/$B$3,2)</f>
        <v>118871.31</v>
      </c>
      <c r="J6" s="16">
        <f t="shared" si="2"/>
        <v>0</v>
      </c>
      <c r="K6" s="16">
        <f t="shared" si="2"/>
        <v>1818.36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34194.9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34194.9</v>
      </c>
      <c r="AS6" s="16">
        <f t="shared" si="3"/>
        <v>0</v>
      </c>
      <c r="AT6" s="20">
        <f>IF(C3="是",ROUND($A$3*AT5/$B$3,2),0)</f>
        <v>0</v>
      </c>
      <c r="AU6" s="2173"/>
      <c r="AV6" s="15" t="s">
        <v>1881</v>
      </c>
      <c r="AW6" s="2171"/>
      <c r="AX6" s="2171"/>
      <c r="AY6" s="21">
        <f>IF(AY3&gt;0,AY3,ROUND($A$3*AZ5/$B$3,2))</f>
        <v>154884.56</v>
      </c>
      <c r="AZ6" s="16" t="s">
        <v>3</v>
      </c>
      <c r="BA6" s="16">
        <f>ROUND($AY$6*BA5/$AZ$5,2)</f>
        <v>120689.66</v>
      </c>
      <c r="BB6" s="16">
        <f>ROUND($AY$6*BB5/$AZ$5,2)</f>
        <v>118871.31</v>
      </c>
      <c r="BC6" s="16">
        <f t="shared" ref="BC6:BH6" si="4">ROUND($AY$6*BC5/$AZ$5,2)</f>
        <v>1818.36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34194.9</v>
      </c>
      <c r="BM6" s="16">
        <f t="shared" si="5"/>
        <v>0</v>
      </c>
      <c r="BN6" s="16">
        <f t="shared" si="5"/>
        <v>0</v>
      </c>
      <c r="BO6" s="16">
        <f t="shared" si="5"/>
        <v>0</v>
      </c>
      <c r="BP6" s="16">
        <f t="shared" si="5"/>
        <v>0</v>
      </c>
      <c r="BQ6" s="16">
        <f t="shared" si="5"/>
        <v>0</v>
      </c>
      <c r="BR6" s="16">
        <f t="shared" si="5"/>
        <v>0</v>
      </c>
      <c r="BS6" s="16">
        <f t="shared" si="5"/>
        <v>0</v>
      </c>
      <c r="BT6" s="22">
        <f t="shared" si="5"/>
        <v>34194.9</v>
      </c>
    </row>
    <row r="7" spans="1:72" s="2164" customFormat="1" ht="24.75">
      <c r="A7" s="2106" t="s">
        <v>1882</v>
      </c>
      <c r="B7" s="2106" t="s">
        <v>1883</v>
      </c>
      <c r="C7" s="2106" t="s">
        <v>1884</v>
      </c>
      <c r="D7" s="2106" t="s">
        <v>1885</v>
      </c>
      <c r="E7" s="2106" t="s">
        <v>1886</v>
      </c>
      <c r="F7" s="2106" t="s">
        <v>1887</v>
      </c>
      <c r="G7" s="2175" t="s">
        <v>1888</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1889</v>
      </c>
      <c r="AV7" s="23" t="s">
        <v>1890</v>
      </c>
      <c r="AW7" s="2163" t="s">
        <v>1891</v>
      </c>
      <c r="AX7" s="23" t="s">
        <v>1884</v>
      </c>
      <c r="AY7" s="1805" t="s">
        <v>1892</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1893</v>
      </c>
      <c r="H8" s="2181" t="s">
        <v>1894</v>
      </c>
      <c r="I8" s="2182"/>
      <c r="J8" s="1820"/>
      <c r="K8" s="1820"/>
      <c r="L8" s="1820"/>
      <c r="M8" s="1820"/>
      <c r="N8" s="1820"/>
      <c r="O8" s="1820"/>
      <c r="P8" s="1820"/>
      <c r="Q8" s="1820"/>
      <c r="R8" s="1820"/>
      <c r="S8" s="1820"/>
      <c r="T8" s="1820"/>
      <c r="U8" s="1820"/>
      <c r="V8" s="2183"/>
      <c r="W8" s="1820"/>
      <c r="X8" s="1820"/>
      <c r="Y8" s="1820"/>
      <c r="Z8" s="1820"/>
      <c r="AA8" s="2183"/>
      <c r="AB8" s="2184"/>
      <c r="AC8" s="984" t="s">
        <v>1895</v>
      </c>
      <c r="AD8" s="2185"/>
      <c r="AE8" s="2177"/>
      <c r="AF8" s="1820"/>
      <c r="AG8" s="1820"/>
      <c r="AH8" s="1820"/>
      <c r="AI8" s="1820"/>
      <c r="AJ8" s="1820"/>
      <c r="AK8" s="1820"/>
      <c r="AL8" s="1820"/>
      <c r="AM8" s="1820"/>
      <c r="AN8" s="1820"/>
      <c r="AO8" s="1820"/>
      <c r="AP8" s="1820"/>
      <c r="AQ8" s="1820"/>
      <c r="AR8" s="1820"/>
      <c r="AS8" s="1820"/>
      <c r="AT8" s="1295" t="s">
        <v>1896</v>
      </c>
      <c r="AU8" s="2179" t="s">
        <v>1897</v>
      </c>
      <c r="AV8" s="1295"/>
      <c r="AW8" s="2162"/>
      <c r="AX8" s="1295"/>
      <c r="AY8" s="2163"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5"/>
      <c r="H9" s="2187" t="s">
        <v>1900</v>
      </c>
      <c r="I9" s="2188" t="s">
        <v>3118</v>
      </c>
      <c r="J9" s="984"/>
      <c r="K9" s="2188" t="s">
        <v>3118</v>
      </c>
      <c r="L9" s="984"/>
      <c r="M9" s="2188"/>
      <c r="N9" s="984"/>
      <c r="O9" s="2188"/>
      <c r="P9" s="984"/>
      <c r="Q9" s="2188"/>
      <c r="R9" s="984"/>
      <c r="S9" s="2188"/>
      <c r="T9" s="984"/>
      <c r="U9" s="2188"/>
      <c r="V9" s="984"/>
      <c r="W9" s="2188"/>
      <c r="X9" s="2189"/>
      <c r="Y9" s="2188"/>
      <c r="Z9" s="984"/>
      <c r="AA9" s="2188"/>
      <c r="AB9" s="984"/>
      <c r="AC9" s="2180"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0"/>
      <c r="AT9" s="2179"/>
      <c r="AU9" s="2179" t="s">
        <v>1903</v>
      </c>
      <c r="AV9" s="1295"/>
      <c r="AW9" s="2162"/>
      <c r="AX9" s="1295"/>
      <c r="AY9" s="28"/>
      <c r="AZ9" s="28" t="s">
        <v>1893</v>
      </c>
      <c r="BA9" s="2191" t="s">
        <v>1904</v>
      </c>
      <c r="BB9" s="2192"/>
      <c r="BC9" s="1341"/>
      <c r="BD9" s="1341"/>
      <c r="BE9" s="1341"/>
      <c r="BF9" s="1341"/>
      <c r="BG9" s="1341"/>
      <c r="BH9" s="1341"/>
      <c r="BI9" s="1341"/>
      <c r="BJ9" s="1341"/>
      <c r="BK9" s="2193"/>
      <c r="BL9" s="15" t="s">
        <v>1905</v>
      </c>
      <c r="BM9" s="1820"/>
      <c r="BN9" s="2182"/>
      <c r="BO9" s="1820"/>
      <c r="BP9" s="1820"/>
      <c r="BQ9" s="1820"/>
      <c r="BR9" s="1820"/>
      <c r="BS9" s="1820"/>
      <c r="BT9" s="26"/>
    </row>
    <row r="10" spans="1:72" s="2186" customFormat="1" ht="12.75">
      <c r="A10" s="2179"/>
      <c r="B10" s="2179"/>
      <c r="C10" s="2179"/>
      <c r="D10" s="2179"/>
      <c r="E10" s="2179"/>
      <c r="F10" s="2179"/>
      <c r="G10" s="1295"/>
      <c r="H10" s="28"/>
      <c r="I10" s="2188" t="s">
        <v>3119</v>
      </c>
      <c r="J10" s="984"/>
      <c r="K10" s="2194" t="s">
        <v>1377</v>
      </c>
      <c r="L10" s="984"/>
      <c r="M10" s="2194"/>
      <c r="N10" s="984"/>
      <c r="O10" s="2194"/>
      <c r="P10" s="984"/>
      <c r="Q10" s="2194"/>
      <c r="R10" s="984"/>
      <c r="S10" s="2194"/>
      <c r="T10" s="984"/>
      <c r="U10" s="2194"/>
      <c r="V10" s="984"/>
      <c r="W10" s="2194"/>
      <c r="X10" s="984"/>
      <c r="Y10" s="2194"/>
      <c r="Z10" s="984"/>
      <c r="AA10" s="2194"/>
      <c r="AB10" s="984"/>
      <c r="AC10" s="1295"/>
      <c r="AD10" s="15" t="s">
        <v>1906</v>
      </c>
      <c r="AE10" s="2195"/>
      <c r="AF10" s="15" t="s">
        <v>1906</v>
      </c>
      <c r="AG10" s="2195"/>
      <c r="AH10" s="15" t="s">
        <v>1907</v>
      </c>
      <c r="AI10" s="2195"/>
      <c r="AJ10" s="15" t="s">
        <v>1907</v>
      </c>
      <c r="AK10" s="2195"/>
      <c r="AL10" s="15" t="s">
        <v>1908</v>
      </c>
      <c r="AM10" s="1301"/>
      <c r="AN10" s="15" t="s">
        <v>1908</v>
      </c>
      <c r="AO10" s="1301"/>
      <c r="AP10" s="15" t="s">
        <v>1909</v>
      </c>
      <c r="AQ10" s="1301"/>
      <c r="AR10" s="15" t="s">
        <v>1909</v>
      </c>
      <c r="AS10" s="1301"/>
      <c r="AT10" s="2179"/>
      <c r="AU10" s="2179"/>
      <c r="AV10" s="1295"/>
      <c r="AW10" s="2162"/>
      <c r="AX10" s="1295"/>
      <c r="AY10" s="28"/>
      <c r="AZ10" s="28"/>
      <c r="BA10" s="2196" t="s">
        <v>1900</v>
      </c>
      <c r="BB10" s="2197" t="str">
        <f>I9</f>
        <v>地上</v>
      </c>
      <c r="BC10" s="29" t="str">
        <f>K9</f>
        <v>地上</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5"/>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5"/>
      <c r="AD11" s="2201" t="s">
        <v>1910</v>
      </c>
      <c r="AE11" s="1821"/>
      <c r="AF11" s="2201" t="s">
        <v>1910</v>
      </c>
      <c r="AG11" s="1821"/>
      <c r="AH11" s="2201" t="s">
        <v>1911</v>
      </c>
      <c r="AI11" s="2202"/>
      <c r="AJ11" s="2201" t="s">
        <v>1911</v>
      </c>
      <c r="AK11" s="1821"/>
      <c r="AL11" s="1819"/>
      <c r="AM11" s="1821"/>
      <c r="AN11" s="1819"/>
      <c r="AO11" s="1821"/>
      <c r="AP11" s="1819"/>
      <c r="AQ11" s="1821"/>
      <c r="AR11" s="1819"/>
      <c r="AS11" s="1821"/>
      <c r="AT11" s="2162"/>
      <c r="AU11" s="2179"/>
      <c r="AV11" s="1295"/>
      <c r="AW11" s="2162"/>
      <c r="AX11" s="1295"/>
      <c r="AY11" s="28"/>
      <c r="AZ11" s="28"/>
      <c r="BA11" s="28"/>
      <c r="BB11" s="2184" t="str">
        <f>I10</f>
        <v>住宅</v>
      </c>
      <c r="BC11" s="2184" t="str">
        <f>K10</f>
        <v>商业</v>
      </c>
      <c r="BD11" s="2184">
        <f>M10</f>
        <v>0</v>
      </c>
      <c r="BE11" s="2184">
        <f>O10</f>
        <v>0</v>
      </c>
      <c r="BF11" s="2184">
        <f>Q10</f>
        <v>0</v>
      </c>
      <c r="BG11" s="2184">
        <f>S10</f>
        <v>0</v>
      </c>
      <c r="BH11" s="2184">
        <f>U10</f>
        <v>0</v>
      </c>
      <c r="BI11" s="2184">
        <f>W10</f>
        <v>0</v>
      </c>
      <c r="BJ11" s="2184">
        <f>Y10</f>
        <v>0</v>
      </c>
      <c r="BK11" s="2184">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06"/>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4" t="s">
        <v>1913</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38.25">
      <c r="A13" s="1275"/>
      <c r="B13" s="1275"/>
      <c r="C13" s="2949" t="s">
        <v>3115</v>
      </c>
      <c r="D13" s="2210" t="s">
        <v>3148</v>
      </c>
      <c r="E13" s="16">
        <f>IF($C$3="是",ROUND($A$3*G13/$B$3,2),ROUND($A$3*(G13-AT13)/$B$3,2))</f>
        <v>8695.0499999999993</v>
      </c>
      <c r="F13" s="32"/>
      <c r="G13" s="33">
        <f>H13+AC13+AT13</f>
        <v>16656.558000000001</v>
      </c>
      <c r="H13" s="20">
        <f>SUMIF(I$12:AB$12,"总值",I13:AB13)</f>
        <v>3605.4900000000021</v>
      </c>
      <c r="I13" s="2211">
        <f>范围!F71</f>
        <v>3605.4900000000021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13051.067999999999</v>
      </c>
      <c r="AD13" s="2212"/>
      <c r="AE13" s="2212"/>
      <c r="AF13" s="2212"/>
      <c r="AG13" s="2212"/>
      <c r="AH13" s="2212"/>
      <c r="AI13" s="2212"/>
      <c r="AJ13" s="2212"/>
      <c r="AK13" s="2212"/>
      <c r="AL13" s="2212"/>
      <c r="AM13" s="2212"/>
      <c r="AN13" s="2212"/>
      <c r="AO13" s="2212"/>
      <c r="AP13" s="2212"/>
      <c r="AQ13" s="2212"/>
      <c r="AR13" s="2212">
        <f>范围!M4</f>
        <v>13051.067999999999</v>
      </c>
      <c r="AS13" s="2212"/>
      <c r="AT13" s="2213"/>
      <c r="AU13" s="2214"/>
      <c r="AV13" s="11">
        <f t="shared" ref="AV13:AX17" si="6">A13</f>
        <v>0</v>
      </c>
      <c r="AW13" s="11">
        <f t="shared" si="6"/>
        <v>0</v>
      </c>
      <c r="AX13" s="11" t="str">
        <f t="shared" si="6"/>
        <v>二期23#/24#住宅在建工程</v>
      </c>
      <c r="AY13" s="1808">
        <f>ROUND($AY$6*AZ13/$AZ$5,2)</f>
        <v>8695.0499999999993</v>
      </c>
      <c r="AZ13" s="16">
        <f>BA13+BL13</f>
        <v>16656.558000000001</v>
      </c>
      <c r="BA13" s="16">
        <f>SUM(BB13:BK13)</f>
        <v>3605.4900000000021</v>
      </c>
      <c r="BB13" s="16">
        <f>IF($D13="是",I13-J13,0)</f>
        <v>3605.4900000000021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13051.067999999999</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13051.067999999999</v>
      </c>
    </row>
    <row r="14" spans="1:72" s="2164" customFormat="1" ht="25.5">
      <c r="A14" s="1275"/>
      <c r="B14" s="1275"/>
      <c r="C14" s="2950" t="s">
        <v>3117</v>
      </c>
      <c r="D14" s="2210" t="s">
        <v>3148</v>
      </c>
      <c r="E14" s="16">
        <f>IF($C$3="是",ROUND($A$3*G14/$B$3,2),ROUND($A$3*(G14-AT14)/$B$3,2))</f>
        <v>1818.36</v>
      </c>
      <c r="F14" s="32"/>
      <c r="G14" s="33">
        <f>H14+AC14+AT14</f>
        <v>3483.309999999999</v>
      </c>
      <c r="H14" s="20">
        <f>SUMIF(I$12:AB$12,"总值",I14:AB14)</f>
        <v>3483.309999999999</v>
      </c>
      <c r="I14" s="2211"/>
      <c r="J14" s="2211"/>
      <c r="K14" s="2211">
        <f>范围!F100</f>
        <v>3483.309999999999</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二期商业在建工程</v>
      </c>
      <c r="AY14" s="1808">
        <f>ROUND($AY$6*AZ14/$AZ$5,2)</f>
        <v>1818.36</v>
      </c>
      <c r="AZ14" s="16">
        <f>BA14+BL14</f>
        <v>3483.309999999999</v>
      </c>
      <c r="BA14" s="16">
        <f>SUM(BB14:BK14)</f>
        <v>3483.309999999999</v>
      </c>
      <c r="BB14" s="16">
        <f>IF($D14="是",I14-J14,0)</f>
        <v>0</v>
      </c>
      <c r="BC14" s="16">
        <f>IF($D14="是",K14-L14,0)</f>
        <v>3483.309999999999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38.25">
      <c r="A15" s="1275"/>
      <c r="B15" s="1275"/>
      <c r="C15" s="2150" t="str">
        <f>范围!K15</f>
        <v>B区在建工程部份（待建部分）</v>
      </c>
      <c r="D15" s="2210" t="s">
        <v>3148</v>
      </c>
      <c r="E15" s="16">
        <f>IF($C$3="是",ROUND($A$3*G15/$B$3,2),ROUND($A$3*(G15-AT15)/$B$3,2))</f>
        <v>144371.15</v>
      </c>
      <c r="F15" s="32"/>
      <c r="G15" s="33">
        <f>H15+AC15+AT15</f>
        <v>276562.68200000003</v>
      </c>
      <c r="H15" s="20">
        <f>SUMIF(I$12:AB$12,"总值",I15:AB15)</f>
        <v>224108.75</v>
      </c>
      <c r="I15" s="2211">
        <f>范围!M15</f>
        <v>224108.75</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52453.932000000001</v>
      </c>
      <c r="AD15" s="2212"/>
      <c r="AE15" s="2212"/>
      <c r="AF15" s="2212"/>
      <c r="AG15" s="2212"/>
      <c r="AH15" s="2212"/>
      <c r="AI15" s="2212"/>
      <c r="AJ15" s="2212"/>
      <c r="AK15" s="2212"/>
      <c r="AL15" s="2212"/>
      <c r="AM15" s="2212"/>
      <c r="AN15" s="2212"/>
      <c r="AO15" s="2212"/>
      <c r="AP15" s="2212"/>
      <c r="AQ15" s="2212"/>
      <c r="AR15" s="2212">
        <f>范围!M5</f>
        <v>52453.932000000001</v>
      </c>
      <c r="AS15" s="2212"/>
      <c r="AT15" s="2213"/>
      <c r="AU15" s="2214"/>
      <c r="AV15" s="11">
        <f t="shared" si="6"/>
        <v>0</v>
      </c>
      <c r="AW15" s="11">
        <f t="shared" si="6"/>
        <v>0</v>
      </c>
      <c r="AX15" s="11" t="str">
        <f t="shared" si="6"/>
        <v>B区在建工程部份（待建部分）</v>
      </c>
      <c r="AY15" s="1808">
        <f>ROUND($AY$6*AZ15/$AZ$5,2)</f>
        <v>144371.15</v>
      </c>
      <c r="AZ15" s="16">
        <f>BA15+BL15</f>
        <v>276562.68200000003</v>
      </c>
      <c r="BA15" s="16">
        <f>SUM(BB15:BK15)</f>
        <v>224108.75</v>
      </c>
      <c r="BB15" s="16">
        <f>IF($D15="是",I15-J15,0)</f>
        <v>224108.75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52453.932000000001</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52453.932000000001</v>
      </c>
    </row>
    <row r="16" spans="1:72" s="2164" customFormat="1" ht="12.75">
      <c r="A16" s="1275"/>
      <c r="B16" s="1275"/>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5"/>
      <c r="B17" s="1275"/>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O100"/>
  <sheetViews>
    <sheetView topLeftCell="F1" workbookViewId="0">
      <selection activeCell="O20" sqref="O20"/>
    </sheetView>
  </sheetViews>
  <sheetFormatPr defaultRowHeight="13.5"/>
  <cols>
    <col min="6" max="6" width="10.5" bestFit="1" customWidth="1"/>
    <col min="8" max="8" width="25.25" bestFit="1" customWidth="1"/>
    <col min="9" max="9" width="14.125" bestFit="1" customWidth="1"/>
    <col min="11" max="11" width="19" customWidth="1"/>
    <col min="12" max="12" width="8.75" customWidth="1"/>
    <col min="13" max="13" width="13" bestFit="1" customWidth="1"/>
    <col min="14" max="14" width="10.5" bestFit="1" customWidth="1"/>
    <col min="15" max="15" width="33.125" bestFit="1" customWidth="1"/>
  </cols>
  <sheetData>
    <row r="1" spans="1:15" ht="31.5">
      <c r="A1" s="2940" t="s">
        <v>3094</v>
      </c>
      <c r="B1" s="2941" t="s">
        <v>3095</v>
      </c>
      <c r="C1" s="2940" t="s">
        <v>3096</v>
      </c>
      <c r="D1" s="2940" t="s">
        <v>3097</v>
      </c>
      <c r="E1" s="2940" t="s">
        <v>3098</v>
      </c>
      <c r="F1" s="2941" t="s">
        <v>3099</v>
      </c>
      <c r="G1" s="2940" t="s">
        <v>3100</v>
      </c>
      <c r="K1" s="3051" t="s">
        <v>3132</v>
      </c>
      <c r="L1" s="3052"/>
      <c r="M1" s="2954" t="s">
        <v>3151</v>
      </c>
      <c r="N1" s="2954" t="s">
        <v>3130</v>
      </c>
      <c r="O1" s="2953" t="s">
        <v>3121</v>
      </c>
    </row>
    <row r="2" spans="1:15" ht="15.75">
      <c r="A2" s="2936">
        <v>1</v>
      </c>
      <c r="B2" s="2937" t="s">
        <v>3052</v>
      </c>
      <c r="C2" s="2938" t="s">
        <v>3053</v>
      </c>
      <c r="D2" s="2938" t="s">
        <v>3054</v>
      </c>
      <c r="E2" s="2938">
        <v>201</v>
      </c>
      <c r="F2" s="2939">
        <v>55.4</v>
      </c>
      <c r="G2" s="2936" t="s">
        <v>3055</v>
      </c>
      <c r="H2" s="2948" t="s">
        <v>3113</v>
      </c>
      <c r="K2" s="3051" t="s">
        <v>3149</v>
      </c>
      <c r="L2" s="3051"/>
      <c r="M2" s="2955">
        <v>412633.29</v>
      </c>
      <c r="N2" s="2955">
        <v>276533.55</v>
      </c>
      <c r="O2" s="2953" t="s">
        <v>3122</v>
      </c>
    </row>
    <row r="3" spans="1:15" ht="15.75">
      <c r="A3" s="2936">
        <v>2</v>
      </c>
      <c r="B3" s="2937"/>
      <c r="C3" s="2938" t="s">
        <v>3056</v>
      </c>
      <c r="D3" s="2938" t="s">
        <v>3054</v>
      </c>
      <c r="E3" s="2938">
        <v>202</v>
      </c>
      <c r="F3" s="2939">
        <v>50.78</v>
      </c>
      <c r="G3" s="2936" t="s">
        <v>3055</v>
      </c>
      <c r="H3" s="2948" t="s">
        <v>3113</v>
      </c>
      <c r="K3" s="3053" t="s">
        <v>3150</v>
      </c>
      <c r="L3" s="3053"/>
      <c r="M3" s="2955">
        <v>65505</v>
      </c>
      <c r="N3" s="2955"/>
      <c r="O3" s="2961" t="s">
        <v>3122</v>
      </c>
    </row>
    <row r="4" spans="1:15" ht="15.75">
      <c r="A4" s="2936">
        <v>3</v>
      </c>
      <c r="B4" s="2937"/>
      <c r="C4" s="2938" t="s">
        <v>3056</v>
      </c>
      <c r="D4" s="2938" t="s">
        <v>3054</v>
      </c>
      <c r="E4" s="2938">
        <v>203</v>
      </c>
      <c r="F4" s="2939">
        <v>50.98</v>
      </c>
      <c r="G4" s="2936" t="s">
        <v>3055</v>
      </c>
      <c r="H4" s="2948" t="s">
        <v>3113</v>
      </c>
      <c r="K4" s="3057" t="s">
        <v>3152</v>
      </c>
      <c r="L4" s="3057"/>
      <c r="M4" s="2959">
        <v>13051.067999999999</v>
      </c>
      <c r="N4" s="2959"/>
      <c r="O4" s="2964" t="s">
        <v>3153</v>
      </c>
    </row>
    <row r="5" spans="1:15" ht="15.75">
      <c r="A5" s="2936">
        <v>4</v>
      </c>
      <c r="B5" s="2937"/>
      <c r="C5" s="2938" t="s">
        <v>3056</v>
      </c>
      <c r="D5" s="2938" t="s">
        <v>3054</v>
      </c>
      <c r="E5" s="2938">
        <v>204</v>
      </c>
      <c r="F5" s="2939">
        <v>51.03</v>
      </c>
      <c r="G5" s="2936" t="s">
        <v>3055</v>
      </c>
      <c r="H5" s="2948" t="s">
        <v>3113</v>
      </c>
      <c r="K5" s="3057" t="s">
        <v>3154</v>
      </c>
      <c r="L5" s="3057"/>
      <c r="M5" s="2959">
        <f>M3-M4</f>
        <v>52453.932000000001</v>
      </c>
      <c r="N5" s="2959"/>
      <c r="O5" s="2963"/>
    </row>
    <row r="6" spans="1:15" ht="15.75">
      <c r="A6" s="2936">
        <v>5</v>
      </c>
      <c r="B6" s="2937"/>
      <c r="C6" s="2938" t="s">
        <v>3056</v>
      </c>
      <c r="D6" s="2938" t="s">
        <v>3054</v>
      </c>
      <c r="E6" s="2938">
        <v>205</v>
      </c>
      <c r="F6" s="2939">
        <v>51.03</v>
      </c>
      <c r="G6" s="2936" t="s">
        <v>3055</v>
      </c>
      <c r="H6" s="2948" t="s">
        <v>3113</v>
      </c>
      <c r="K6" s="3060" t="s">
        <v>3139</v>
      </c>
      <c r="L6" s="2953" t="s">
        <v>3123</v>
      </c>
      <c r="M6" s="3055">
        <v>37288.89</v>
      </c>
      <c r="N6" s="2955"/>
      <c r="O6" s="3051" t="s">
        <v>3131</v>
      </c>
    </row>
    <row r="7" spans="1:15" ht="15.75">
      <c r="A7" s="2936">
        <v>6</v>
      </c>
      <c r="B7" s="2937"/>
      <c r="C7" s="2938" t="s">
        <v>3056</v>
      </c>
      <c r="D7" s="2938" t="s">
        <v>3054</v>
      </c>
      <c r="E7" s="2938">
        <v>206</v>
      </c>
      <c r="F7" s="2939">
        <v>51.03</v>
      </c>
      <c r="G7" s="2936" t="s">
        <v>3055</v>
      </c>
      <c r="H7" s="2948" t="s">
        <v>3113</v>
      </c>
      <c r="K7" s="3061"/>
      <c r="L7" s="2953" t="s">
        <v>3124</v>
      </c>
      <c r="M7" s="3056"/>
      <c r="N7" s="2955"/>
      <c r="O7" s="3051"/>
    </row>
    <row r="8" spans="1:15" ht="15.75">
      <c r="A8" s="2936">
        <v>7</v>
      </c>
      <c r="B8" s="2937"/>
      <c r="C8" s="2938" t="s">
        <v>3056</v>
      </c>
      <c r="D8" s="2938" t="s">
        <v>3054</v>
      </c>
      <c r="E8" s="2938">
        <v>207</v>
      </c>
      <c r="F8" s="2939">
        <v>50.98</v>
      </c>
      <c r="G8" s="2936" t="s">
        <v>3055</v>
      </c>
      <c r="H8" s="2948" t="s">
        <v>3113</v>
      </c>
      <c r="K8" s="3061"/>
      <c r="L8" s="2953" t="s">
        <v>3125</v>
      </c>
      <c r="M8" s="3055">
        <v>30551.69</v>
      </c>
      <c r="N8" s="2955"/>
      <c r="O8" s="3051" t="s">
        <v>3131</v>
      </c>
    </row>
    <row r="9" spans="1:15" ht="15.75">
      <c r="A9" s="2936">
        <v>8</v>
      </c>
      <c r="B9" s="2937"/>
      <c r="C9" s="2938" t="s">
        <v>3056</v>
      </c>
      <c r="D9" s="2938" t="s">
        <v>3054</v>
      </c>
      <c r="E9" s="2938">
        <v>210</v>
      </c>
      <c r="F9" s="2939">
        <v>50.98</v>
      </c>
      <c r="G9" s="2936" t="s">
        <v>3055</v>
      </c>
      <c r="H9" s="2948" t="s">
        <v>3113</v>
      </c>
      <c r="K9" s="3061"/>
      <c r="L9" s="2953" t="s">
        <v>3126</v>
      </c>
      <c r="M9" s="3063"/>
      <c r="N9" s="2955"/>
      <c r="O9" s="3051"/>
    </row>
    <row r="10" spans="1:15" ht="15.75">
      <c r="A10" s="2936">
        <v>9</v>
      </c>
      <c r="B10" s="2937"/>
      <c r="C10" s="2938" t="s">
        <v>3056</v>
      </c>
      <c r="D10" s="2938" t="s">
        <v>3054</v>
      </c>
      <c r="E10" s="2938">
        <v>211</v>
      </c>
      <c r="F10" s="2939">
        <v>50.98</v>
      </c>
      <c r="G10" s="2936" t="s">
        <v>3055</v>
      </c>
      <c r="H10" s="2948" t="s">
        <v>3113</v>
      </c>
      <c r="K10" s="3061"/>
      <c r="L10" s="2953" t="s">
        <v>3127</v>
      </c>
      <c r="M10" s="3056"/>
      <c r="N10" s="2955"/>
      <c r="O10" s="3051"/>
    </row>
    <row r="11" spans="1:15" ht="15.75">
      <c r="A11" s="2936">
        <v>10</v>
      </c>
      <c r="B11" s="2937"/>
      <c r="C11" s="2938" t="s">
        <v>3056</v>
      </c>
      <c r="D11" s="2938" t="s">
        <v>3054</v>
      </c>
      <c r="E11" s="2938">
        <v>212</v>
      </c>
      <c r="F11" s="2939">
        <v>50.98</v>
      </c>
      <c r="G11" s="2936" t="s">
        <v>3055</v>
      </c>
      <c r="H11" s="2948" t="s">
        <v>3113</v>
      </c>
      <c r="K11" s="3061"/>
      <c r="L11" s="2953" t="s">
        <v>3128</v>
      </c>
      <c r="M11" s="3055">
        <v>15151.62</v>
      </c>
      <c r="N11" s="2955"/>
      <c r="O11" s="3051" t="s">
        <v>3136</v>
      </c>
    </row>
    <row r="12" spans="1:15" ht="15.75">
      <c r="A12" s="2936">
        <v>11</v>
      </c>
      <c r="B12" s="2937"/>
      <c r="C12" s="2938" t="s">
        <v>3056</v>
      </c>
      <c r="D12" s="2938" t="s">
        <v>3054</v>
      </c>
      <c r="E12" s="2938">
        <v>213</v>
      </c>
      <c r="F12" s="2939">
        <v>51.08</v>
      </c>
      <c r="G12" s="2936" t="s">
        <v>3055</v>
      </c>
      <c r="H12" s="2948" t="s">
        <v>3113</v>
      </c>
      <c r="K12" s="3062"/>
      <c r="L12" s="2953" t="s">
        <v>3129</v>
      </c>
      <c r="M12" s="3056"/>
      <c r="N12" s="2955"/>
      <c r="O12" s="3051"/>
    </row>
    <row r="13" spans="1:15" ht="15.75">
      <c r="A13" s="2936">
        <v>12</v>
      </c>
      <c r="B13" s="2937"/>
      <c r="C13" s="2938" t="s">
        <v>3057</v>
      </c>
      <c r="D13" s="2938" t="s">
        <v>3054</v>
      </c>
      <c r="E13" s="2938">
        <v>214</v>
      </c>
      <c r="F13" s="2939">
        <v>66.180000000000007</v>
      </c>
      <c r="G13" s="2936" t="s">
        <v>3055</v>
      </c>
      <c r="H13" s="2948" t="s">
        <v>3113</v>
      </c>
      <c r="K13" s="3051" t="s">
        <v>3133</v>
      </c>
      <c r="L13" s="2962" t="s">
        <v>3134</v>
      </c>
      <c r="M13" s="3054">
        <v>22591.06</v>
      </c>
      <c r="N13" s="2955"/>
      <c r="O13" s="3051" t="s">
        <v>3136</v>
      </c>
    </row>
    <row r="14" spans="1:15" ht="15.75">
      <c r="A14" s="2936">
        <v>13</v>
      </c>
      <c r="B14" s="2937"/>
      <c r="C14" s="2938" t="s">
        <v>3053</v>
      </c>
      <c r="D14" s="2938" t="s">
        <v>3058</v>
      </c>
      <c r="E14" s="2938">
        <v>301</v>
      </c>
      <c r="F14" s="2939">
        <v>55.4</v>
      </c>
      <c r="G14" s="2936" t="s">
        <v>3055</v>
      </c>
      <c r="H14" s="2948" t="s">
        <v>3113</v>
      </c>
      <c r="K14" s="3051"/>
      <c r="L14" s="2962" t="s">
        <v>3135</v>
      </c>
      <c r="M14" s="3054"/>
      <c r="N14" s="2955"/>
      <c r="O14" s="3052"/>
    </row>
    <row r="15" spans="1:15" ht="15.75">
      <c r="A15" s="2936">
        <v>14</v>
      </c>
      <c r="B15" s="2937"/>
      <c r="C15" s="2938" t="s">
        <v>3056</v>
      </c>
      <c r="D15" s="2938" t="s">
        <v>3058</v>
      </c>
      <c r="E15" s="2938">
        <v>302</v>
      </c>
      <c r="F15" s="2939">
        <v>50.78</v>
      </c>
      <c r="G15" s="2936" t="s">
        <v>3055</v>
      </c>
      <c r="H15" s="2948" t="s">
        <v>3113</v>
      </c>
      <c r="K15" s="3057" t="s">
        <v>3141</v>
      </c>
      <c r="L15" s="3057"/>
      <c r="M15" s="2959">
        <f>M2-M16-M6-M8-M11-M13</f>
        <v>224108.75</v>
      </c>
      <c r="N15" s="2959">
        <f>ROUND(M15/(M2-M16)*(N2-N16),2)</f>
        <v>150135.60999999999</v>
      </c>
      <c r="O15" s="2964" t="s">
        <v>3142</v>
      </c>
    </row>
    <row r="16" spans="1:15" ht="15.75">
      <c r="A16" s="2936">
        <v>15</v>
      </c>
      <c r="B16" s="2937"/>
      <c r="C16" s="2938" t="s">
        <v>3056</v>
      </c>
      <c r="D16" s="2938" t="s">
        <v>3058</v>
      </c>
      <c r="E16" s="2938">
        <v>303</v>
      </c>
      <c r="F16" s="2939">
        <v>50.98</v>
      </c>
      <c r="G16" s="2936" t="s">
        <v>3055</v>
      </c>
      <c r="H16" s="2948" t="s">
        <v>3113</v>
      </c>
      <c r="K16" s="3058" t="s">
        <v>3137</v>
      </c>
      <c r="L16" s="3059"/>
      <c r="M16" s="2956">
        <f>ROUND(N16*1.49,2)</f>
        <v>82941.279999999999</v>
      </c>
      <c r="N16" s="2956">
        <v>55665.29</v>
      </c>
      <c r="O16" s="2965" t="s">
        <v>3138</v>
      </c>
    </row>
    <row r="17" spans="1:15" ht="15.75">
      <c r="A17" s="2936">
        <v>16</v>
      </c>
      <c r="B17" s="2937"/>
      <c r="C17" s="2938" t="s">
        <v>3056</v>
      </c>
      <c r="D17" s="2938" t="s">
        <v>3058</v>
      </c>
      <c r="E17" s="2938">
        <v>304</v>
      </c>
      <c r="F17" s="2939">
        <v>51.03</v>
      </c>
      <c r="G17" s="2936" t="s">
        <v>3055</v>
      </c>
      <c r="H17" s="2948" t="s">
        <v>3113</v>
      </c>
      <c r="K17" s="3057" t="s">
        <v>3143</v>
      </c>
      <c r="L17" s="2963" t="s">
        <v>3119</v>
      </c>
      <c r="M17" s="2960">
        <f>F71</f>
        <v>3605.4900000000021</v>
      </c>
      <c r="N17" s="2959">
        <f>ROUND(M17/(M2-M16)*(N2-N16),2)</f>
        <v>2415.4</v>
      </c>
      <c r="O17" s="2964" t="s">
        <v>3144</v>
      </c>
    </row>
    <row r="18" spans="1:15" ht="15.75">
      <c r="A18" s="2936">
        <v>17</v>
      </c>
      <c r="B18" s="2937"/>
      <c r="C18" s="2938" t="s">
        <v>3056</v>
      </c>
      <c r="D18" s="2938" t="s">
        <v>3058</v>
      </c>
      <c r="E18" s="2938">
        <v>305</v>
      </c>
      <c r="F18" s="2939">
        <v>51.03</v>
      </c>
      <c r="G18" s="2936" t="s">
        <v>3055</v>
      </c>
      <c r="H18" s="2948" t="s">
        <v>3113</v>
      </c>
      <c r="K18" s="3057"/>
      <c r="L18" s="2963" t="s">
        <v>3064</v>
      </c>
      <c r="M18" s="2960">
        <f>F100</f>
        <v>3483.309999999999</v>
      </c>
      <c r="N18" s="2959">
        <f>ROUND(M18/(M2-M16)*(N2-N16),2)</f>
        <v>2333.5500000000002</v>
      </c>
      <c r="O18" s="2964" t="s">
        <v>3144</v>
      </c>
    </row>
    <row r="19" spans="1:15" ht="15.75" customHeight="1">
      <c r="A19" s="2936">
        <v>18</v>
      </c>
      <c r="B19" s="2937"/>
      <c r="C19" s="2938" t="s">
        <v>3056</v>
      </c>
      <c r="D19" s="2938" t="s">
        <v>3058</v>
      </c>
      <c r="E19" s="2938">
        <v>306</v>
      </c>
      <c r="F19" s="2939">
        <v>51.03</v>
      </c>
      <c r="G19" s="2936" t="s">
        <v>3055</v>
      </c>
      <c r="H19" s="2948" t="s">
        <v>3113</v>
      </c>
      <c r="K19" s="2958" t="s">
        <v>3146</v>
      </c>
    </row>
    <row r="20" spans="1:15" ht="15.75">
      <c r="A20" s="2936">
        <v>19</v>
      </c>
      <c r="B20" s="2937"/>
      <c r="C20" s="2938" t="s">
        <v>3056</v>
      </c>
      <c r="D20" s="2938" t="s">
        <v>3058</v>
      </c>
      <c r="E20" s="2938">
        <v>307</v>
      </c>
      <c r="F20" s="2939">
        <v>50.98</v>
      </c>
      <c r="G20" s="2936" t="s">
        <v>3055</v>
      </c>
      <c r="H20" s="2948" t="s">
        <v>3113</v>
      </c>
      <c r="K20" s="2957" t="s">
        <v>3145</v>
      </c>
    </row>
    <row r="21" spans="1:15" ht="15.75">
      <c r="A21" s="2936">
        <v>20</v>
      </c>
      <c r="B21" s="2937"/>
      <c r="C21" s="2938" t="s">
        <v>3056</v>
      </c>
      <c r="D21" s="2938" t="s">
        <v>3058</v>
      </c>
      <c r="E21" s="2938">
        <v>308</v>
      </c>
      <c r="F21" s="2939">
        <v>50.98</v>
      </c>
      <c r="G21" s="2936" t="s">
        <v>3055</v>
      </c>
      <c r="H21" s="2948" t="s">
        <v>3113</v>
      </c>
    </row>
    <row r="22" spans="1:15" ht="15.75">
      <c r="A22" s="2936">
        <v>21</v>
      </c>
      <c r="B22" s="2937"/>
      <c r="C22" s="2938" t="s">
        <v>3056</v>
      </c>
      <c r="D22" s="2938" t="s">
        <v>3058</v>
      </c>
      <c r="E22" s="2938">
        <v>309</v>
      </c>
      <c r="F22" s="2939">
        <v>51.08</v>
      </c>
      <c r="G22" s="2936" t="s">
        <v>3055</v>
      </c>
      <c r="H22" s="2948" t="s">
        <v>3113</v>
      </c>
    </row>
    <row r="23" spans="1:15" ht="15.75">
      <c r="A23" s="2936">
        <v>22</v>
      </c>
      <c r="B23" s="2937"/>
      <c r="C23" s="2938" t="s">
        <v>3056</v>
      </c>
      <c r="D23" s="2938" t="s">
        <v>3058</v>
      </c>
      <c r="E23" s="2938">
        <v>310</v>
      </c>
      <c r="F23" s="2939">
        <v>50.98</v>
      </c>
      <c r="G23" s="2936" t="s">
        <v>3055</v>
      </c>
      <c r="H23" s="2948" t="s">
        <v>3113</v>
      </c>
    </row>
    <row r="24" spans="1:15" ht="15.75">
      <c r="A24" s="2936">
        <v>23</v>
      </c>
      <c r="B24" s="2937"/>
      <c r="C24" s="2938" t="s">
        <v>3056</v>
      </c>
      <c r="D24" s="2938" t="s">
        <v>3058</v>
      </c>
      <c r="E24" s="2938">
        <v>311</v>
      </c>
      <c r="F24" s="2939">
        <v>50.98</v>
      </c>
      <c r="G24" s="2936" t="s">
        <v>3055</v>
      </c>
      <c r="H24" s="2948" t="s">
        <v>3113</v>
      </c>
    </row>
    <row r="25" spans="1:15" ht="15.75">
      <c r="A25" s="2936">
        <v>24</v>
      </c>
      <c r="B25" s="2937"/>
      <c r="C25" s="2938" t="s">
        <v>3056</v>
      </c>
      <c r="D25" s="2938" t="s">
        <v>3058</v>
      </c>
      <c r="E25" s="2938">
        <v>312</v>
      </c>
      <c r="F25" s="2939">
        <v>50.98</v>
      </c>
      <c r="G25" s="2936" t="s">
        <v>3055</v>
      </c>
      <c r="H25" s="2948" t="s">
        <v>3113</v>
      </c>
    </row>
    <row r="26" spans="1:15" ht="15.75">
      <c r="A26" s="2936">
        <v>25</v>
      </c>
      <c r="B26" s="2937"/>
      <c r="C26" s="2938" t="s">
        <v>3056</v>
      </c>
      <c r="D26" s="2938" t="s">
        <v>3058</v>
      </c>
      <c r="E26" s="2938">
        <v>313</v>
      </c>
      <c r="F26" s="2939">
        <v>51.08</v>
      </c>
      <c r="G26" s="2936" t="s">
        <v>3055</v>
      </c>
      <c r="H26" s="2948" t="s">
        <v>3113</v>
      </c>
    </row>
    <row r="27" spans="1:15" ht="15.75">
      <c r="A27" s="2936">
        <v>26</v>
      </c>
      <c r="B27" s="2937"/>
      <c r="C27" s="2938" t="s">
        <v>3057</v>
      </c>
      <c r="D27" s="2938" t="s">
        <v>3058</v>
      </c>
      <c r="E27" s="2938">
        <v>314</v>
      </c>
      <c r="F27" s="2939">
        <v>66.180000000000007</v>
      </c>
      <c r="G27" s="2936" t="s">
        <v>3055</v>
      </c>
      <c r="H27" s="2948" t="s">
        <v>3113</v>
      </c>
    </row>
    <row r="28" spans="1:15" ht="15.75">
      <c r="A28" s="2936">
        <v>27</v>
      </c>
      <c r="B28" s="2937"/>
      <c r="C28" s="2938" t="s">
        <v>3053</v>
      </c>
      <c r="D28" s="2938" t="s">
        <v>3059</v>
      </c>
      <c r="E28" s="2938">
        <v>401</v>
      </c>
      <c r="F28" s="2939">
        <v>55.4</v>
      </c>
      <c r="G28" s="2936" t="s">
        <v>3055</v>
      </c>
      <c r="H28" s="2948" t="s">
        <v>3113</v>
      </c>
    </row>
    <row r="29" spans="1:15" ht="15.75">
      <c r="A29" s="2936">
        <v>28</v>
      </c>
      <c r="B29" s="2937"/>
      <c r="C29" s="2938" t="s">
        <v>3056</v>
      </c>
      <c r="D29" s="2938" t="s">
        <v>3059</v>
      </c>
      <c r="E29" s="2938">
        <v>402</v>
      </c>
      <c r="F29" s="2939">
        <v>50.78</v>
      </c>
      <c r="G29" s="2936" t="s">
        <v>3055</v>
      </c>
      <c r="H29" s="2948" t="s">
        <v>3113</v>
      </c>
    </row>
    <row r="30" spans="1:15" ht="15.75">
      <c r="A30" s="2936">
        <v>29</v>
      </c>
      <c r="B30" s="2937"/>
      <c r="C30" s="2938" t="s">
        <v>3056</v>
      </c>
      <c r="D30" s="2938" t="s">
        <v>3059</v>
      </c>
      <c r="E30" s="2938">
        <v>403</v>
      </c>
      <c r="F30" s="2939">
        <v>50.98</v>
      </c>
      <c r="G30" s="2936" t="s">
        <v>3055</v>
      </c>
      <c r="H30" s="2948" t="s">
        <v>3113</v>
      </c>
    </row>
    <row r="31" spans="1:15" ht="15.75">
      <c r="A31" s="2936">
        <v>30</v>
      </c>
      <c r="B31" s="2937"/>
      <c r="C31" s="2938" t="s">
        <v>3056</v>
      </c>
      <c r="D31" s="2938" t="s">
        <v>3059</v>
      </c>
      <c r="E31" s="2938">
        <v>404</v>
      </c>
      <c r="F31" s="2939">
        <v>51.03</v>
      </c>
      <c r="G31" s="2936" t="s">
        <v>3055</v>
      </c>
      <c r="H31" s="2948" t="s">
        <v>3113</v>
      </c>
    </row>
    <row r="32" spans="1:15" ht="15.75">
      <c r="A32" s="2936">
        <v>31</v>
      </c>
      <c r="B32" s="2937"/>
      <c r="C32" s="2938" t="s">
        <v>3056</v>
      </c>
      <c r="D32" s="2938" t="s">
        <v>3059</v>
      </c>
      <c r="E32" s="2938">
        <v>405</v>
      </c>
      <c r="F32" s="2939">
        <v>51.03</v>
      </c>
      <c r="G32" s="2936" t="s">
        <v>3055</v>
      </c>
      <c r="H32" s="2948" t="s">
        <v>3113</v>
      </c>
    </row>
    <row r="33" spans="1:8" ht="15.75">
      <c r="A33" s="2936">
        <v>32</v>
      </c>
      <c r="B33" s="2937"/>
      <c r="C33" s="2938" t="s">
        <v>3056</v>
      </c>
      <c r="D33" s="2938" t="s">
        <v>3059</v>
      </c>
      <c r="E33" s="2938">
        <v>406</v>
      </c>
      <c r="F33" s="2939">
        <v>51.03</v>
      </c>
      <c r="G33" s="2936" t="s">
        <v>3055</v>
      </c>
      <c r="H33" s="2948" t="s">
        <v>3113</v>
      </c>
    </row>
    <row r="34" spans="1:8" ht="15.75">
      <c r="A34" s="2936">
        <v>33</v>
      </c>
      <c r="B34" s="2937"/>
      <c r="C34" s="2938" t="s">
        <v>3056</v>
      </c>
      <c r="D34" s="2938" t="s">
        <v>3059</v>
      </c>
      <c r="E34" s="2938">
        <v>407</v>
      </c>
      <c r="F34" s="2939">
        <v>50.98</v>
      </c>
      <c r="G34" s="2936" t="s">
        <v>3055</v>
      </c>
      <c r="H34" s="2948" t="s">
        <v>3113</v>
      </c>
    </row>
    <row r="35" spans="1:8" ht="15.75">
      <c r="A35" s="2936">
        <v>34</v>
      </c>
      <c r="B35" s="2937"/>
      <c r="C35" s="2938" t="s">
        <v>3056</v>
      </c>
      <c r="D35" s="2938" t="s">
        <v>3059</v>
      </c>
      <c r="E35" s="2938">
        <v>408</v>
      </c>
      <c r="F35" s="2939">
        <v>50.98</v>
      </c>
      <c r="G35" s="2936" t="s">
        <v>3055</v>
      </c>
      <c r="H35" s="2948" t="s">
        <v>3113</v>
      </c>
    </row>
    <row r="36" spans="1:8" ht="15.75">
      <c r="A36" s="2936">
        <v>35</v>
      </c>
      <c r="B36" s="2937"/>
      <c r="C36" s="2938" t="s">
        <v>3056</v>
      </c>
      <c r="D36" s="2938" t="s">
        <v>3059</v>
      </c>
      <c r="E36" s="2938">
        <v>409</v>
      </c>
      <c r="F36" s="2939">
        <v>51.08</v>
      </c>
      <c r="G36" s="2936" t="s">
        <v>3055</v>
      </c>
      <c r="H36" s="2948" t="s">
        <v>3113</v>
      </c>
    </row>
    <row r="37" spans="1:8" ht="15.75">
      <c r="A37" s="2936">
        <v>36</v>
      </c>
      <c r="B37" s="2937"/>
      <c r="C37" s="2938" t="s">
        <v>3053</v>
      </c>
      <c r="D37" s="2938" t="s">
        <v>3060</v>
      </c>
      <c r="E37" s="2938">
        <v>1601</v>
      </c>
      <c r="F37" s="2939">
        <v>55.4</v>
      </c>
      <c r="G37" s="2936" t="s">
        <v>3055</v>
      </c>
      <c r="H37" s="2948" t="s">
        <v>3113</v>
      </c>
    </row>
    <row r="38" spans="1:8" ht="15.75">
      <c r="A38" s="2936">
        <v>37</v>
      </c>
      <c r="B38" s="2937"/>
      <c r="C38" s="2938" t="s">
        <v>3056</v>
      </c>
      <c r="D38" s="2938" t="s">
        <v>3060</v>
      </c>
      <c r="E38" s="2938">
        <v>1602</v>
      </c>
      <c r="F38" s="2939">
        <v>50.78</v>
      </c>
      <c r="G38" s="2936" t="s">
        <v>3055</v>
      </c>
      <c r="H38" s="2948" t="s">
        <v>3113</v>
      </c>
    </row>
    <row r="39" spans="1:8" ht="15.75">
      <c r="A39" s="2936">
        <v>38</v>
      </c>
      <c r="B39" s="2937"/>
      <c r="C39" s="2938" t="s">
        <v>3053</v>
      </c>
      <c r="D39" s="2938" t="s">
        <v>3061</v>
      </c>
      <c r="E39" s="2938">
        <v>1701</v>
      </c>
      <c r="F39" s="2939">
        <v>55.4</v>
      </c>
      <c r="G39" s="2936" t="s">
        <v>3055</v>
      </c>
      <c r="H39" s="2948" t="s">
        <v>3113</v>
      </c>
    </row>
    <row r="40" spans="1:8" ht="15.75">
      <c r="A40" s="2936">
        <v>39</v>
      </c>
      <c r="B40" s="2937"/>
      <c r="C40" s="2938" t="s">
        <v>3056</v>
      </c>
      <c r="D40" s="2938" t="s">
        <v>3061</v>
      </c>
      <c r="E40" s="2938">
        <v>1702</v>
      </c>
      <c r="F40" s="2939">
        <v>50.78</v>
      </c>
      <c r="G40" s="2936" t="s">
        <v>3055</v>
      </c>
      <c r="H40" s="2948" t="s">
        <v>3113</v>
      </c>
    </row>
    <row r="41" spans="1:8" ht="15.75">
      <c r="A41" s="2936">
        <v>40</v>
      </c>
      <c r="B41" s="2937"/>
      <c r="C41" s="2938" t="s">
        <v>3056</v>
      </c>
      <c r="D41" s="2938" t="s">
        <v>3061</v>
      </c>
      <c r="E41" s="2938">
        <v>1703</v>
      </c>
      <c r="F41" s="2939">
        <v>50.98</v>
      </c>
      <c r="G41" s="2936" t="s">
        <v>3055</v>
      </c>
      <c r="H41" s="2948" t="s">
        <v>3113</v>
      </c>
    </row>
    <row r="42" spans="1:8" ht="15.75">
      <c r="A42" s="2936">
        <v>41</v>
      </c>
      <c r="B42" s="2937"/>
      <c r="C42" s="2938" t="s">
        <v>3056</v>
      </c>
      <c r="D42" s="2938" t="s">
        <v>3061</v>
      </c>
      <c r="E42" s="2938">
        <v>1704</v>
      </c>
      <c r="F42" s="2939">
        <v>51.03</v>
      </c>
      <c r="G42" s="2936" t="s">
        <v>3055</v>
      </c>
      <c r="H42" s="2948" t="s">
        <v>3113</v>
      </c>
    </row>
    <row r="43" spans="1:8" ht="15.75">
      <c r="A43" s="2936">
        <v>42</v>
      </c>
      <c r="B43" s="2937"/>
      <c r="C43" s="2938" t="s">
        <v>3056</v>
      </c>
      <c r="D43" s="2938" t="s">
        <v>3061</v>
      </c>
      <c r="E43" s="2938">
        <v>1705</v>
      </c>
      <c r="F43" s="2939">
        <v>51.03</v>
      </c>
      <c r="G43" s="2936" t="s">
        <v>3055</v>
      </c>
      <c r="H43" s="2948" t="s">
        <v>3113</v>
      </c>
    </row>
    <row r="44" spans="1:8" ht="15.75">
      <c r="A44" s="2936">
        <v>43</v>
      </c>
      <c r="B44" s="2937"/>
      <c r="C44" s="2938" t="s">
        <v>3056</v>
      </c>
      <c r="D44" s="2938" t="s">
        <v>3061</v>
      </c>
      <c r="E44" s="2938">
        <v>1706</v>
      </c>
      <c r="F44" s="2939">
        <v>51.03</v>
      </c>
      <c r="G44" s="2936" t="s">
        <v>3055</v>
      </c>
      <c r="H44" s="2948" t="s">
        <v>3113</v>
      </c>
    </row>
    <row r="45" spans="1:8" ht="15.75">
      <c r="A45" s="2936">
        <v>44</v>
      </c>
      <c r="B45" s="2937"/>
      <c r="C45" s="2938" t="s">
        <v>3056</v>
      </c>
      <c r="D45" s="2938" t="s">
        <v>3061</v>
      </c>
      <c r="E45" s="2938">
        <v>1707</v>
      </c>
      <c r="F45" s="2939">
        <v>51.03</v>
      </c>
      <c r="G45" s="2936" t="s">
        <v>3055</v>
      </c>
      <c r="H45" s="2948" t="s">
        <v>3113</v>
      </c>
    </row>
    <row r="46" spans="1:8" ht="15.75">
      <c r="A46" s="2936">
        <v>45</v>
      </c>
      <c r="B46" s="2937"/>
      <c r="C46" s="2938" t="s">
        <v>3056</v>
      </c>
      <c r="D46" s="2938" t="s">
        <v>3061</v>
      </c>
      <c r="E46" s="2938">
        <v>1708</v>
      </c>
      <c r="F46" s="2939">
        <v>51.03</v>
      </c>
      <c r="G46" s="2936" t="s">
        <v>3055</v>
      </c>
      <c r="H46" s="2948" t="s">
        <v>3113</v>
      </c>
    </row>
    <row r="47" spans="1:8" ht="15.75">
      <c r="A47" s="2936">
        <v>46</v>
      </c>
      <c r="B47" s="2937"/>
      <c r="C47" s="2938" t="s">
        <v>3056</v>
      </c>
      <c r="D47" s="2938" t="s">
        <v>3061</v>
      </c>
      <c r="E47" s="2938">
        <v>1709</v>
      </c>
      <c r="F47" s="2939">
        <v>51.03</v>
      </c>
      <c r="G47" s="2936" t="s">
        <v>3055</v>
      </c>
      <c r="H47" s="2948" t="s">
        <v>3113</v>
      </c>
    </row>
    <row r="48" spans="1:8" ht="15.75">
      <c r="A48" s="2936">
        <v>47</v>
      </c>
      <c r="B48" s="2937"/>
      <c r="C48" s="2938" t="s">
        <v>3053</v>
      </c>
      <c r="D48" s="2938" t="s">
        <v>3062</v>
      </c>
      <c r="E48" s="2938">
        <v>1801</v>
      </c>
      <c r="F48" s="2939">
        <v>55.4</v>
      </c>
      <c r="G48" s="2936" t="s">
        <v>3055</v>
      </c>
      <c r="H48" s="2948" t="s">
        <v>3113</v>
      </c>
    </row>
    <row r="49" spans="1:8" ht="15.75">
      <c r="A49" s="2936">
        <v>48</v>
      </c>
      <c r="B49" s="2937"/>
      <c r="C49" s="2938" t="s">
        <v>3056</v>
      </c>
      <c r="D49" s="2938" t="s">
        <v>3062</v>
      </c>
      <c r="E49" s="2938">
        <v>1802</v>
      </c>
      <c r="F49" s="2939">
        <v>50.78</v>
      </c>
      <c r="G49" s="2936" t="s">
        <v>3055</v>
      </c>
      <c r="H49" s="2948" t="s">
        <v>3113</v>
      </c>
    </row>
    <row r="50" spans="1:8" ht="15.75">
      <c r="A50" s="2936">
        <v>49</v>
      </c>
      <c r="B50" s="2937"/>
      <c r="C50" s="2938" t="s">
        <v>3056</v>
      </c>
      <c r="D50" s="2938" t="s">
        <v>3062</v>
      </c>
      <c r="E50" s="2938">
        <v>1803</v>
      </c>
      <c r="F50" s="2939">
        <v>50.98</v>
      </c>
      <c r="G50" s="2936" t="s">
        <v>3055</v>
      </c>
      <c r="H50" s="2948" t="s">
        <v>3113</v>
      </c>
    </row>
    <row r="51" spans="1:8" ht="15.75">
      <c r="A51" s="2936">
        <v>50</v>
      </c>
      <c r="B51" s="2937"/>
      <c r="C51" s="2938" t="s">
        <v>3056</v>
      </c>
      <c r="D51" s="2938" t="s">
        <v>3062</v>
      </c>
      <c r="E51" s="2938">
        <v>1804</v>
      </c>
      <c r="F51" s="2939">
        <v>51.03</v>
      </c>
      <c r="G51" s="2936" t="s">
        <v>3055</v>
      </c>
      <c r="H51" s="2948" t="s">
        <v>3113</v>
      </c>
    </row>
    <row r="52" spans="1:8" ht="15.75">
      <c r="A52" s="2936">
        <v>51</v>
      </c>
      <c r="B52" s="2937"/>
      <c r="C52" s="2938" t="s">
        <v>3056</v>
      </c>
      <c r="D52" s="2938" t="s">
        <v>3062</v>
      </c>
      <c r="E52" s="2938">
        <v>1805</v>
      </c>
      <c r="F52" s="2939">
        <v>51.03</v>
      </c>
      <c r="G52" s="2936" t="s">
        <v>3055</v>
      </c>
      <c r="H52" s="2948" t="s">
        <v>3113</v>
      </c>
    </row>
    <row r="53" spans="1:8" ht="15.75">
      <c r="A53" s="2936">
        <v>52</v>
      </c>
      <c r="B53" s="2937"/>
      <c r="C53" s="2938" t="s">
        <v>3056</v>
      </c>
      <c r="D53" s="2938" t="s">
        <v>3062</v>
      </c>
      <c r="E53" s="2938">
        <v>1806</v>
      </c>
      <c r="F53" s="2939">
        <v>51.03</v>
      </c>
      <c r="G53" s="2936" t="s">
        <v>3055</v>
      </c>
      <c r="H53" s="2948" t="s">
        <v>3113</v>
      </c>
    </row>
    <row r="54" spans="1:8" ht="15.75">
      <c r="A54" s="2936">
        <v>53</v>
      </c>
      <c r="B54" s="2937"/>
      <c r="C54" s="2938" t="s">
        <v>3056</v>
      </c>
      <c r="D54" s="2938" t="s">
        <v>3062</v>
      </c>
      <c r="E54" s="2938">
        <v>1807</v>
      </c>
      <c r="F54" s="2939">
        <v>51.03</v>
      </c>
      <c r="G54" s="2936" t="s">
        <v>3055</v>
      </c>
      <c r="H54" s="2948" t="s">
        <v>3113</v>
      </c>
    </row>
    <row r="55" spans="1:8" ht="15.75">
      <c r="A55" s="2936">
        <v>54</v>
      </c>
      <c r="B55" s="2937"/>
      <c r="C55" s="2938" t="s">
        <v>3056</v>
      </c>
      <c r="D55" s="2938" t="s">
        <v>3062</v>
      </c>
      <c r="E55" s="2938">
        <v>1808</v>
      </c>
      <c r="F55" s="2939">
        <v>51.03</v>
      </c>
      <c r="G55" s="2936" t="s">
        <v>3055</v>
      </c>
      <c r="H55" s="2948" t="s">
        <v>3113</v>
      </c>
    </row>
    <row r="56" spans="1:8" ht="15.75">
      <c r="A56" s="2936">
        <v>55</v>
      </c>
      <c r="B56" s="2937"/>
      <c r="C56" s="2938" t="s">
        <v>3056</v>
      </c>
      <c r="D56" s="2938" t="s">
        <v>3062</v>
      </c>
      <c r="E56" s="2938">
        <v>1809</v>
      </c>
      <c r="F56" s="2939">
        <v>51.03</v>
      </c>
      <c r="G56" s="2936" t="s">
        <v>3055</v>
      </c>
      <c r="H56" s="2948" t="s">
        <v>3113</v>
      </c>
    </row>
    <row r="57" spans="1:8" ht="15.75">
      <c r="A57" s="2936">
        <v>56</v>
      </c>
      <c r="B57" s="2937"/>
      <c r="C57" s="2938" t="s">
        <v>3056</v>
      </c>
      <c r="D57" s="2938" t="s">
        <v>3054</v>
      </c>
      <c r="E57" s="2938">
        <v>210</v>
      </c>
      <c r="F57" s="2939">
        <v>50.98</v>
      </c>
      <c r="G57" s="2936" t="s">
        <v>3055</v>
      </c>
      <c r="H57" s="2948" t="s">
        <v>3113</v>
      </c>
    </row>
    <row r="58" spans="1:8" ht="15.75">
      <c r="A58" s="2936">
        <v>57</v>
      </c>
      <c r="B58" s="2937"/>
      <c r="C58" s="2938" t="s">
        <v>3056</v>
      </c>
      <c r="D58" s="2938" t="s">
        <v>3054</v>
      </c>
      <c r="E58" s="2938">
        <v>211</v>
      </c>
      <c r="F58" s="2939">
        <v>50.98</v>
      </c>
      <c r="G58" s="2936" t="s">
        <v>3055</v>
      </c>
      <c r="H58" s="2948" t="s">
        <v>3113</v>
      </c>
    </row>
    <row r="59" spans="1:8" ht="15.75">
      <c r="A59" s="2936">
        <v>58</v>
      </c>
      <c r="B59" s="2937"/>
      <c r="C59" s="2938" t="s">
        <v>3056</v>
      </c>
      <c r="D59" s="2938" t="s">
        <v>3054</v>
      </c>
      <c r="E59" s="2938">
        <v>212</v>
      </c>
      <c r="F59" s="2939">
        <v>50.98</v>
      </c>
      <c r="G59" s="2936" t="s">
        <v>3055</v>
      </c>
      <c r="H59" s="2948" t="s">
        <v>3113</v>
      </c>
    </row>
    <row r="60" spans="1:8" ht="15.75">
      <c r="A60" s="2936">
        <v>59</v>
      </c>
      <c r="B60" s="2937"/>
      <c r="C60" s="2938" t="s">
        <v>3056</v>
      </c>
      <c r="D60" s="2938" t="s">
        <v>3054</v>
      </c>
      <c r="E60" s="2938">
        <v>213</v>
      </c>
      <c r="F60" s="2939">
        <v>51.08</v>
      </c>
      <c r="G60" s="2936" t="s">
        <v>3055</v>
      </c>
      <c r="H60" s="2948" t="s">
        <v>3113</v>
      </c>
    </row>
    <row r="61" spans="1:8" ht="15.75">
      <c r="A61" s="2936">
        <v>60</v>
      </c>
      <c r="B61" s="2937"/>
      <c r="C61" s="2938" t="s">
        <v>3057</v>
      </c>
      <c r="D61" s="2938" t="s">
        <v>3054</v>
      </c>
      <c r="E61" s="2938">
        <v>214</v>
      </c>
      <c r="F61" s="2939">
        <v>66.180000000000007</v>
      </c>
      <c r="G61" s="2936" t="s">
        <v>3055</v>
      </c>
      <c r="H61" s="2948" t="s">
        <v>3113</v>
      </c>
    </row>
    <row r="62" spans="1:8" ht="15.75">
      <c r="A62" s="2936">
        <v>61</v>
      </c>
      <c r="B62" s="2937"/>
      <c r="C62" s="2938" t="s">
        <v>3056</v>
      </c>
      <c r="D62" s="2938" t="s">
        <v>3058</v>
      </c>
      <c r="E62" s="2938">
        <v>310</v>
      </c>
      <c r="F62" s="2939">
        <v>50.98</v>
      </c>
      <c r="G62" s="2936" t="s">
        <v>3055</v>
      </c>
      <c r="H62" s="2948" t="s">
        <v>3113</v>
      </c>
    </row>
    <row r="63" spans="1:8" ht="15.75">
      <c r="A63" s="2936">
        <v>62</v>
      </c>
      <c r="B63" s="2937"/>
      <c r="C63" s="2938" t="s">
        <v>3056</v>
      </c>
      <c r="D63" s="2938" t="s">
        <v>3058</v>
      </c>
      <c r="E63" s="2938">
        <v>311</v>
      </c>
      <c r="F63" s="2939">
        <v>50.98</v>
      </c>
      <c r="G63" s="2936" t="s">
        <v>3055</v>
      </c>
      <c r="H63" s="2948" t="s">
        <v>3113</v>
      </c>
    </row>
    <row r="64" spans="1:8" ht="15.75">
      <c r="A64" s="2936">
        <v>63</v>
      </c>
      <c r="B64" s="2937"/>
      <c r="C64" s="2938" t="s">
        <v>3056</v>
      </c>
      <c r="D64" s="2938" t="s">
        <v>3058</v>
      </c>
      <c r="E64" s="2938">
        <v>312</v>
      </c>
      <c r="F64" s="2939">
        <v>50.98</v>
      </c>
      <c r="G64" s="2936" t="s">
        <v>3055</v>
      </c>
      <c r="H64" s="2948" t="s">
        <v>3113</v>
      </c>
    </row>
    <row r="65" spans="1:9" ht="15.75">
      <c r="A65" s="2936">
        <v>64</v>
      </c>
      <c r="B65" s="2937"/>
      <c r="C65" s="2938" t="s">
        <v>3056</v>
      </c>
      <c r="D65" s="2938" t="s">
        <v>3058</v>
      </c>
      <c r="E65" s="2938">
        <v>313</v>
      </c>
      <c r="F65" s="2939">
        <v>51.08</v>
      </c>
      <c r="G65" s="2936" t="s">
        <v>3055</v>
      </c>
      <c r="H65" s="2948" t="s">
        <v>3113</v>
      </c>
    </row>
    <row r="66" spans="1:9" ht="15.75">
      <c r="A66" s="2936">
        <v>65</v>
      </c>
      <c r="B66" s="2937"/>
      <c r="C66" s="2938" t="s">
        <v>3057</v>
      </c>
      <c r="D66" s="2938" t="s">
        <v>3058</v>
      </c>
      <c r="E66" s="2938">
        <v>314</v>
      </c>
      <c r="F66" s="2939">
        <v>66.180000000000007</v>
      </c>
      <c r="G66" s="2936" t="s">
        <v>3055</v>
      </c>
      <c r="H66" s="2948" t="s">
        <v>3113</v>
      </c>
    </row>
    <row r="67" spans="1:9" ht="15.75">
      <c r="A67" s="2936">
        <v>66</v>
      </c>
      <c r="B67" s="2937"/>
      <c r="C67" s="2938" t="s">
        <v>3056</v>
      </c>
      <c r="D67" s="2938" t="s">
        <v>3063</v>
      </c>
      <c r="E67" s="2938">
        <v>1310</v>
      </c>
      <c r="F67" s="2939">
        <v>50.98</v>
      </c>
      <c r="G67" s="2936" t="s">
        <v>3055</v>
      </c>
      <c r="H67" s="2948" t="s">
        <v>3113</v>
      </c>
    </row>
    <row r="68" spans="1:9" ht="15.75">
      <c r="A68" s="2936">
        <v>67</v>
      </c>
      <c r="B68" s="2937"/>
      <c r="C68" s="2938" t="s">
        <v>3056</v>
      </c>
      <c r="D68" s="2938" t="s">
        <v>3063</v>
      </c>
      <c r="E68" s="2938">
        <v>1311</v>
      </c>
      <c r="F68" s="2939">
        <v>50.98</v>
      </c>
      <c r="G68" s="2936" t="s">
        <v>3055</v>
      </c>
      <c r="H68" s="2948" t="s">
        <v>3113</v>
      </c>
    </row>
    <row r="69" spans="1:9" ht="15.75">
      <c r="A69" s="2936">
        <v>68</v>
      </c>
      <c r="B69" s="2937"/>
      <c r="C69" s="2938" t="s">
        <v>3056</v>
      </c>
      <c r="D69" s="2938" t="s">
        <v>3063</v>
      </c>
      <c r="E69" s="2938">
        <v>1312</v>
      </c>
      <c r="F69" s="2939">
        <v>50.98</v>
      </c>
      <c r="G69" s="2936" t="s">
        <v>3055</v>
      </c>
      <c r="H69" s="2948" t="s">
        <v>3113</v>
      </c>
    </row>
    <row r="70" spans="1:9" ht="15.75">
      <c r="A70" s="2936">
        <v>69</v>
      </c>
      <c r="B70" s="2937"/>
      <c r="C70" s="2938" t="s">
        <v>3056</v>
      </c>
      <c r="D70" s="2938" t="s">
        <v>3063</v>
      </c>
      <c r="E70" s="2938">
        <v>1313</v>
      </c>
      <c r="F70" s="2939">
        <v>51.08</v>
      </c>
      <c r="G70" s="2936" t="s">
        <v>3055</v>
      </c>
      <c r="H70" s="2948" t="s">
        <v>3113</v>
      </c>
    </row>
    <row r="71" spans="1:9" ht="15.75">
      <c r="A71" s="3050" t="s">
        <v>1092</v>
      </c>
      <c r="B71" s="3050"/>
      <c r="C71" s="3050"/>
      <c r="D71" s="3050"/>
      <c r="E71" s="3050"/>
      <c r="F71" s="2939">
        <f>SUM(F2:F70)</f>
        <v>3605.4900000000021</v>
      </c>
      <c r="G71" s="2936"/>
    </row>
    <row r="72" spans="1:9" ht="15.75">
      <c r="A72" s="2936">
        <v>1</v>
      </c>
      <c r="B72" s="2937" t="s">
        <v>3064</v>
      </c>
      <c r="C72" s="2938"/>
      <c r="D72" s="2938" t="s">
        <v>3065</v>
      </c>
      <c r="E72" s="2938" t="s">
        <v>3066</v>
      </c>
      <c r="F72" s="2939">
        <v>829.64</v>
      </c>
      <c r="G72" s="2936" t="s">
        <v>3064</v>
      </c>
      <c r="H72" s="2948" t="s">
        <v>3112</v>
      </c>
      <c r="I72" s="2952" t="s">
        <v>3120</v>
      </c>
    </row>
    <row r="73" spans="1:9" ht="15.75">
      <c r="A73" s="2936">
        <v>2</v>
      </c>
      <c r="B73" s="2937"/>
      <c r="C73" s="2938"/>
      <c r="D73" s="2938" t="s">
        <v>3054</v>
      </c>
      <c r="E73" s="2938" t="s">
        <v>3067</v>
      </c>
      <c r="F73" s="2939">
        <v>829.81</v>
      </c>
      <c r="G73" s="2936" t="s">
        <v>3064</v>
      </c>
      <c r="H73" s="2948" t="s">
        <v>3112</v>
      </c>
      <c r="I73" s="2952" t="s">
        <v>3120</v>
      </c>
    </row>
    <row r="74" spans="1:9" ht="15.75">
      <c r="A74" s="2936">
        <v>3</v>
      </c>
      <c r="B74" s="2937"/>
      <c r="C74" s="2938"/>
      <c r="D74" s="2938" t="s">
        <v>3065</v>
      </c>
      <c r="E74" s="2938" t="s">
        <v>3068</v>
      </c>
      <c r="F74" s="2939">
        <v>62.98</v>
      </c>
      <c r="G74" s="2936" t="s">
        <v>3064</v>
      </c>
      <c r="H74" s="2948" t="s">
        <v>3112</v>
      </c>
    </row>
    <row r="75" spans="1:9" ht="15.75">
      <c r="A75" s="2936">
        <v>4</v>
      </c>
      <c r="B75" s="2937"/>
      <c r="C75" s="2938"/>
      <c r="D75" s="2938" t="s">
        <v>3065</v>
      </c>
      <c r="E75" s="2938" t="s">
        <v>3069</v>
      </c>
      <c r="F75" s="2939">
        <v>63.2</v>
      </c>
      <c r="G75" s="2936" t="s">
        <v>3064</v>
      </c>
      <c r="H75" s="2948" t="s">
        <v>3112</v>
      </c>
    </row>
    <row r="76" spans="1:9" ht="15.75">
      <c r="A76" s="2936">
        <v>5</v>
      </c>
      <c r="B76" s="2937"/>
      <c r="C76" s="2938"/>
      <c r="D76" s="2938" t="s">
        <v>3065</v>
      </c>
      <c r="E76" s="2938" t="s">
        <v>3070</v>
      </c>
      <c r="F76" s="2939">
        <v>63.2</v>
      </c>
      <c r="G76" s="2936" t="s">
        <v>3064</v>
      </c>
      <c r="H76" s="2948" t="s">
        <v>3112</v>
      </c>
    </row>
    <row r="77" spans="1:9" ht="15.75">
      <c r="A77" s="2936">
        <v>6</v>
      </c>
      <c r="B77" s="2937"/>
      <c r="C77" s="2938"/>
      <c r="D77" s="2938" t="s">
        <v>3065</v>
      </c>
      <c r="E77" s="2938" t="s">
        <v>3071</v>
      </c>
      <c r="F77" s="2939">
        <v>63.2</v>
      </c>
      <c r="G77" s="2936" t="s">
        <v>3064</v>
      </c>
      <c r="H77" s="2948" t="s">
        <v>3112</v>
      </c>
    </row>
    <row r="78" spans="1:9" ht="15.75">
      <c r="A78" s="2936">
        <v>7</v>
      </c>
      <c r="B78" s="2937"/>
      <c r="C78" s="2938"/>
      <c r="D78" s="2938" t="s">
        <v>3065</v>
      </c>
      <c r="E78" s="2938" t="s">
        <v>3072</v>
      </c>
      <c r="F78" s="2939">
        <v>93.41</v>
      </c>
      <c r="G78" s="2936" t="s">
        <v>3064</v>
      </c>
      <c r="H78" s="2948" t="s">
        <v>3112</v>
      </c>
    </row>
    <row r="79" spans="1:9" ht="15.75">
      <c r="A79" s="2936">
        <v>8</v>
      </c>
      <c r="B79" s="2937"/>
      <c r="C79" s="2938"/>
      <c r="D79" s="2938" t="s">
        <v>3065</v>
      </c>
      <c r="E79" s="2938" t="s">
        <v>3073</v>
      </c>
      <c r="F79" s="2939">
        <v>66.349999999999994</v>
      </c>
      <c r="G79" s="2936" t="s">
        <v>3064</v>
      </c>
      <c r="H79" s="2948" t="s">
        <v>3112</v>
      </c>
    </row>
    <row r="80" spans="1:9" ht="15.75">
      <c r="A80" s="2936">
        <v>9</v>
      </c>
      <c r="B80" s="2937"/>
      <c r="C80" s="2938"/>
      <c r="D80" s="2938" t="s">
        <v>3065</v>
      </c>
      <c r="E80" s="2938" t="s">
        <v>3074</v>
      </c>
      <c r="F80" s="2939">
        <v>46.94</v>
      </c>
      <c r="G80" s="2936" t="s">
        <v>3064</v>
      </c>
      <c r="H80" s="2948" t="s">
        <v>3112</v>
      </c>
    </row>
    <row r="81" spans="1:9" ht="15.75">
      <c r="A81" s="2936">
        <v>10</v>
      </c>
      <c r="B81" s="2937"/>
      <c r="C81" s="2938"/>
      <c r="D81" s="2938" t="s">
        <v>3065</v>
      </c>
      <c r="E81" s="2938" t="s">
        <v>3075</v>
      </c>
      <c r="F81" s="2939">
        <v>50.34</v>
      </c>
      <c r="G81" s="2936" t="s">
        <v>3064</v>
      </c>
      <c r="H81" s="2948" t="s">
        <v>3112</v>
      </c>
    </row>
    <row r="82" spans="1:9" ht="15.75">
      <c r="A82" s="2936">
        <v>11</v>
      </c>
      <c r="B82" s="2937"/>
      <c r="C82" s="2938"/>
      <c r="D82" s="2938" t="s">
        <v>3065</v>
      </c>
      <c r="E82" s="2938" t="s">
        <v>3076</v>
      </c>
      <c r="F82" s="2939">
        <v>50.34</v>
      </c>
      <c r="G82" s="2936" t="s">
        <v>3064</v>
      </c>
      <c r="H82" s="2948" t="s">
        <v>3112</v>
      </c>
    </row>
    <row r="83" spans="1:9" ht="15.75">
      <c r="A83" s="2936">
        <v>12</v>
      </c>
      <c r="B83" s="2937"/>
      <c r="C83" s="2938"/>
      <c r="D83" s="2938" t="s">
        <v>3065</v>
      </c>
      <c r="E83" s="2938" t="s">
        <v>3077</v>
      </c>
      <c r="F83" s="2939">
        <v>50.34</v>
      </c>
      <c r="G83" s="2936" t="s">
        <v>3064</v>
      </c>
      <c r="H83" s="2948" t="s">
        <v>3112</v>
      </c>
    </row>
    <row r="84" spans="1:9" ht="15.75">
      <c r="A84" s="2936">
        <v>13</v>
      </c>
      <c r="B84" s="2937"/>
      <c r="C84" s="2938"/>
      <c r="D84" s="2938" t="s">
        <v>3065</v>
      </c>
      <c r="E84" s="2938" t="s">
        <v>3078</v>
      </c>
      <c r="F84" s="2939">
        <v>50.34</v>
      </c>
      <c r="G84" s="2936" t="s">
        <v>3064</v>
      </c>
      <c r="H84" s="2948" t="s">
        <v>3112</v>
      </c>
    </row>
    <row r="85" spans="1:9" ht="15.75">
      <c r="A85" s="2936">
        <v>14</v>
      </c>
      <c r="B85" s="2937"/>
      <c r="C85" s="2938"/>
      <c r="D85" s="2938" t="s">
        <v>3065</v>
      </c>
      <c r="E85" s="2938" t="s">
        <v>3079</v>
      </c>
      <c r="F85" s="2939">
        <v>50.59</v>
      </c>
      <c r="G85" s="2936" t="s">
        <v>3064</v>
      </c>
      <c r="H85" s="2948" t="s">
        <v>3112</v>
      </c>
    </row>
    <row r="86" spans="1:9" ht="15.75">
      <c r="A86" s="2936">
        <v>15</v>
      </c>
      <c r="B86" s="2937"/>
      <c r="C86" s="2938"/>
      <c r="D86" s="2938" t="s">
        <v>3065</v>
      </c>
      <c r="E86" s="2938" t="s">
        <v>3080</v>
      </c>
      <c r="F86" s="2939">
        <v>62.91</v>
      </c>
      <c r="G86" s="2936" t="s">
        <v>3064</v>
      </c>
      <c r="H86" s="2948" t="s">
        <v>3112</v>
      </c>
    </row>
    <row r="87" spans="1:9" ht="15.75">
      <c r="A87" s="2936">
        <v>16</v>
      </c>
      <c r="B87" s="2937"/>
      <c r="C87" s="2938"/>
      <c r="D87" s="2938" t="s">
        <v>3065</v>
      </c>
      <c r="E87" s="2938" t="s">
        <v>3081</v>
      </c>
      <c r="F87" s="2939">
        <v>63.2</v>
      </c>
      <c r="G87" s="2936" t="s">
        <v>3064</v>
      </c>
      <c r="H87" s="2948" t="s">
        <v>3112</v>
      </c>
    </row>
    <row r="88" spans="1:9" ht="15.75">
      <c r="A88" s="2936">
        <v>17</v>
      </c>
      <c r="B88" s="2937"/>
      <c r="C88" s="2938"/>
      <c r="D88" s="2938" t="s">
        <v>3065</v>
      </c>
      <c r="E88" s="2938" t="s">
        <v>3082</v>
      </c>
      <c r="F88" s="2939">
        <v>90.64</v>
      </c>
      <c r="G88" s="2936" t="s">
        <v>3064</v>
      </c>
      <c r="H88" s="2948" t="s">
        <v>3112</v>
      </c>
    </row>
    <row r="89" spans="1:9" ht="15.75">
      <c r="A89" s="2936">
        <v>18</v>
      </c>
      <c r="B89" s="2937"/>
      <c r="C89" s="2938"/>
      <c r="D89" s="2938" t="s">
        <v>3065</v>
      </c>
      <c r="E89" s="2938" t="s">
        <v>3083</v>
      </c>
      <c r="F89" s="2939">
        <v>62.95</v>
      </c>
      <c r="G89" s="2936" t="s">
        <v>3064</v>
      </c>
      <c r="H89" s="2948" t="s">
        <v>3112</v>
      </c>
    </row>
    <row r="90" spans="1:9" ht="15.75">
      <c r="A90" s="2936">
        <v>19</v>
      </c>
      <c r="B90" s="2937"/>
      <c r="C90" s="2938"/>
      <c r="D90" s="2938" t="s">
        <v>3065</v>
      </c>
      <c r="E90" s="2938" t="s">
        <v>3084</v>
      </c>
      <c r="F90" s="2939">
        <v>63.2</v>
      </c>
      <c r="G90" s="2936" t="s">
        <v>3064</v>
      </c>
      <c r="H90" s="2948" t="s">
        <v>3112</v>
      </c>
    </row>
    <row r="91" spans="1:9" ht="15.75">
      <c r="A91" s="2936">
        <v>20</v>
      </c>
      <c r="B91" s="2937"/>
      <c r="C91" s="2938"/>
      <c r="D91" s="2938" t="s">
        <v>3065</v>
      </c>
      <c r="E91" s="2938" t="s">
        <v>3085</v>
      </c>
      <c r="F91" s="2939">
        <v>114.83</v>
      </c>
      <c r="G91" s="2936" t="s">
        <v>3064</v>
      </c>
      <c r="H91" s="2948" t="s">
        <v>3112</v>
      </c>
    </row>
    <row r="92" spans="1:9" ht="15.75">
      <c r="A92" s="2936">
        <v>21</v>
      </c>
      <c r="B92" s="2937"/>
      <c r="C92" s="2938"/>
      <c r="D92" s="2938" t="s">
        <v>3065</v>
      </c>
      <c r="E92" s="2938" t="s">
        <v>3086</v>
      </c>
      <c r="F92" s="2939">
        <v>105.13</v>
      </c>
      <c r="G92" s="2936" t="s">
        <v>3064</v>
      </c>
      <c r="H92" s="2948" t="s">
        <v>3112</v>
      </c>
    </row>
    <row r="93" spans="1:9" ht="15.75">
      <c r="A93" s="2936">
        <v>22</v>
      </c>
      <c r="B93" s="2937"/>
      <c r="C93" s="2938"/>
      <c r="D93" s="2938" t="s">
        <v>3065</v>
      </c>
      <c r="E93" s="2938" t="s">
        <v>3087</v>
      </c>
      <c r="F93" s="2939">
        <v>63.2</v>
      </c>
      <c r="G93" s="2936" t="s">
        <v>3064</v>
      </c>
      <c r="H93" s="2948" t="s">
        <v>3112</v>
      </c>
    </row>
    <row r="94" spans="1:9" ht="15.75">
      <c r="A94" s="2936">
        <v>23</v>
      </c>
      <c r="B94" s="2937"/>
      <c r="C94" s="2938"/>
      <c r="D94" s="2938" t="s">
        <v>3065</v>
      </c>
      <c r="E94" s="2938" t="s">
        <v>3088</v>
      </c>
      <c r="F94" s="2939">
        <v>112.79</v>
      </c>
      <c r="G94" s="2936" t="s">
        <v>3064</v>
      </c>
      <c r="H94" s="2948" t="s">
        <v>3112</v>
      </c>
    </row>
    <row r="95" spans="1:9" ht="15.75">
      <c r="A95" s="2936">
        <v>24</v>
      </c>
      <c r="B95" s="2937"/>
      <c r="C95" s="2938"/>
      <c r="D95" s="2938" t="s">
        <v>3065</v>
      </c>
      <c r="E95" s="2938" t="s">
        <v>3089</v>
      </c>
      <c r="F95" s="2939">
        <v>121.23</v>
      </c>
      <c r="G95" s="2936" t="s">
        <v>3064</v>
      </c>
      <c r="H95" s="2948" t="s">
        <v>3112</v>
      </c>
      <c r="I95" s="2952" t="s">
        <v>3147</v>
      </c>
    </row>
    <row r="96" spans="1:9" ht="15.75">
      <c r="A96" s="2936">
        <v>25</v>
      </c>
      <c r="B96" s="2937"/>
      <c r="C96" s="2938"/>
      <c r="D96" s="2938" t="s">
        <v>3065</v>
      </c>
      <c r="E96" s="2938" t="s">
        <v>3090</v>
      </c>
      <c r="F96" s="2939">
        <v>63.2</v>
      </c>
      <c r="G96" s="2936" t="s">
        <v>3064</v>
      </c>
      <c r="H96" s="2948" t="s">
        <v>3112</v>
      </c>
      <c r="I96" s="2952" t="s">
        <v>3147</v>
      </c>
    </row>
    <row r="97" spans="1:9" ht="15.75">
      <c r="A97" s="2936">
        <v>26</v>
      </c>
      <c r="B97" s="2937"/>
      <c r="C97" s="2938"/>
      <c r="D97" s="2938" t="s">
        <v>3065</v>
      </c>
      <c r="E97" s="2938" t="s">
        <v>3091</v>
      </c>
      <c r="F97" s="2939">
        <v>63.2</v>
      </c>
      <c r="G97" s="2936" t="s">
        <v>3064</v>
      </c>
      <c r="H97" s="2948" t="s">
        <v>3112</v>
      </c>
      <c r="I97" s="2952" t="s">
        <v>3147</v>
      </c>
    </row>
    <row r="98" spans="1:9" ht="15.75">
      <c r="A98" s="2936">
        <v>27</v>
      </c>
      <c r="B98" s="2937"/>
      <c r="C98" s="2938"/>
      <c r="D98" s="2938" t="s">
        <v>3065</v>
      </c>
      <c r="E98" s="2938" t="s">
        <v>3092</v>
      </c>
      <c r="F98" s="2939">
        <v>63.2</v>
      </c>
      <c r="G98" s="2936" t="s">
        <v>3064</v>
      </c>
      <c r="H98" s="2948" t="s">
        <v>3112</v>
      </c>
      <c r="I98" s="2952" t="s">
        <v>3147</v>
      </c>
    </row>
    <row r="99" spans="1:9" ht="15.75">
      <c r="A99" s="2936">
        <v>28</v>
      </c>
      <c r="B99" s="2937"/>
      <c r="C99" s="2938"/>
      <c r="D99" s="2938" t="s">
        <v>3065</v>
      </c>
      <c r="E99" s="2938" t="s">
        <v>3093</v>
      </c>
      <c r="F99" s="2939">
        <v>62.95</v>
      </c>
      <c r="G99" s="2936" t="s">
        <v>3064</v>
      </c>
      <c r="H99" s="2948" t="s">
        <v>3112</v>
      </c>
      <c r="I99" s="2952" t="s">
        <v>3147</v>
      </c>
    </row>
    <row r="100" spans="1:9">
      <c r="F100" s="2951">
        <f>SUM(F72:F99)</f>
        <v>3483.309999999999</v>
      </c>
    </row>
  </sheetData>
  <mergeCells count="19">
    <mergeCell ref="O13:O14"/>
    <mergeCell ref="K13:K14"/>
    <mergeCell ref="M6:M7"/>
    <mergeCell ref="K15:L15"/>
    <mergeCell ref="K16:L16"/>
    <mergeCell ref="K6:K12"/>
    <mergeCell ref="O6:O7"/>
    <mergeCell ref="O11:O12"/>
    <mergeCell ref="O8:O10"/>
    <mergeCell ref="M8:M10"/>
    <mergeCell ref="M11:M12"/>
    <mergeCell ref="A71:E71"/>
    <mergeCell ref="K1:L1"/>
    <mergeCell ref="K2:L2"/>
    <mergeCell ref="K3:L3"/>
    <mergeCell ref="M13:M14"/>
    <mergeCell ref="K17:K18"/>
    <mergeCell ref="K4:L4"/>
    <mergeCell ref="K5:L5"/>
  </mergeCells>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3" customWidth="1"/>
    <col min="2" max="2" width="10.25" style="2223" customWidth="1"/>
    <col min="3" max="3" width="25.875" style="2223" bestFit="1"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1939</v>
      </c>
      <c r="B1" s="1395"/>
      <c r="C1" s="1395"/>
      <c r="D1" s="1395"/>
      <c r="E1" s="1395"/>
      <c r="F1" s="1395"/>
      <c r="G1" s="1395"/>
      <c r="H1" s="1395"/>
      <c r="I1" s="1395"/>
      <c r="J1" s="1395"/>
      <c r="K1" s="1395"/>
      <c r="L1" s="1395"/>
      <c r="M1" s="1395"/>
      <c r="N1" s="1395"/>
      <c r="O1" s="1395"/>
      <c r="P1" s="1395"/>
    </row>
    <row r="2" spans="1:16" ht="15">
      <c r="A2" s="3073" t="s">
        <v>1940</v>
      </c>
      <c r="B2" s="3073"/>
      <c r="C2" s="3073"/>
      <c r="D2" s="970" t="s">
        <v>1916</v>
      </c>
      <c r="E2" s="2224" t="s">
        <v>1917</v>
      </c>
      <c r="F2" s="1395"/>
      <c r="G2" s="2225"/>
      <c r="H2" s="2226"/>
      <c r="I2" s="2227" t="s">
        <v>1941</v>
      </c>
      <c r="J2" s="1395"/>
      <c r="K2" s="1395"/>
      <c r="L2" s="1395"/>
      <c r="M2" s="1395"/>
      <c r="N2" s="1430"/>
      <c r="O2" s="1395"/>
      <c r="P2" s="1395"/>
    </row>
    <row r="3" spans="1:16" ht="15.75" thickBot="1">
      <c r="A3" s="3074" t="s">
        <v>1914</v>
      </c>
      <c r="B3" s="3074"/>
      <c r="C3" s="3074"/>
      <c r="D3" s="46">
        <f>'数据-基础表'!AY6</f>
        <v>154884.56</v>
      </c>
      <c r="E3" s="46">
        <f>'数据-基础表'!AZ5</f>
        <v>296702.55000000005</v>
      </c>
      <c r="F3" s="1395"/>
      <c r="G3" s="1402"/>
      <c r="H3" s="1250" t="s">
        <v>1915</v>
      </c>
      <c r="I3" s="55">
        <f>ROUND('数据-基础表'!B3/'数据-基础表'!A3,2)</f>
        <v>1.92</v>
      </c>
      <c r="J3" s="1395"/>
      <c r="K3" s="1395"/>
      <c r="L3" s="1395"/>
      <c r="M3" s="1395"/>
      <c r="N3" s="1430"/>
      <c r="O3" s="1395"/>
      <c r="P3" s="1395"/>
    </row>
    <row r="4" spans="1:16" ht="15">
      <c r="A4" s="3075"/>
      <c r="B4" s="3076"/>
      <c r="C4" s="3077"/>
      <c r="D4" s="2228" t="s">
        <v>1916</v>
      </c>
      <c r="E4" s="2229" t="s">
        <v>1917</v>
      </c>
      <c r="F4" s="1395"/>
      <c r="G4" s="2230" t="s">
        <v>1942</v>
      </c>
      <c r="H4" s="1250" t="s">
        <v>1922</v>
      </c>
      <c r="I4" s="55">
        <f>ROUND(SUMIF('数据-基础表'!I9:AS9,"地上",'数据-基础表'!I5:AS5)/'数据-基础表'!A3,2)</f>
        <v>1.49</v>
      </c>
      <c r="J4" s="1395"/>
      <c r="K4" s="1395"/>
      <c r="L4" s="1395"/>
      <c r="M4" s="1395"/>
      <c r="N4" s="1430"/>
      <c r="O4" s="1395"/>
      <c r="P4" s="1395"/>
    </row>
    <row r="5" spans="1:16">
      <c r="A5" s="47" t="s">
        <v>1918</v>
      </c>
      <c r="B5" s="3078" t="s">
        <v>1919</v>
      </c>
      <c r="C5" s="3078"/>
      <c r="D5" s="48">
        <f>ROUND($D$3*E5/$E$3,2)</f>
        <v>118871.31</v>
      </c>
      <c r="E5" s="49">
        <f>SUMIF('数据-基础表'!$11:$11,"住宅",'数据-基础表'!$5:$5)</f>
        <v>227714.24</v>
      </c>
      <c r="F5" s="1395"/>
      <c r="G5" s="1402"/>
      <c r="H5" s="1250" t="s">
        <v>1915</v>
      </c>
      <c r="I5" s="55">
        <f>ROUND(E31/D31,2)</f>
        <v>1.92</v>
      </c>
      <c r="J5" s="1395"/>
      <c r="K5" s="1395"/>
      <c r="L5" s="1395"/>
      <c r="M5" s="1395"/>
      <c r="N5" s="1395"/>
      <c r="O5" s="1395"/>
      <c r="P5" s="1395"/>
    </row>
    <row r="6" spans="1:16" ht="15" thickBot="1">
      <c r="A6" s="2231"/>
      <c r="B6" s="3078" t="s">
        <v>1920</v>
      </c>
      <c r="C6" s="3078"/>
      <c r="D6" s="48">
        <f>ROUND($D$3*E6/$E$3,2)</f>
        <v>36013.25</v>
      </c>
      <c r="E6" s="49">
        <f>E3-E5</f>
        <v>68988.310000000056</v>
      </c>
      <c r="F6" s="1395"/>
      <c r="G6" s="2232" t="s">
        <v>1921</v>
      </c>
      <c r="H6" s="1402" t="s">
        <v>1922</v>
      </c>
      <c r="I6" s="942">
        <f>ROUND(F31/D31,2)</f>
        <v>1.49</v>
      </c>
      <c r="J6" s="1395"/>
      <c r="K6" s="1395"/>
      <c r="L6" s="1395"/>
      <c r="M6" s="1395"/>
      <c r="N6" s="1395"/>
      <c r="O6" s="1395"/>
      <c r="P6" s="1395"/>
    </row>
    <row r="7" spans="1:16" ht="15">
      <c r="A7" s="3070"/>
      <c r="B7" s="3071"/>
      <c r="C7" s="3072"/>
      <c r="D7" s="2228" t="s">
        <v>1916</v>
      </c>
      <c r="E7" s="2233" t="s">
        <v>1923</v>
      </c>
      <c r="F7" s="1395"/>
      <c r="G7" s="2225" t="s">
        <v>1924</v>
      </c>
      <c r="H7" s="64"/>
      <c r="I7" s="420">
        <v>1.49</v>
      </c>
      <c r="J7" s="1395"/>
      <c r="K7" s="1395"/>
      <c r="L7" s="1395"/>
      <c r="M7" s="1395"/>
      <c r="N7" s="1395"/>
      <c r="O7" s="1395"/>
      <c r="P7" s="1395"/>
    </row>
    <row r="8" spans="1:16">
      <c r="A8" s="47" t="s">
        <v>1925</v>
      </c>
      <c r="B8" s="50" t="s">
        <v>1926</v>
      </c>
      <c r="C8" s="48" t="s">
        <v>1927</v>
      </c>
      <c r="D8" s="48">
        <f t="shared" ref="D8:D15" si="0">ROUND($D$3*E8/$E$3,2)</f>
        <v>120689.66</v>
      </c>
      <c r="E8" s="51">
        <f>SUMIF('数据-基础表'!BB10:BK10,"地上",'数据-基础表'!BB5:BK5)</f>
        <v>231197.55</v>
      </c>
      <c r="F8" s="1395"/>
      <c r="G8" s="2234"/>
      <c r="H8" s="2234"/>
      <c r="I8" s="1395"/>
      <c r="J8" s="1395"/>
      <c r="K8" s="1395"/>
      <c r="L8" s="1395"/>
      <c r="M8" s="1395"/>
      <c r="N8" s="1395"/>
      <c r="O8" s="1395"/>
      <c r="P8" s="1395"/>
    </row>
    <row r="9" spans="1:16">
      <c r="A9" s="2235"/>
      <c r="B9" s="2236"/>
      <c r="C9" s="48" t="s">
        <v>1928</v>
      </c>
      <c r="D9" s="48">
        <f t="shared" si="0"/>
        <v>0</v>
      </c>
      <c r="E9" s="52">
        <v>0</v>
      </c>
      <c r="F9" s="1395"/>
      <c r="G9" s="2234"/>
      <c r="H9" s="2234"/>
      <c r="I9" s="1395"/>
      <c r="J9" s="1395"/>
      <c r="K9" s="1395"/>
      <c r="L9" s="1395"/>
      <c r="M9" s="1395"/>
      <c r="N9" s="1395"/>
      <c r="O9" s="1395"/>
      <c r="P9" s="1395"/>
    </row>
    <row r="10" spans="1:16">
      <c r="A10" s="2235"/>
      <c r="B10" s="2236"/>
      <c r="C10" s="48" t="s">
        <v>1937</v>
      </c>
      <c r="D10" s="48">
        <f t="shared" si="0"/>
        <v>0</v>
      </c>
      <c r="E10" s="51">
        <f>SUMPRODUCT(('数据-基础表'!BB10:BK10="地下")*('数据-基础表'!BB11:BK11="商业")*('数据-基础表'!BB5:BK5))</f>
        <v>0</v>
      </c>
      <c r="F10" s="1395"/>
      <c r="G10" s="2234"/>
      <c r="H10" s="2234"/>
      <c r="I10" s="1395"/>
      <c r="J10" s="1395"/>
      <c r="K10" s="1395"/>
      <c r="L10" s="1395"/>
      <c r="M10" s="1395"/>
      <c r="N10" s="1395"/>
      <c r="O10" s="1395"/>
      <c r="P10" s="1395"/>
    </row>
    <row r="11" spans="1:16">
      <c r="A11" s="2235"/>
      <c r="B11" s="2236"/>
      <c r="C11" s="48" t="s">
        <v>1929</v>
      </c>
      <c r="D11" s="48">
        <f t="shared" si="0"/>
        <v>0</v>
      </c>
      <c r="E11" s="51">
        <f>SUMPRODUCT(('数据-基础表'!BB10:BK10="地下")*('数据-基础表'!BB11:BK11="办公")*('数据-基础表'!BB5:BK5))+'数据-基础表'!BP5</f>
        <v>0</v>
      </c>
      <c r="F11" s="1395"/>
      <c r="G11" s="2234"/>
      <c r="H11" s="2234"/>
      <c r="I11" s="1395"/>
      <c r="J11" s="1395"/>
      <c r="K11" s="1395"/>
      <c r="L11" s="1395"/>
      <c r="M11" s="1395"/>
      <c r="N11" s="1395"/>
      <c r="O11" s="1395"/>
      <c r="P11" s="1395"/>
    </row>
    <row r="12" spans="1:16">
      <c r="A12" s="2235"/>
      <c r="B12" s="2236"/>
      <c r="C12" s="48" t="s">
        <v>1930</v>
      </c>
      <c r="D12" s="48">
        <f t="shared" si="0"/>
        <v>0</v>
      </c>
      <c r="E12" s="51">
        <f>SUMPRODUCT(('数据-基础表'!BB10:BK10="地下")*('数据-基础表'!BB11:BK11="仓储")*('数据-基础表'!BB5:BK5))</f>
        <v>0</v>
      </c>
      <c r="F12" s="1395"/>
      <c r="G12" s="2234"/>
      <c r="H12" s="2234"/>
      <c r="I12" s="1395"/>
      <c r="J12" s="1395"/>
      <c r="K12" s="1395"/>
      <c r="L12" s="1395"/>
      <c r="M12" s="1395"/>
      <c r="N12" s="1395"/>
      <c r="O12" s="1395"/>
      <c r="P12" s="1395"/>
    </row>
    <row r="13" spans="1:16">
      <c r="A13" s="2235"/>
      <c r="B13" s="2236"/>
      <c r="C13" s="48" t="s">
        <v>1931</v>
      </c>
      <c r="D13" s="48">
        <f t="shared" si="0"/>
        <v>0</v>
      </c>
      <c r="E13" s="51">
        <f>SUMPRODUCT(('数据-基础表'!BB10:BK10="地下")*('数据-基础表'!BB11:BK11="车库")*('数据-基础表'!BB5:BK5))</f>
        <v>0</v>
      </c>
      <c r="F13" s="1395"/>
      <c r="G13" s="2234"/>
      <c r="H13" s="2234"/>
      <c r="I13" s="1395"/>
      <c r="J13" s="1395"/>
      <c r="K13" s="1395"/>
      <c r="L13" s="1395"/>
      <c r="M13" s="1395"/>
      <c r="N13" s="1395"/>
      <c r="O13" s="1395"/>
      <c r="P13" s="1395"/>
    </row>
    <row r="14" spans="1:16">
      <c r="A14" s="2235"/>
      <c r="B14" s="2236"/>
      <c r="C14" s="48" t="s">
        <v>1943</v>
      </c>
      <c r="D14" s="48">
        <f t="shared" si="0"/>
        <v>0</v>
      </c>
      <c r="E14" s="51">
        <f>SUMPRODUCT(('数据-基础表'!BB10:BK10="地下")*('数据-基础表'!BB11:BK11="车库—商业")*('数据-基础表'!BB5:BK5))</f>
        <v>0</v>
      </c>
      <c r="F14" s="1395"/>
      <c r="G14" s="2234"/>
      <c r="H14" s="2234"/>
      <c r="I14" s="1395"/>
      <c r="J14" s="1395"/>
      <c r="K14" s="1395"/>
      <c r="L14" s="1395"/>
      <c r="M14" s="1395"/>
      <c r="N14" s="1395"/>
      <c r="O14" s="1395"/>
      <c r="P14" s="1395"/>
    </row>
    <row r="15" spans="1:16" ht="15" thickBot="1">
      <c r="A15" s="2235"/>
      <c r="B15" s="2236"/>
      <c r="C15" s="48" t="s">
        <v>1938</v>
      </c>
      <c r="D15" s="48">
        <f t="shared" si="0"/>
        <v>0</v>
      </c>
      <c r="E15" s="51">
        <f>SUMPRODUCT(('数据-基础表'!BB10:BK10="地下")*('数据-基础表'!BB11:BK11="车库—办公")*('数据-基础表'!BB5:BK5))</f>
        <v>0</v>
      </c>
      <c r="F15" s="1395"/>
      <c r="G15" s="2234"/>
      <c r="H15" s="2234"/>
      <c r="I15" s="1395"/>
      <c r="J15" s="1395"/>
      <c r="K15" s="1395"/>
      <c r="L15" s="1395"/>
      <c r="M15" s="1395"/>
      <c r="N15" s="1395"/>
      <c r="O15" s="1395"/>
      <c r="P15" s="1395"/>
    </row>
    <row r="16" spans="1:16" ht="15.75" thickBot="1">
      <c r="A16" s="2231"/>
      <c r="B16" s="2236"/>
      <c r="C16" s="50" t="s">
        <v>1932</v>
      </c>
      <c r="D16" s="50">
        <f>SUM(D8:D15)</f>
        <v>120689.66</v>
      </c>
      <c r="E16" s="53">
        <f>SUM(E8:E15)</f>
        <v>231197.55</v>
      </c>
      <c r="F16" s="1395"/>
      <c r="G16" s="2234"/>
      <c r="H16" s="2237" t="s">
        <v>1944</v>
      </c>
      <c r="I16" s="2238"/>
      <c r="J16" s="1395"/>
      <c r="K16" s="3067" t="s">
        <v>1944</v>
      </c>
      <c r="L16" s="3068"/>
      <c r="M16" s="3068"/>
      <c r="N16" s="3068"/>
      <c r="O16" s="3068"/>
      <c r="P16" s="3069"/>
    </row>
    <row r="17" spans="1:19" ht="15">
      <c r="A17" s="2239" t="s">
        <v>1945</v>
      </c>
      <c r="B17" s="2240" t="s">
        <v>1946</v>
      </c>
      <c r="C17" s="2241" t="s">
        <v>1947</v>
      </c>
      <c r="D17" s="2242" t="s">
        <v>1935</v>
      </c>
      <c r="E17" s="2243" t="s">
        <v>1936</v>
      </c>
      <c r="F17" s="2244"/>
      <c r="G17" s="2245"/>
      <c r="H17" s="2246" t="s">
        <v>1948</v>
      </c>
      <c r="I17" s="2247" t="s">
        <v>1933</v>
      </c>
      <c r="J17" s="1395"/>
      <c r="K17" s="3064" t="s">
        <v>1949</v>
      </c>
      <c r="L17" s="3065"/>
      <c r="M17" s="3066"/>
      <c r="N17" s="3064" t="s">
        <v>1950</v>
      </c>
      <c r="O17" s="3065"/>
      <c r="P17" s="3066"/>
      <c r="R17" s="2225" t="s">
        <v>1951</v>
      </c>
      <c r="S17" s="64"/>
    </row>
    <row r="18" spans="1:19" ht="15">
      <c r="A18" s="2235"/>
      <c r="B18" s="2248"/>
      <c r="C18" s="2249"/>
      <c r="D18" s="2250"/>
      <c r="E18" s="2251" t="s">
        <v>1952</v>
      </c>
      <c r="F18" s="2252" t="s">
        <v>1953</v>
      </c>
      <c r="G18" s="2253" t="s">
        <v>1954</v>
      </c>
      <c r="H18" s="1265" t="s">
        <v>1955</v>
      </c>
      <c r="I18" s="2254" t="s">
        <v>1956</v>
      </c>
      <c r="J18" s="1395"/>
      <c r="K18" s="1265" t="s">
        <v>1957</v>
      </c>
      <c r="L18" s="2255" t="s">
        <v>1958</v>
      </c>
      <c r="M18" s="1049" t="s">
        <v>1959</v>
      </c>
      <c r="N18" s="1265" t="s">
        <v>1957</v>
      </c>
      <c r="O18" s="2255" t="s">
        <v>1958</v>
      </c>
      <c r="P18" s="1049" t="s">
        <v>1959</v>
      </c>
      <c r="R18" s="1250" t="s">
        <v>1960</v>
      </c>
      <c r="S18" s="1250" t="s">
        <v>1961</v>
      </c>
    </row>
    <row r="19" spans="1:19">
      <c r="A19" s="2256"/>
      <c r="B19" s="50" t="s">
        <v>1934</v>
      </c>
      <c r="C19" s="2257" t="str">
        <f>'数据-基础表'!C13</f>
        <v>二期23#/24#住宅在建工程</v>
      </c>
      <c r="D19" s="48">
        <f>ROUND($D$3*E19/$E$3,2)</f>
        <v>1882.14</v>
      </c>
      <c r="E19" s="56">
        <f t="shared" ref="E19:E26" si="1">SUM(F19:G19)</f>
        <v>3605.4900000000021</v>
      </c>
      <c r="F19" s="57">
        <f>'数据-基础表'!I13</f>
        <v>3605.4900000000021</v>
      </c>
      <c r="G19" s="58"/>
      <c r="H19" s="723">
        <f>ROUND($D$3*I19/$E$3,2)</f>
        <v>533.26</v>
      </c>
      <c r="I19" s="51">
        <f t="shared" ref="I19:I26" si="2">IF($I$17="自定义",P19,M19)</f>
        <v>1021.54</v>
      </c>
      <c r="J19" s="1395"/>
      <c r="K19" s="1394">
        <f t="shared" ref="K19:K26" si="3">ROUND(E$28*E19/E$27,2)</f>
        <v>1021.54</v>
      </c>
      <c r="L19" s="1250">
        <f t="shared" ref="L19:L26" si="4">ROUND(IF(COUNTIF(C19,"*住宅*")&gt;0,E$29*E19/E$32,0),2)</f>
        <v>0</v>
      </c>
      <c r="M19" s="1406">
        <f>K19+L19</f>
        <v>1021.54</v>
      </c>
      <c r="N19" s="2258"/>
      <c r="O19" s="2259"/>
      <c r="P19" s="1406">
        <f>N19+O19</f>
        <v>0</v>
      </c>
      <c r="R19" s="1250">
        <f t="shared" ref="R19:S26" si="5">D19+H19</f>
        <v>2415.4</v>
      </c>
      <c r="S19" s="1251">
        <f t="shared" si="5"/>
        <v>4627.0300000000025</v>
      </c>
    </row>
    <row r="20" spans="1:19">
      <c r="A20" s="2260"/>
      <c r="B20" s="50" t="s">
        <v>1962</v>
      </c>
      <c r="C20" s="2257" t="str">
        <f>'数据-基础表'!C14</f>
        <v>二期商业在建工程</v>
      </c>
      <c r="D20" s="48">
        <f t="shared" ref="D20:D26" si="6">ROUND($D$3*E20/$E$3,2)</f>
        <v>1818.36</v>
      </c>
      <c r="E20" s="56">
        <f t="shared" si="1"/>
        <v>3483.309999999999</v>
      </c>
      <c r="F20" s="57">
        <f>'数据-基础表'!K14</f>
        <v>3483.309999999999</v>
      </c>
      <c r="G20" s="58"/>
      <c r="H20" s="723">
        <f t="shared" ref="H20:H26" si="7">ROUND($D$3*I20/$E$3,2)</f>
        <v>515.19000000000005</v>
      </c>
      <c r="I20" s="51">
        <f t="shared" si="2"/>
        <v>986.92</v>
      </c>
      <c r="J20" s="1395"/>
      <c r="K20" s="1394">
        <f t="shared" si="3"/>
        <v>986.92</v>
      </c>
      <c r="L20" s="1250">
        <f t="shared" si="4"/>
        <v>0</v>
      </c>
      <c r="M20" s="1406">
        <f t="shared" ref="M20:M26" si="8">K20+L20</f>
        <v>986.92</v>
      </c>
      <c r="N20" s="2258"/>
      <c r="O20" s="2259"/>
      <c r="P20" s="1406">
        <f t="shared" ref="P20:P26" si="9">N20+O20</f>
        <v>0</v>
      </c>
      <c r="R20" s="1250">
        <f t="shared" si="5"/>
        <v>2333.5500000000002</v>
      </c>
      <c r="S20" s="1251">
        <f t="shared" si="5"/>
        <v>4470.2299999999987</v>
      </c>
    </row>
    <row r="21" spans="1:19">
      <c r="A21" s="2260"/>
      <c r="B21" s="50" t="s">
        <v>1962</v>
      </c>
      <c r="C21" s="2257" t="str">
        <f>'数据-基础表'!C15</f>
        <v>B区在建工程部份（待建部分）</v>
      </c>
      <c r="D21" s="48">
        <f t="shared" si="6"/>
        <v>116989.17</v>
      </c>
      <c r="E21" s="56">
        <f t="shared" si="1"/>
        <v>224108.75</v>
      </c>
      <c r="F21" s="57">
        <f>'数据-基础表'!I15</f>
        <v>224108.75</v>
      </c>
      <c r="G21" s="58"/>
      <c r="H21" s="723">
        <f t="shared" si="7"/>
        <v>33146.44</v>
      </c>
      <c r="I21" s="51">
        <f t="shared" si="2"/>
        <v>63496.54</v>
      </c>
      <c r="J21" s="1395"/>
      <c r="K21" s="1394">
        <f t="shared" si="3"/>
        <v>63496.54</v>
      </c>
      <c r="L21" s="1250">
        <f t="shared" si="4"/>
        <v>0</v>
      </c>
      <c r="M21" s="1406">
        <f t="shared" si="8"/>
        <v>63496.54</v>
      </c>
      <c r="N21" s="2258"/>
      <c r="O21" s="2259"/>
      <c r="P21" s="1406">
        <f t="shared" si="9"/>
        <v>0</v>
      </c>
      <c r="R21" s="1250">
        <f t="shared" si="5"/>
        <v>150135.60999999999</v>
      </c>
      <c r="S21" s="1251">
        <f t="shared" si="5"/>
        <v>287605.28999999998</v>
      </c>
    </row>
    <row r="22" spans="1:19">
      <c r="A22" s="2260"/>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8"/>
      <c r="O22" s="2259"/>
      <c r="P22" s="1406">
        <f t="shared" si="9"/>
        <v>0</v>
      </c>
      <c r="R22" s="1250">
        <f t="shared" si="5"/>
        <v>0</v>
      </c>
      <c r="S22" s="1251">
        <f t="shared" si="5"/>
        <v>0</v>
      </c>
    </row>
    <row r="23" spans="1:19">
      <c r="A23" s="2260"/>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8"/>
      <c r="O23" s="2259"/>
      <c r="P23" s="1406">
        <f t="shared" si="9"/>
        <v>0</v>
      </c>
      <c r="R23" s="1250">
        <f t="shared" si="5"/>
        <v>0</v>
      </c>
      <c r="S23" s="1251">
        <f t="shared" si="5"/>
        <v>0</v>
      </c>
    </row>
    <row r="24" spans="1:19">
      <c r="A24" s="2260"/>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8"/>
      <c r="O24" s="2259"/>
      <c r="P24" s="1406">
        <f t="shared" si="9"/>
        <v>0</v>
      </c>
      <c r="R24" s="1250">
        <f t="shared" si="5"/>
        <v>0</v>
      </c>
      <c r="S24" s="1251">
        <f t="shared" si="5"/>
        <v>0</v>
      </c>
    </row>
    <row r="25" spans="1:19">
      <c r="A25" s="2260"/>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8"/>
      <c r="O25" s="2259"/>
      <c r="P25" s="1406">
        <f t="shared" si="9"/>
        <v>0</v>
      </c>
      <c r="R25" s="1250">
        <f t="shared" si="5"/>
        <v>0</v>
      </c>
      <c r="S25" s="1251">
        <f t="shared" si="5"/>
        <v>0</v>
      </c>
    </row>
    <row r="26" spans="1:19">
      <c r="A26" s="2260"/>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1"/>
      <c r="O26" s="2262"/>
      <c r="P26" s="67">
        <f t="shared" si="9"/>
        <v>0</v>
      </c>
      <c r="R26" s="1250">
        <f t="shared" si="5"/>
        <v>0</v>
      </c>
      <c r="S26" s="1251">
        <f t="shared" si="5"/>
        <v>0</v>
      </c>
    </row>
    <row r="27" spans="1:19" ht="15.75" thickBot="1">
      <c r="A27" s="2260"/>
      <c r="B27" s="48"/>
      <c r="C27" s="2263" t="s">
        <v>1963</v>
      </c>
      <c r="D27" s="1396">
        <f>SUM(D19:D26)</f>
        <v>120689.67</v>
      </c>
      <c r="E27" s="1397">
        <f>IF(SUM(E19:E26)='数据-基础表'!BA5,SUM(E19:E26),IF(F27="地上面积有误","面积有误","地下面积有误"))</f>
        <v>231197.55</v>
      </c>
      <c r="F27" s="1396">
        <f>IF(SUM(F19:F26)=E8,SUM(F19:F26),"地上面积有误")</f>
        <v>231197.55</v>
      </c>
      <c r="G27" s="1398">
        <f>SUM(G19:G26)</f>
        <v>0</v>
      </c>
      <c r="H27" s="1399">
        <f>SUM(H19:H26)</f>
        <v>34194.89</v>
      </c>
      <c r="I27" s="1400">
        <f>SUM(I19:I26)</f>
        <v>65505</v>
      </c>
      <c r="J27" s="1395"/>
      <c r="K27" s="1403">
        <f>SUM(K19:K26)</f>
        <v>65505</v>
      </c>
      <c r="L27" s="1404">
        <f>SUM(L19:L26)</f>
        <v>0</v>
      </c>
      <c r="M27" s="1407">
        <f>SUM(M19:M26)</f>
        <v>65505</v>
      </c>
      <c r="N27" s="1403">
        <f t="shared" ref="N27:O27" si="10">SUM(N19:N26)</f>
        <v>0</v>
      </c>
      <c r="O27" s="1404">
        <f t="shared" si="10"/>
        <v>0</v>
      </c>
      <c r="P27" s="1405">
        <f>SUM(P19:P26)</f>
        <v>0</v>
      </c>
      <c r="R27" s="1252">
        <f>IF(SUM(R19:R26)=$D$3,SUM(R19:R26),SUM(R19:R26)&amp;"误差"&amp;ROUND(SUM(R19:R26)-$D$3,2))</f>
        <v>154884.56</v>
      </c>
      <c r="S27" s="1250">
        <f>IF(SUM(S19:S26)=$E$3,SUM(S19:S26),SUM(S19:S26)&amp;"误差"&amp;ROUND(SUM(S19:S26)-E3,2))</f>
        <v>296702.55</v>
      </c>
    </row>
    <row r="28" spans="1:19">
      <c r="A28" s="2260"/>
      <c r="B28" s="50" t="s">
        <v>1964</v>
      </c>
      <c r="C28" s="1262" t="s">
        <v>1965</v>
      </c>
      <c r="D28" s="48">
        <f>ROUND($D$3*E28/$E$3,2)</f>
        <v>34194.9</v>
      </c>
      <c r="E28" s="56">
        <f>SUM(F28:G28)</f>
        <v>65505</v>
      </c>
      <c r="F28" s="64">
        <f>'数据-基础表'!BQ5+'数据-基础表'!BS5</f>
        <v>0</v>
      </c>
      <c r="G28" s="65">
        <f>'数据-基础表'!BR5+'数据-基础表'!BT5</f>
        <v>65505</v>
      </c>
      <c r="H28" s="1395"/>
      <c r="I28" s="1395"/>
      <c r="J28" s="1395"/>
      <c r="K28" s="1395"/>
      <c r="L28" s="1395"/>
      <c r="M28" s="1395"/>
      <c r="N28" s="1395"/>
      <c r="O28" s="1395"/>
      <c r="P28" s="1395"/>
    </row>
    <row r="29" spans="1:19">
      <c r="A29" s="2260"/>
      <c r="B29" s="50" t="s">
        <v>1964</v>
      </c>
      <c r="C29" s="2264"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0"/>
      <c r="B30" s="50"/>
      <c r="C30" s="2265" t="s">
        <v>1963</v>
      </c>
      <c r="D30" s="1396">
        <f>SUM(D28:D29)</f>
        <v>34194.9</v>
      </c>
      <c r="E30" s="1396">
        <f>SUM(E28:E29)</f>
        <v>65505</v>
      </c>
      <c r="F30" s="1396">
        <f>SUM(F28:F29)</f>
        <v>0</v>
      </c>
      <c r="G30" s="1398">
        <f>SUM(G28:G29)</f>
        <v>65505</v>
      </c>
      <c r="H30" s="1395"/>
      <c r="I30" s="1395"/>
      <c r="J30" s="1395"/>
      <c r="K30" s="1395"/>
      <c r="L30" s="1395"/>
      <c r="M30" s="1395"/>
      <c r="N30" s="1395"/>
      <c r="O30" s="1395"/>
      <c r="P30" s="1395"/>
    </row>
    <row r="31" spans="1:19" ht="15.75" thickBot="1">
      <c r="A31" s="2266"/>
      <c r="B31" s="2267"/>
      <c r="C31" s="1010" t="s">
        <v>1967</v>
      </c>
      <c r="D31" s="729">
        <f>D27+D30</f>
        <v>154884.57</v>
      </c>
      <c r="E31" s="729">
        <f>E27+E30</f>
        <v>296702.55</v>
      </c>
      <c r="F31" s="730">
        <f>F27+F30</f>
        <v>231197.55</v>
      </c>
      <c r="G31" s="731">
        <f>G27+G30</f>
        <v>65505</v>
      </c>
      <c r="H31" s="1395"/>
      <c r="I31" s="1395"/>
      <c r="J31" s="1395"/>
      <c r="K31" s="1395"/>
      <c r="L31" s="1395"/>
      <c r="M31" s="1395"/>
      <c r="N31" s="1395"/>
      <c r="O31" s="1395"/>
      <c r="P31" s="1395"/>
    </row>
    <row r="32" spans="1:19">
      <c r="A32" s="2230"/>
      <c r="B32" s="2230" t="s">
        <v>1968</v>
      </c>
      <c r="C32" s="2230"/>
      <c r="D32" s="2230"/>
      <c r="E32" s="1277">
        <f>SUMIF(C19:C26,"*住宅*",E19:E26)</f>
        <v>3605.4900000000021</v>
      </c>
      <c r="F32" s="2230"/>
      <c r="G32" s="2230"/>
      <c r="H32" s="1395"/>
      <c r="I32" s="1395"/>
      <c r="J32" s="1395"/>
      <c r="K32" s="1395"/>
      <c r="L32" s="1395"/>
      <c r="M32" s="1395"/>
      <c r="N32" s="1395"/>
      <c r="O32" s="1395"/>
      <c r="P32" s="1395"/>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1969</v>
      </c>
      <c r="B1" s="732"/>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1970</v>
      </c>
      <c r="B2" s="1269">
        <f>项目基本情况!D3</f>
        <v>43186</v>
      </c>
      <c r="C2" s="2274"/>
      <c r="D2" s="2275"/>
      <c r="E2" s="2274"/>
      <c r="F2" s="2274"/>
      <c r="G2" s="2274"/>
      <c r="H2" s="2274"/>
      <c r="I2" s="2274"/>
      <c r="J2" s="2274"/>
      <c r="K2" s="1430"/>
      <c r="L2" s="1430"/>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30"/>
      <c r="L3" s="1430"/>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1971</v>
      </c>
      <c r="B4" s="2278"/>
      <c r="C4" s="2279"/>
      <c r="D4" s="2280"/>
      <c r="E4" s="2279" t="s">
        <v>1972</v>
      </c>
      <c r="F4" s="2279"/>
      <c r="G4" s="2279"/>
      <c r="H4" s="2279"/>
      <c r="I4" s="2279"/>
      <c r="J4" s="2281"/>
      <c r="K4" s="2282"/>
      <c r="L4" s="2283"/>
      <c r="M4" s="2279"/>
      <c r="N4" s="2279" t="s">
        <v>1973</v>
      </c>
      <c r="O4" s="2279"/>
      <c r="P4" s="2279"/>
      <c r="Q4" s="2279"/>
      <c r="R4" s="2279"/>
      <c r="S4" s="2281"/>
      <c r="T4" s="2284" t="str">
        <f>'数据-汇总表'!I17</f>
        <v>按面积比例</v>
      </c>
      <c r="U4" s="2278" t="s">
        <v>1974</v>
      </c>
      <c r="V4" s="2279"/>
      <c r="W4" s="2279"/>
      <c r="X4" s="2279"/>
      <c r="Y4" s="2281"/>
      <c r="Z4" s="2241" t="s">
        <v>1975</v>
      </c>
      <c r="AA4" s="2241"/>
      <c r="AB4" s="2241"/>
      <c r="AC4" s="2241"/>
      <c r="AD4" s="2241"/>
      <c r="AE4" s="2239" t="s">
        <v>1976</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1977</v>
      </c>
      <c r="B5" s="2287" t="s">
        <v>1978</v>
      </c>
      <c r="C5" s="2288" t="s">
        <v>1979</v>
      </c>
      <c r="D5" s="2289" t="s">
        <v>1980</v>
      </c>
      <c r="E5" s="1271" t="s">
        <v>1981</v>
      </c>
      <c r="F5" s="2290" t="s">
        <v>1982</v>
      </c>
      <c r="G5" s="1271" t="s">
        <v>1983</v>
      </c>
      <c r="H5" s="1271" t="s">
        <v>1984</v>
      </c>
      <c r="I5" s="1271" t="s">
        <v>1985</v>
      </c>
      <c r="J5" s="2291" t="s">
        <v>1986</v>
      </c>
      <c r="K5" s="2292" t="s">
        <v>1987</v>
      </c>
      <c r="L5" s="2293" t="s">
        <v>1988</v>
      </c>
      <c r="M5" s="2294" t="s">
        <v>1989</v>
      </c>
      <c r="N5" s="2295" t="s">
        <v>1990</v>
      </c>
      <c r="O5" s="2293" t="s">
        <v>1991</v>
      </c>
      <c r="P5" s="2296" t="s">
        <v>1992</v>
      </c>
      <c r="Q5" s="69" t="s">
        <v>1993</v>
      </c>
      <c r="R5" s="2297" t="s">
        <v>1994</v>
      </c>
      <c r="S5" s="2298" t="s">
        <v>1995</v>
      </c>
      <c r="T5" s="2299" t="s">
        <v>1996</v>
      </c>
      <c r="U5" s="1270" t="s">
        <v>1997</v>
      </c>
      <c r="V5" s="1271" t="s">
        <v>1998</v>
      </c>
      <c r="W5" s="1271" t="s">
        <v>1999</v>
      </c>
      <c r="X5" s="71"/>
      <c r="Y5" s="70" t="s">
        <v>2000</v>
      </c>
      <c r="Z5" s="2300" t="s">
        <v>1997</v>
      </c>
      <c r="AA5" s="1271" t="s">
        <v>1998</v>
      </c>
      <c r="AB5" s="1271" t="s">
        <v>1999</v>
      </c>
      <c r="AC5" s="71"/>
      <c r="AD5" s="71" t="s">
        <v>2000</v>
      </c>
      <c r="AE5" s="1270" t="s">
        <v>2001</v>
      </c>
      <c r="AF5" s="1271" t="s">
        <v>2002</v>
      </c>
      <c r="AG5" s="70" t="s">
        <v>2003</v>
      </c>
      <c r="AH5" s="1270" t="s">
        <v>2004</v>
      </c>
      <c r="AI5" s="2300" t="s">
        <v>2005</v>
      </c>
      <c r="AJ5" s="2300" t="s">
        <v>2006</v>
      </c>
      <c r="AK5" s="1271" t="s">
        <v>2007</v>
      </c>
      <c r="AL5" s="1271" t="s">
        <v>2008</v>
      </c>
      <c r="AM5" s="70" t="s">
        <v>2009</v>
      </c>
      <c r="AN5" s="2301" t="s">
        <v>2010</v>
      </c>
      <c r="AO5" s="2071" t="s">
        <v>2011</v>
      </c>
      <c r="AP5" s="1252" t="s">
        <v>2012</v>
      </c>
      <c r="AQ5" s="2302" t="s">
        <v>2013</v>
      </c>
      <c r="AR5" s="2302" t="s">
        <v>2014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二期23#/24#住宅在建工程</v>
      </c>
      <c r="B6" s="2304" t="str">
        <f>IF(A6=0,"","经营性")</f>
        <v>经营性</v>
      </c>
      <c r="C6" s="2305" t="s">
        <v>3119</v>
      </c>
      <c r="D6" s="1054">
        <f>SUMIF(项目基本情况!D$12:I$12,C6,项目基本情况!D$14:I$14)</f>
        <v>70</v>
      </c>
      <c r="E6" s="1051">
        <f>IF(B6="","",SUMIF(项目基本情况!D$12:I$12,C6,项目基本情况!D$13:I$13))</f>
        <v>63954</v>
      </c>
      <c r="F6" s="72">
        <f>SUMIF(项目基本情况!D$12:I$12,C6,项目基本情况!D$15:I$15)</f>
        <v>56.89</v>
      </c>
      <c r="G6" s="73">
        <f>IF(ISERROR(ROUND(POWER(1+H6,D6-F6)*(POWER(1+H6,F6)-1)/(POWER(1+H6,D6)-1),3)),0,ROUND(POWER(1+H6,D6-F6)*(POWER(1+H6,F6)-1)/(POWER(1+H6,D6)-1),3))</f>
        <v>0.95399999999999996</v>
      </c>
      <c r="H6" s="802">
        <v>0.04</v>
      </c>
      <c r="I6" s="802">
        <v>4.4999999999999998E-2</v>
      </c>
      <c r="J6" s="74">
        <v>8.5000000000000006E-2</v>
      </c>
      <c r="K6" s="1254">
        <f>SUMIF('数据-汇总表'!C$19:C$33,A6,'数据-汇总表'!E$19:E$33)</f>
        <v>3605.4900000000021</v>
      </c>
      <c r="L6" s="803">
        <v>2800</v>
      </c>
      <c r="M6" s="75">
        <f t="shared" ref="M6:M14" si="0">ROUND(K6*L6/10000,0)</f>
        <v>1010</v>
      </c>
      <c r="N6" s="801">
        <v>0.95</v>
      </c>
      <c r="O6" s="75">
        <f>IF($N$5="成新度","——",ROUND(M6*N6,0))</f>
        <v>960</v>
      </c>
      <c r="P6" s="76">
        <f>IF($N$5="成新度","——",M6-O6)</f>
        <v>50</v>
      </c>
      <c r="Q6" s="804">
        <v>0.25</v>
      </c>
      <c r="R6" s="77">
        <f ca="1">SUMIF('数据-汇总表'!C$19:C$33,A6,'数据-汇总表'!R$19:R$27)</f>
        <v>2415.4</v>
      </c>
      <c r="S6" s="54">
        <f>IF('数据-汇总表'!$I$17="按面积比例",SUMIF('数据-汇总表'!C$19:C$33,A6,'数据-汇总表'!K$19:K$33),SUMIF('数据-汇总表'!C$19:C$33,A6,'数据-汇总表'!N$19:N$33))</f>
        <v>1021.54</v>
      </c>
      <c r="T6" s="1446">
        <f>ROUND($L$14*S6/10000,0)</f>
        <v>204</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c r="AL6" s="88"/>
      <c r="AM6" s="89"/>
      <c r="AN6" s="2306"/>
      <c r="AO6" s="55" t="e">
        <f ca="1">SUMIF(INDIRECT("'"&amp;AN6&amp;"'"&amp;"!A:A"),"总价",INDIRECT("'"&amp;AN6&amp;"'"&amp;"!B:B"))</f>
        <v>#REF!</v>
      </c>
      <c r="AP6" s="2307">
        <f>IF(C6="住宅",K6*L6,0)</f>
        <v>10095372.000000006</v>
      </c>
      <c r="AQ6" s="55">
        <f>ROUND($L$14*$N$14*S6/10000,0)</f>
        <v>41</v>
      </c>
      <c r="AR6" s="55">
        <f>ROUND($L$14*(1-$N$14)*S6/10000,0)</f>
        <v>163</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二期商业在建工程</v>
      </c>
      <c r="B7" s="2304" t="str">
        <f t="shared" ref="B7:B13" si="1">IF(A7=0,"","经营性")</f>
        <v>经营性</v>
      </c>
      <c r="C7" s="2305" t="s">
        <v>1377</v>
      </c>
      <c r="D7" s="1054">
        <f>SUMIF(项目基本情况!D$12:I$12,C7,项目基本情况!D$14:I$14)</f>
        <v>40</v>
      </c>
      <c r="E7" s="1051">
        <f>IF(B7="","",SUMIF(项目基本情况!D$12:I$12,C7,项目基本情况!D$13:I$13))</f>
        <v>52997</v>
      </c>
      <c r="F7" s="72">
        <f>SUMIF(项目基本情况!D$12:I$12,C7,项目基本情况!D$15:I$15)</f>
        <v>26.87</v>
      </c>
      <c r="G7" s="73">
        <f t="shared" ref="G7:G11" si="2">IF(ISERROR(ROUND(POWER(1+H7,D7-F7)*(POWER(1+H7,F7)-1)/(POWER(1+H7,D7)-1),3)),0,ROUND(POWER(1+H7,D7-F7)*(POWER(1+H7,F7)-1)/(POWER(1+H7,D7)-1),3))</f>
        <v>0.83799999999999997</v>
      </c>
      <c r="H7" s="802">
        <v>4.4999999999999998E-2</v>
      </c>
      <c r="I7" s="802">
        <v>0.05</v>
      </c>
      <c r="J7" s="74">
        <v>8.5000000000000006E-2</v>
      </c>
      <c r="K7" s="1254">
        <f>SUMIF('数据-汇总表'!C$19:C$33,A7,'数据-汇总表'!E$19:E$33)</f>
        <v>3483.309999999999</v>
      </c>
      <c r="L7" s="803">
        <v>1800</v>
      </c>
      <c r="M7" s="75">
        <f t="shared" si="0"/>
        <v>627</v>
      </c>
      <c r="N7" s="801">
        <v>0.95</v>
      </c>
      <c r="O7" s="75">
        <f t="shared" ref="O7:O14" si="3">IF($N$5="成新度","——",ROUND(M7*N7,0))</f>
        <v>596</v>
      </c>
      <c r="P7" s="76">
        <f t="shared" ref="P7:P14" si="4">IF($N$5="成新度","——",M7-O7)</f>
        <v>31</v>
      </c>
      <c r="Q7" s="804">
        <v>0.3</v>
      </c>
      <c r="R7" s="77">
        <f ca="1">SUMIF('数据-汇总表'!C$19:C$33,A7,'数据-汇总表'!R$19:R$27)</f>
        <v>2333.5500000000002</v>
      </c>
      <c r="S7" s="54">
        <f>IF('数据-汇总表'!$I$17="按面积比例",SUMIF('数据-汇总表'!C$19:C$33,A7,'数据-汇总表'!K$19:K$33),SUMIF('数据-汇总表'!C$19:C$33,A7,'数据-汇总表'!N$19:N$33))</f>
        <v>986.92</v>
      </c>
      <c r="T7" s="1446">
        <f t="shared" ref="T7:T13" si="5">ROUND($L$14*S7/10000,0)</f>
        <v>197</v>
      </c>
      <c r="U7" s="2966">
        <v>4.5</v>
      </c>
      <c r="V7" s="79">
        <v>0.03</v>
      </c>
      <c r="W7" s="79">
        <v>0.1</v>
      </c>
      <c r="X7" s="1264"/>
      <c r="Y7" s="80">
        <v>1</v>
      </c>
      <c r="Z7" s="81"/>
      <c r="AA7" s="74"/>
      <c r="AB7" s="74"/>
      <c r="AC7" s="1264"/>
      <c r="AD7" s="82"/>
      <c r="AE7" s="1265">
        <f t="shared" ref="AE7:AE13" ca="1" si="6">IF(AN7="",0,SUMIF(INDIRECT("'"&amp;AN7&amp;"'"&amp;"!E:E"),$AE$5,INDIRECT("'"&amp;AN7&amp;"'"&amp;"!F:F")))</f>
        <v>24.032</v>
      </c>
      <c r="AF7" s="1806"/>
      <c r="AG7" s="147">
        <f t="shared" ref="AG7:AG13" si="7">IF(AF7="",0,AE7-AF7)</f>
        <v>0</v>
      </c>
      <c r="AH7" s="83"/>
      <c r="AI7" s="85">
        <v>365</v>
      </c>
      <c r="AJ7" s="86"/>
      <c r="AK7" s="87">
        <v>1.4999999999999999E-2</v>
      </c>
      <c r="AL7" s="88">
        <v>1.5E-3</v>
      </c>
      <c r="AM7" s="89">
        <v>1.4999999999999999E-2</v>
      </c>
      <c r="AN7" s="2306" t="s">
        <v>3155</v>
      </c>
      <c r="AO7" s="55">
        <f t="shared" ref="AO7:AO13" ca="1" si="8">SUMIF(INDIRECT("'"&amp;AN7&amp;"'"&amp;"!A:A"),"总价",INDIRECT("'"&amp;AN7&amp;"'"&amp;"!B:B"))</f>
        <v>7272</v>
      </c>
      <c r="AP7" s="2307">
        <f t="shared" ref="AP7:AP13" si="9">IF(C7="住宅",K7*L7,0)</f>
        <v>0</v>
      </c>
      <c r="AQ7" s="55">
        <f t="shared" ref="AQ7:AQ13" si="10">ROUND($L$14*$N$14*S7/10000,0)</f>
        <v>39</v>
      </c>
      <c r="AR7" s="55">
        <f t="shared" ref="AR7:AR13" si="11">ROUND($L$14*(1-$N$14)*S7/10000,0)</f>
        <v>158</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c r="A8" s="2303" t="str">
        <f>'数据-汇总表'!C21</f>
        <v>B区在建工程部份（待建部分）</v>
      </c>
      <c r="B8" s="2304" t="str">
        <f t="shared" si="1"/>
        <v>经营性</v>
      </c>
      <c r="C8" s="2305" t="s">
        <v>3119</v>
      </c>
      <c r="D8" s="1054">
        <f>SUMIF(项目基本情况!D$12:I$12,C8,项目基本情况!D$14:I$14)</f>
        <v>70</v>
      </c>
      <c r="E8" s="1051">
        <f>IF(B8="","",SUMIF(项目基本情况!D$12:I$12,C8,项目基本情况!D$13:I$13))</f>
        <v>63954</v>
      </c>
      <c r="F8" s="72">
        <f>SUMIF(项目基本情况!D$12:I$12,C8,项目基本情况!D$15:I$15)</f>
        <v>56.89</v>
      </c>
      <c r="G8" s="73">
        <f t="shared" si="2"/>
        <v>0.95399999999999996</v>
      </c>
      <c r="H8" s="802">
        <v>0.04</v>
      </c>
      <c r="I8" s="802">
        <v>4.4999999999999998E-2</v>
      </c>
      <c r="J8" s="74">
        <v>8.5000000000000006E-2</v>
      </c>
      <c r="K8" s="1254">
        <f>SUMIF('数据-汇总表'!C$19:C$33,A8,'数据-汇总表'!E$19:E$33)</f>
        <v>224108.75</v>
      </c>
      <c r="L8" s="803">
        <v>2800</v>
      </c>
      <c r="M8" s="75">
        <f>ROUND(K8*L8/10000,0)</f>
        <v>62750</v>
      </c>
      <c r="N8" s="801">
        <v>0</v>
      </c>
      <c r="O8" s="75">
        <f t="shared" si="3"/>
        <v>0</v>
      </c>
      <c r="P8" s="76">
        <f t="shared" si="4"/>
        <v>62750</v>
      </c>
      <c r="Q8" s="804">
        <v>0.25</v>
      </c>
      <c r="R8" s="77">
        <f ca="1">SUMIF('数据-汇总表'!C$19:C$33,A8,'数据-汇总表'!R$19:R$27)</f>
        <v>150135.60999999999</v>
      </c>
      <c r="S8" s="54">
        <f>IF('数据-汇总表'!$I$17="按面积比例",SUMIF('数据-汇总表'!C$19:C$33,A8,'数据-汇总表'!K$19:K$33),SUMIF('数据-汇总表'!C$19:C$33,A8,'数据-汇总表'!N$19:N$33))</f>
        <v>63496.54</v>
      </c>
      <c r="T8" s="1446">
        <f t="shared" si="5"/>
        <v>12699</v>
      </c>
      <c r="U8" s="805"/>
      <c r="V8" s="806"/>
      <c r="W8" s="806"/>
      <c r="X8" s="1264"/>
      <c r="Y8" s="807"/>
      <c r="Z8" s="81"/>
      <c r="AA8" s="74"/>
      <c r="AB8" s="74"/>
      <c r="AC8" s="1264"/>
      <c r="AD8" s="82"/>
      <c r="AE8" s="1265">
        <f t="shared" ca="1" si="6"/>
        <v>0</v>
      </c>
      <c r="AF8" s="1806"/>
      <c r="AG8" s="147">
        <f t="shared" si="7"/>
        <v>0</v>
      </c>
      <c r="AH8" s="808"/>
      <c r="AI8" s="85"/>
      <c r="AJ8" s="86"/>
      <c r="AK8" s="809"/>
      <c r="AL8" s="810"/>
      <c r="AM8" s="811"/>
      <c r="AN8" s="2306"/>
      <c r="AO8" s="55" t="e">
        <f t="shared" ca="1" si="8"/>
        <v>#REF!</v>
      </c>
      <c r="AP8" s="2307">
        <f t="shared" si="9"/>
        <v>627504500</v>
      </c>
      <c r="AQ8" s="55">
        <f t="shared" si="10"/>
        <v>2540</v>
      </c>
      <c r="AR8" s="55">
        <f t="shared" si="11"/>
        <v>10159</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c r="A9" s="2303">
        <f>'数据-汇总表'!C22</f>
        <v>0</v>
      </c>
      <c r="B9" s="2304" t="str">
        <f t="shared" si="1"/>
        <v/>
      </c>
      <c r="C9" s="2305"/>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c r="A10" s="2303">
        <f>'数据-汇总表'!C23</f>
        <v>0</v>
      </c>
      <c r="B10" s="2304" t="str">
        <f t="shared" si="1"/>
        <v/>
      </c>
      <c r="C10" s="230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c r="A11" s="2303">
        <f>'数据-汇总表'!C24</f>
        <v>0</v>
      </c>
      <c r="B11" s="2304" t="str">
        <f t="shared" si="1"/>
        <v/>
      </c>
      <c r="C11" s="230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c r="A12" s="2303">
        <f>'数据-汇总表'!C25</f>
        <v>0</v>
      </c>
      <c r="B12" s="2304" t="str">
        <f t="shared" si="1"/>
        <v/>
      </c>
      <c r="C12" s="230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c r="A13" s="2303">
        <f>'数据-汇总表'!C26</f>
        <v>0</v>
      </c>
      <c r="B13" s="2304" t="str">
        <f t="shared" si="1"/>
        <v/>
      </c>
      <c r="C13" s="230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2015</v>
      </c>
      <c r="B14" s="2304" t="s">
        <v>2016</v>
      </c>
      <c r="C14" s="2309" t="s">
        <v>2015</v>
      </c>
      <c r="D14" s="1054"/>
      <c r="E14" s="1051"/>
      <c r="F14" s="72"/>
      <c r="G14" s="73"/>
      <c r="H14" s="1253"/>
      <c r="I14" s="1253"/>
      <c r="J14" s="1253"/>
      <c r="K14" s="1254">
        <f>SUMIF('数据-汇总表'!C$19:C$33,A14,'数据-汇总表'!E$19:E$33)</f>
        <v>65505</v>
      </c>
      <c r="L14" s="91">
        <v>2000</v>
      </c>
      <c r="M14" s="75">
        <f t="shared" si="0"/>
        <v>13101</v>
      </c>
      <c r="N14" s="92">
        <v>0.2</v>
      </c>
      <c r="O14" s="75">
        <f t="shared" si="3"/>
        <v>2620</v>
      </c>
      <c r="P14" s="76">
        <f t="shared" si="4"/>
        <v>10481</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2017</v>
      </c>
      <c r="B15" s="2304" t="s">
        <v>2016</v>
      </c>
      <c r="C15" s="2309"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2019</v>
      </c>
      <c r="B16" s="97"/>
      <c r="C16" s="1008"/>
      <c r="D16" s="2311"/>
      <c r="E16" s="97"/>
      <c r="F16" s="97"/>
      <c r="G16" s="98">
        <f>ROUND(SUMPRODUCT(G6:G13,K6:K13)/SUMPRODUCT((G6:G13&gt;0)*(K6:K13)),3)</f>
        <v>0.95199999999999996</v>
      </c>
      <c r="H16" s="99">
        <f>ROUND(SUMPRODUCT(H6:H13,K6:K13)/SUMPRODUCT((H6:H13&gt;0)*(K6:K13)),3)</f>
        <v>0.04</v>
      </c>
      <c r="I16" s="100"/>
      <c r="J16" s="100"/>
      <c r="K16" s="101">
        <f>SUM(K6:K15)</f>
        <v>296702.55</v>
      </c>
      <c r="L16" s="102">
        <f>ROUND(M16*10000/SUM(K6:K14),0)</f>
        <v>2612</v>
      </c>
      <c r="M16" s="102">
        <f>SUM(M6:M14)</f>
        <v>77488</v>
      </c>
      <c r="N16" s="103">
        <f>ROUND(SUMPRODUCT(M6:M14,N6:N14)/M16,3)</f>
        <v>5.3999999999999999E-2</v>
      </c>
      <c r="O16" s="102">
        <f>SUM(O6:O14)</f>
        <v>4176</v>
      </c>
      <c r="P16" s="102">
        <f>SUM(P6:P14)</f>
        <v>73312</v>
      </c>
      <c r="Q16" s="104">
        <f>ROUND(SUMPRODUCT(Q6:Q13,K6:K13)/SUMPRODUCT((Q6:Q13&gt;0)*(K6:K13)),2)</f>
        <v>0.25</v>
      </c>
      <c r="R16" s="1258">
        <f ca="1">SUM(R6:R13)</f>
        <v>154884.56</v>
      </c>
      <c r="S16" s="105">
        <f>SUM(S6:S13)</f>
        <v>65505</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2020</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2021</v>
      </c>
      <c r="B19" s="112">
        <v>0</v>
      </c>
      <c r="C19" s="2274" t="s">
        <v>2022</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2023</v>
      </c>
      <c r="B20" s="113">
        <v>3</v>
      </c>
      <c r="C20" s="2274" t="s">
        <v>2024</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2025</v>
      </c>
      <c r="B21" s="113">
        <f>B20*N16</f>
        <v>0.16200000000000001</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2026</v>
      </c>
      <c r="B22" s="114">
        <f>B19+B20</f>
        <v>3</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2027</v>
      </c>
      <c r="B23" s="114">
        <f>B19+B21</f>
        <v>0.16200000000000001</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2028</v>
      </c>
      <c r="B24" s="115">
        <f>B20-B21</f>
        <v>2.8380000000000001</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2029</v>
      </c>
      <c r="B26" s="2317" t="s">
        <v>2030</v>
      </c>
      <c r="C26" s="2318" t="s">
        <v>2031</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2032</v>
      </c>
      <c r="B27" s="116">
        <v>150</v>
      </c>
      <c r="C27" s="1766" t="s">
        <v>2033</v>
      </c>
      <c r="D27" s="2320"/>
      <c r="E27" s="1430"/>
      <c r="F27" s="1430"/>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1" customFormat="1" ht="27.75">
      <c r="A28" s="2322" t="s">
        <v>2034</v>
      </c>
      <c r="B28" s="119">
        <v>150</v>
      </c>
      <c r="C28" s="2323"/>
      <c r="D28" s="2320"/>
      <c r="E28" s="1430"/>
      <c r="F28" s="1430"/>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1" customFormat="1" ht="28.5" thickBot="1">
      <c r="A29" s="2324" t="s">
        <v>2035</v>
      </c>
      <c r="B29" s="121">
        <f ca="1">成本法!C9+成本法!C10</f>
        <v>4451</v>
      </c>
      <c r="C29" s="1766" t="s">
        <v>2036</v>
      </c>
      <c r="D29" s="2320"/>
      <c r="E29" s="1430"/>
      <c r="F29" s="1430"/>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1" customFormat="1" ht="27">
      <c r="A30" s="2325" t="s">
        <v>2037</v>
      </c>
      <c r="B30" s="724">
        <v>200</v>
      </c>
      <c r="C30" s="2323"/>
      <c r="D30" s="2320"/>
      <c r="E30" s="1430"/>
      <c r="F30" s="1430"/>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1" customFormat="1" ht="27">
      <c r="A31" s="2322" t="s">
        <v>2038</v>
      </c>
      <c r="B31" s="120">
        <f>B30-B32</f>
        <v>200</v>
      </c>
      <c r="C31" s="1766"/>
      <c r="D31" s="2320"/>
      <c r="E31" s="1430"/>
      <c r="F31" s="1430"/>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1" customFormat="1" ht="27.75" thickBot="1">
      <c r="A32" s="2326" t="s">
        <v>2039</v>
      </c>
      <c r="B32" s="725">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1" customFormat="1" ht="14.25">
      <c r="A33" s="2319" t="s">
        <v>2040</v>
      </c>
      <c r="B33" s="726">
        <v>0.05</v>
      </c>
      <c r="C33" s="1765" t="s">
        <v>2041</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1" customFormat="1" ht="14.25">
      <c r="A34" s="2322" t="s">
        <v>2042</v>
      </c>
      <c r="B34" s="122">
        <v>0.1</v>
      </c>
      <c r="C34" s="1765" t="s">
        <v>2043</v>
      </c>
      <c r="D34" s="2275" t="s">
        <v>2044</v>
      </c>
      <c r="E34" s="732"/>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1" customFormat="1" ht="14.25">
      <c r="A35" s="2322" t="s">
        <v>2045</v>
      </c>
      <c r="B35" s="119">
        <v>200</v>
      </c>
      <c r="C35" s="1765" t="s">
        <v>2046</v>
      </c>
      <c r="D35" s="2320"/>
      <c r="E35" s="1430"/>
      <c r="F35" s="1430"/>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4" t="s">
        <v>2047</v>
      </c>
      <c r="B36" s="123">
        <v>1.4999999999999999E-2</v>
      </c>
      <c r="C36" s="1765" t="s">
        <v>2048</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2049</v>
      </c>
      <c r="B37" s="124">
        <v>0.02</v>
      </c>
      <c r="C37" s="1765" t="s">
        <v>2050</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2051</v>
      </c>
      <c r="B38" s="122">
        <v>0.02</v>
      </c>
      <c r="C38" s="1765" t="s">
        <v>2050</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2052</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2053</v>
      </c>
      <c r="B40" s="1303">
        <f ca="1">存贷款利率!G1</f>
        <v>4.7500000000000001E-2</v>
      </c>
      <c r="C40" s="1765" t="s">
        <v>2054</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2055</v>
      </c>
      <c r="B41" s="125">
        <f>B42+B43</f>
        <v>5.6000000000000001E-2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2056</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2057</v>
      </c>
      <c r="B43" s="127">
        <f>B42*(B44+B45+B46)+B47</f>
        <v>6.000000000000001E-3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2058</v>
      </c>
      <c r="B44" s="128">
        <v>7.0000000000000007E-2</v>
      </c>
      <c r="C44" s="1765" t="s">
        <v>2059</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2060</v>
      </c>
      <c r="B45" s="126">
        <v>0.03</v>
      </c>
      <c r="C45" s="1766" t="s">
        <v>2061</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2062</v>
      </c>
      <c r="B46" s="126">
        <v>0.02</v>
      </c>
      <c r="C46" s="1766" t="s">
        <v>2063</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2064</v>
      </c>
      <c r="B47" s="129"/>
      <c r="C47" s="1766" t="s">
        <v>2065</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2066</v>
      </c>
      <c r="B48" s="130">
        <v>0.03</v>
      </c>
      <c r="C48" s="1773" t="s">
        <v>2067</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2068</v>
      </c>
      <c r="B49" s="126">
        <v>5.0000000000000001E-4</v>
      </c>
      <c r="C49" s="1773" t="s">
        <v>2069</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2070</v>
      </c>
      <c r="B50" s="131">
        <v>1.2E-2</v>
      </c>
      <c r="C50" s="1430"/>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2071</v>
      </c>
      <c r="B51" s="132">
        <v>0.12</v>
      </c>
      <c r="C51" s="1430"/>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2072</v>
      </c>
      <c r="B52" s="133">
        <f>SUMIF(A54:A63,B53,B54:B63)</f>
        <v>6</v>
      </c>
      <c r="C52" s="1430"/>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2073</v>
      </c>
      <c r="B53" s="2333" t="s">
        <v>212</v>
      </c>
      <c r="C53" s="1430" t="s">
        <v>2074</v>
      </c>
      <c r="D53" s="2334" t="s">
        <v>2075</v>
      </c>
      <c r="E53" s="2274"/>
      <c r="F53" s="2274"/>
      <c r="G53" s="2274"/>
      <c r="H53" s="2274"/>
      <c r="I53" s="2274"/>
      <c r="J53" s="2274"/>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5" t="s">
        <v>2076</v>
      </c>
      <c r="B54" s="84">
        <v>6</v>
      </c>
      <c r="C54" s="1430">
        <v>30</v>
      </c>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2077</v>
      </c>
      <c r="B55" s="84"/>
      <c r="C55" s="1430">
        <v>24</v>
      </c>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2078</v>
      </c>
      <c r="B56" s="84"/>
      <c r="C56" s="1430">
        <v>18</v>
      </c>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2079</v>
      </c>
      <c r="B57" s="84"/>
      <c r="C57" s="1430">
        <v>12</v>
      </c>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2080</v>
      </c>
      <c r="B58" s="84"/>
      <c r="C58" s="1430">
        <v>3</v>
      </c>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2081</v>
      </c>
      <c r="B59" s="84"/>
      <c r="C59" s="1430">
        <v>1.5</v>
      </c>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2082</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2083</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2084</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2085</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79" t="s">
        <v>2086</v>
      </c>
      <c r="B1" s="3080"/>
      <c r="C1" s="3080"/>
      <c r="D1" s="3080"/>
      <c r="E1" s="3080"/>
      <c r="F1" s="3080"/>
      <c r="G1" s="308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5" t="s">
        <v>2089</v>
      </c>
      <c r="B3" s="1271" t="s">
        <v>2090</v>
      </c>
      <c r="C3" s="2367" t="s">
        <v>2091</v>
      </c>
      <c r="D3" s="2368"/>
      <c r="E3" s="431" t="s">
        <v>2089</v>
      </c>
      <c r="F3" s="2369" t="s">
        <v>2092</v>
      </c>
      <c r="G3" s="2370" t="s">
        <v>2093</v>
      </c>
      <c r="H3" s="2365"/>
      <c r="I3" s="2365"/>
      <c r="J3" s="2365"/>
      <c r="K3" s="2365"/>
      <c r="L3" s="2365"/>
      <c r="M3" s="2365"/>
      <c r="N3" s="2365"/>
      <c r="O3" s="2365"/>
      <c r="P3" s="2365"/>
      <c r="Q3" s="2365"/>
      <c r="R3" s="2365"/>
    </row>
    <row r="4" spans="1:29" ht="41.25">
      <c r="A4" s="431"/>
      <c r="B4" s="1797" t="s">
        <v>2094</v>
      </c>
      <c r="C4" s="2371" t="s">
        <v>2095</v>
      </c>
      <c r="D4" s="2368"/>
      <c r="E4" s="2372"/>
      <c r="F4" s="42" t="s">
        <v>2096</v>
      </c>
      <c r="G4" s="2373" t="s">
        <v>2097</v>
      </c>
      <c r="H4" s="2365"/>
      <c r="I4" s="2365"/>
      <c r="J4" s="2365"/>
      <c r="K4" s="2365"/>
      <c r="L4" s="2365"/>
      <c r="M4" s="2365"/>
      <c r="N4" s="2365"/>
      <c r="O4" s="2365"/>
      <c r="P4" s="2365"/>
      <c r="Q4" s="2365"/>
      <c r="R4" s="2365"/>
    </row>
    <row r="5" spans="1:29" ht="41.25">
      <c r="A5" s="431"/>
      <c r="B5" s="1797" t="s">
        <v>2098</v>
      </c>
      <c r="C5" s="2371" t="s">
        <v>2099</v>
      </c>
      <c r="D5" s="2368"/>
      <c r="E5" s="2372"/>
      <c r="F5" s="1797" t="s">
        <v>2100</v>
      </c>
      <c r="G5" s="2373" t="s">
        <v>2101</v>
      </c>
      <c r="H5" s="2365"/>
      <c r="I5" s="2365"/>
      <c r="J5" s="2365"/>
      <c r="K5" s="2365"/>
      <c r="L5" s="2365"/>
      <c r="M5" s="2365"/>
      <c r="N5" s="2365"/>
      <c r="O5" s="2365"/>
      <c r="P5" s="2365"/>
      <c r="Q5" s="2365"/>
      <c r="R5" s="2365"/>
    </row>
    <row r="6" spans="1:29" ht="54">
      <c r="A6" s="431"/>
      <c r="B6" s="1797" t="s">
        <v>2102</v>
      </c>
      <c r="C6" s="2373" t="s">
        <v>2097</v>
      </c>
      <c r="D6" s="2368"/>
      <c r="E6" s="2372"/>
      <c r="F6" s="1797" t="s">
        <v>2103</v>
      </c>
      <c r="G6" s="2373" t="s">
        <v>2104</v>
      </c>
      <c r="H6" s="2365"/>
      <c r="I6" s="2365"/>
      <c r="J6" s="2365"/>
      <c r="K6" s="2365"/>
      <c r="L6" s="2365"/>
      <c r="M6" s="2365"/>
      <c r="N6" s="2365"/>
      <c r="O6" s="2365"/>
      <c r="P6" s="2365"/>
      <c r="Q6" s="2365"/>
      <c r="R6" s="2365"/>
    </row>
    <row r="7" spans="1:29" ht="41.25" thickBot="1">
      <c r="A7" s="431"/>
      <c r="B7" s="1797" t="s">
        <v>2100</v>
      </c>
      <c r="C7" s="2373" t="s">
        <v>2101</v>
      </c>
      <c r="D7" s="2374"/>
      <c r="E7" s="2375"/>
      <c r="F7" s="2376" t="s">
        <v>2105</v>
      </c>
      <c r="G7" s="2377" t="s">
        <v>2106</v>
      </c>
      <c r="H7" s="2365"/>
      <c r="I7" s="2365"/>
      <c r="J7" s="2365"/>
      <c r="K7" s="2365"/>
      <c r="L7" s="2365"/>
      <c r="M7" s="2365"/>
      <c r="N7" s="2365"/>
      <c r="O7" s="2365"/>
      <c r="P7" s="2365"/>
      <c r="Q7" s="2365"/>
      <c r="R7" s="2365"/>
    </row>
    <row r="8" spans="1:29" ht="27">
      <c r="A8" s="431"/>
      <c r="B8" s="1797" t="s">
        <v>2103</v>
      </c>
      <c r="C8" s="2373" t="s">
        <v>2104</v>
      </c>
      <c r="D8" s="2374"/>
      <c r="E8" s="2374"/>
      <c r="F8" s="1136"/>
      <c r="G8" s="1136"/>
      <c r="H8" s="2365"/>
      <c r="I8" s="2365"/>
      <c r="J8" s="2365"/>
      <c r="K8" s="2365"/>
      <c r="L8" s="2365"/>
      <c r="M8" s="2365"/>
      <c r="N8" s="2365"/>
      <c r="O8" s="2365"/>
      <c r="P8" s="2365"/>
      <c r="Q8" s="2365"/>
      <c r="R8" s="2365"/>
    </row>
    <row r="9" spans="1:29" ht="27">
      <c r="A9" s="431"/>
      <c r="B9" s="1797" t="s">
        <v>2107</v>
      </c>
      <c r="C9" s="2371" t="s">
        <v>2108</v>
      </c>
      <c r="D9" s="2368"/>
      <c r="E9" s="2374"/>
      <c r="F9" s="1136"/>
      <c r="G9" s="1136"/>
      <c r="H9" s="2365"/>
      <c r="I9" s="2365"/>
      <c r="J9" s="2365"/>
      <c r="K9" s="2365"/>
      <c r="L9" s="2365"/>
      <c r="M9" s="2365"/>
      <c r="N9" s="2365"/>
      <c r="O9" s="2365"/>
      <c r="P9" s="2365"/>
      <c r="Q9" s="2365"/>
      <c r="R9" s="2365"/>
    </row>
    <row r="10" spans="1:29" s="117" customFormat="1" ht="15.75" thickBot="1">
      <c r="A10" s="2378"/>
      <c r="B10" s="2379" t="s">
        <v>2109</v>
      </c>
      <c r="C10" s="2380"/>
      <c r="D10" s="2368"/>
      <c r="E10" s="2368"/>
      <c r="F10" s="1136"/>
      <c r="G10" s="1136"/>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4"/>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4"/>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2110</v>
      </c>
      <c r="B13" s="2385"/>
      <c r="C13" s="2385"/>
      <c r="D13" s="2392"/>
      <c r="E13" s="2385"/>
      <c r="F13" s="2385"/>
      <c r="G13" s="2385"/>
    </row>
    <row r="14" spans="1:29" ht="15.75" thickBot="1">
      <c r="A14" s="2396"/>
      <c r="B14" s="2397"/>
      <c r="C14" s="2398" t="s">
        <v>2111</v>
      </c>
      <c r="D14" s="2368"/>
      <c r="E14" s="2399"/>
      <c r="F14" s="2399"/>
      <c r="G14" s="2362" t="s">
        <v>2112</v>
      </c>
    </row>
    <row r="15" spans="1:29" ht="57">
      <c r="A15" s="68" t="s">
        <v>2113</v>
      </c>
      <c r="B15" s="1270" t="s">
        <v>2090</v>
      </c>
      <c r="C15" s="2400" t="str">
        <f>C3</f>
        <v>估价对象周边居住用地比例、居住小区规模和社区发展完善程度，综合评价居住社区成熟度一般</v>
      </c>
      <c r="D15" s="2368"/>
      <c r="E15" s="2401" t="s">
        <v>2114</v>
      </c>
      <c r="F15" s="1270" t="s">
        <v>2115</v>
      </c>
      <c r="G15" s="135" t="str">
        <f>G3</f>
        <v>估价对象位于XX开发区，园区建设成熟度XX，产业集聚程度XX</v>
      </c>
    </row>
    <row r="16" spans="1:29" ht="42.75">
      <c r="A16" s="645"/>
      <c r="B16" s="2402" t="s">
        <v>2094</v>
      </c>
      <c r="C16" s="2403" t="str">
        <f>C4</f>
        <v>估价对象位于XX商圈，周边商业氛围成熟，人流量大，商业繁华度好</v>
      </c>
      <c r="D16" s="2368"/>
      <c r="E16" s="2404"/>
      <c r="F16" s="2405" t="s">
        <v>2096</v>
      </c>
      <c r="G16" s="136" t="str">
        <f>G4</f>
        <v>估价对象周边道路状况、公共交通通达情况、停车便捷程度，综合评价交通便捷度较好</v>
      </c>
    </row>
    <row r="17" spans="1:18" ht="42.75">
      <c r="A17" s="645"/>
      <c r="B17" s="2402" t="s">
        <v>2098</v>
      </c>
      <c r="C17" s="2403" t="str">
        <f>C5</f>
        <v>估价对象位于XX商圈，周边办公楼项目较多，入驻率高，办公集聚程度较好</v>
      </c>
      <c r="D17" s="2374"/>
      <c r="E17" s="2404"/>
      <c r="F17" s="2405" t="s">
        <v>2116</v>
      </c>
      <c r="G17" s="1571"/>
    </row>
    <row r="18" spans="1:18" ht="57">
      <c r="A18" s="645"/>
      <c r="B18" s="2405" t="s">
        <v>2102</v>
      </c>
      <c r="C18" s="136" t="str">
        <f>C6</f>
        <v>估价对象周边道路状况、公共交通通达情况、停车便捷程度，综合评价交通便捷度较好</v>
      </c>
      <c r="D18" s="2374"/>
      <c r="E18" s="2404"/>
      <c r="F18" s="2405" t="s">
        <v>2105</v>
      </c>
      <c r="G18" s="136" t="str">
        <f>G7</f>
        <v>该园区内是否有污染型企业，绿化情况，卫生条件，整体环境状况判断</v>
      </c>
    </row>
    <row r="19" spans="1:18" ht="28.5">
      <c r="A19" s="645"/>
      <c r="B19" s="2405" t="s">
        <v>2117</v>
      </c>
      <c r="C19" s="1571"/>
      <c r="D19" s="2368"/>
      <c r="E19" s="2404"/>
      <c r="F19" s="1797" t="s">
        <v>2100</v>
      </c>
      <c r="G19" s="136" t="str">
        <f>G5</f>
        <v>估价对象所在区域公共配套设施齐备情况</v>
      </c>
    </row>
    <row r="20" spans="1:18" ht="28.5">
      <c r="A20" s="645"/>
      <c r="B20" s="2405" t="s">
        <v>2118</v>
      </c>
      <c r="C20" s="2403" t="str">
        <f>C9</f>
        <v>区域自然环境：；人文环境；综合评价环境状况一般</v>
      </c>
      <c r="D20" s="2374"/>
      <c r="E20" s="2404"/>
      <c r="F20" s="1797" t="s">
        <v>2119</v>
      </c>
      <c r="G20" s="136" t="str">
        <f>G6</f>
        <v>估价对象所在区域基础设施水平</v>
      </c>
    </row>
    <row r="21" spans="1:18" ht="28.5">
      <c r="A21" s="645"/>
      <c r="B21" s="1797" t="s">
        <v>2100</v>
      </c>
      <c r="C21" s="136" t="str">
        <f>C7</f>
        <v>估价对象所在区域公共配套设施齐备情况</v>
      </c>
      <c r="D21" s="2368"/>
      <c r="E21" s="2404"/>
      <c r="F21" s="2405" t="s">
        <v>2120</v>
      </c>
      <c r="G21" s="2406"/>
    </row>
    <row r="22" spans="1:18" ht="13.5" customHeight="1">
      <c r="A22" s="645"/>
      <c r="B22" s="1797" t="s">
        <v>2103</v>
      </c>
      <c r="C22" s="136" t="str">
        <f>C8</f>
        <v>估价对象所在区域基础设施水平</v>
      </c>
      <c r="D22" s="2368"/>
      <c r="E22" s="2404"/>
      <c r="F22" s="2405" t="s">
        <v>2109</v>
      </c>
      <c r="G22" s="1571"/>
    </row>
    <row r="23" spans="1:18" s="2365" customFormat="1" ht="15.75" thickBot="1">
      <c r="A23" s="645"/>
      <c r="B23" s="2405" t="s">
        <v>2120</v>
      </c>
      <c r="C23" s="2406"/>
      <c r="D23" s="2393"/>
      <c r="E23" s="2407"/>
      <c r="F23" s="2408" t="s">
        <v>2121</v>
      </c>
      <c r="G23" s="2409"/>
      <c r="H23" s="2393"/>
      <c r="I23" s="2394"/>
      <c r="J23" s="2393"/>
      <c r="K23" s="2393"/>
      <c r="L23" s="2394"/>
      <c r="M23" s="2393"/>
      <c r="N23" s="2393"/>
      <c r="O23" s="2394"/>
      <c r="P23" s="2393"/>
      <c r="Q23" s="2393"/>
      <c r="R23" s="2395"/>
    </row>
    <row r="24" spans="1:18" s="2365" customFormat="1" ht="15.75" thickBot="1">
      <c r="A24" s="2410"/>
      <c r="B24" s="2408" t="s">
        <v>2122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J23"/>
  <sheetViews>
    <sheetView workbookViewId="0">
      <selection activeCell="G18" sqref="G18"/>
    </sheetView>
  </sheetViews>
  <sheetFormatPr defaultRowHeight="13.5"/>
  <cols>
    <col min="1" max="1" width="23.375" style="1740" customWidth="1"/>
    <col min="2" max="9" width="15.75" style="1740" customWidth="1"/>
    <col min="10" max="16384" width="9" style="1740"/>
  </cols>
  <sheetData>
    <row r="1" spans="1:10" ht="16.5">
      <c r="A1" s="1745" t="s">
        <v>1365</v>
      </c>
      <c r="B1" s="1745">
        <f>SUM(B14:B23)</f>
        <v>296702.55000000005</v>
      </c>
      <c r="C1" s="1744"/>
      <c r="D1" s="1744"/>
      <c r="E1" s="1744"/>
      <c r="F1" s="1744"/>
      <c r="G1" s="1742"/>
    </row>
    <row r="2" spans="1:10" ht="16.5">
      <c r="A2" s="1745" t="s">
        <v>1353</v>
      </c>
      <c r="B2" s="1745">
        <f>SUM(C14:C23)</f>
        <v>154884.56</v>
      </c>
      <c r="C2" s="1744"/>
      <c r="D2" s="1744"/>
      <c r="E2" s="1744"/>
      <c r="F2" s="1744"/>
      <c r="G2" s="1742"/>
    </row>
    <row r="3" spans="1:10" ht="16.5">
      <c r="A3" s="1745" t="s">
        <v>1362</v>
      </c>
      <c r="B3" s="1746">
        <f>项目基本情况!D3</f>
        <v>43186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195458</v>
      </c>
      <c r="C5" s="1745">
        <f ca="1">ROUND(B5*10000/$B$1,0)</f>
        <v>6588</v>
      </c>
      <c r="D5" s="1745">
        <f ca="1">ROUND(B5*10000/$B$2,0)</f>
        <v>12620</v>
      </c>
      <c r="E5" s="1744"/>
      <c r="F5" s="1742"/>
      <c r="G5" s="1742"/>
    </row>
    <row r="6" spans="1:10" ht="16.5">
      <c r="A6" s="1745" t="s">
        <v>1356</v>
      </c>
      <c r="B6" s="1745">
        <f>SUM(G14:G23)</f>
        <v>0</v>
      </c>
      <c r="C6" s="1745">
        <f>ROUND(B6*10000/$B$1,0)</f>
        <v>0</v>
      </c>
      <c r="D6" s="1745">
        <f>ROUND(B6*10000/$B$2,0)</f>
        <v>0</v>
      </c>
      <c r="E6" s="1744"/>
      <c r="F6" s="1742"/>
      <c r="G6" s="1742"/>
    </row>
    <row r="7" spans="1:10" ht="16.5">
      <c r="A7" s="1745" t="s">
        <v>1364</v>
      </c>
      <c r="B7" s="1745">
        <f ca="1">SUM(H14:H23)</f>
        <v>107513</v>
      </c>
      <c r="C7" s="1745">
        <f ca="1">ROUND(B7*10000/$B$1,0)</f>
        <v>3624</v>
      </c>
      <c r="D7" s="1745">
        <f ca="1">ROUND(B7*10000/$B$2,0)</f>
        <v>6941</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296702.55000000005</v>
      </c>
      <c r="C14" s="1743">
        <f>结果表!C118</f>
        <v>154884.56</v>
      </c>
      <c r="D14" s="1743">
        <f ca="1">结果表!H118</f>
        <v>107513</v>
      </c>
      <c r="E14" s="1743">
        <f ca="1">ROUND(D14*10000/B14,0)</f>
        <v>3624</v>
      </c>
      <c r="F14" s="1743">
        <f ca="1">ROUND(D14*10000/C14,0)</f>
        <v>6941</v>
      </c>
      <c r="G14" s="1743" t="str">
        <f>结果表!D122</f>
        <v>——</v>
      </c>
      <c r="H14" s="1743">
        <f ca="1">结果表!D124</f>
        <v>107513</v>
      </c>
      <c r="I14" s="1743" t="str">
        <f>结果表!D126</f>
        <v>——</v>
      </c>
      <c r="J14" s="1742"/>
    </row>
    <row r="15" spans="1:10" ht="16.5">
      <c r="A15" s="1741" t="s">
        <v>1349</v>
      </c>
      <c r="B15" s="1748"/>
      <c r="C15" s="1748"/>
      <c r="D15" s="1748">
        <f ca="1">[1]结果表!$G$19</f>
        <v>36516</v>
      </c>
      <c r="E15" s="1743" t="e">
        <f t="shared" ref="E15:E23" ca="1" si="0">ROUND(D15*10000/B15,0)</f>
        <v>#DIV/0!</v>
      </c>
      <c r="F15" s="1743" t="e">
        <f t="shared" ref="F15:F23" ca="1" si="1">ROUND(D15*10000/C15,0)</f>
        <v>#DIV/0!</v>
      </c>
      <c r="G15" s="1749"/>
      <c r="H15" s="1749"/>
      <c r="I15" s="1748"/>
      <c r="J15" s="1742"/>
    </row>
    <row r="16" spans="1:10" ht="16.5">
      <c r="A16" s="1741" t="s">
        <v>1348</v>
      </c>
      <c r="B16" s="1748"/>
      <c r="C16" s="1748"/>
      <c r="D16" s="1748">
        <f ca="1">[2]结果表!$G$19</f>
        <v>27657</v>
      </c>
      <c r="E16" s="1743" t="e">
        <f t="shared" ca="1" si="0"/>
        <v>#DIV/0!</v>
      </c>
      <c r="F16" s="1743" t="e">
        <f t="shared" ca="1" si="1"/>
        <v>#DIV/0!</v>
      </c>
      <c r="G16" s="1749"/>
      <c r="H16" s="1749"/>
      <c r="I16" s="1748"/>
    </row>
    <row r="17" spans="1:9" ht="16.5">
      <c r="A17" s="1741" t="s">
        <v>1347</v>
      </c>
      <c r="B17" s="1748"/>
      <c r="C17" s="1748"/>
      <c r="D17" s="1748">
        <f ca="1">[3]结果表!$J$25</f>
        <v>20711</v>
      </c>
      <c r="E17" s="1743" t="e">
        <f t="shared" ca="1" si="0"/>
        <v>#DIV/0!</v>
      </c>
      <c r="F17" s="1743" t="e">
        <f t="shared" ca="1" si="1"/>
        <v>#DIV/0!</v>
      </c>
      <c r="G17" s="1749"/>
      <c r="H17" s="1749"/>
      <c r="I17" s="1748"/>
    </row>
    <row r="18" spans="1:9" ht="16.5">
      <c r="A18" s="1741" t="s">
        <v>1346</v>
      </c>
      <c r="B18" s="1748"/>
      <c r="C18" s="1748"/>
      <c r="D18" s="1748">
        <f ca="1">[4]结果表!$G$19</f>
        <v>3061</v>
      </c>
      <c r="E18" s="1743" t="e">
        <f t="shared" ca="1" si="0"/>
        <v>#DIV/0!</v>
      </c>
      <c r="F18" s="1743" t="e">
        <f t="shared" ca="1"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2123</v>
      </c>
      <c r="B1" s="2416"/>
      <c r="C1" s="2417"/>
      <c r="D1" s="2416"/>
      <c r="E1" s="2416"/>
      <c r="F1" s="2418" t="s">
        <v>2124</v>
      </c>
      <c r="G1" s="2068" t="s">
        <v>2125</v>
      </c>
      <c r="H1" s="2419" t="str">
        <f>IF(G1="现房","——","估价对象范围")</f>
        <v>估价对象范围</v>
      </c>
      <c r="I1" s="2420" t="s">
        <v>3162</v>
      </c>
    </row>
    <row r="2" spans="1:12" ht="21.75" customHeight="1" thickBot="1">
      <c r="A2" s="3153" t="str">
        <f>项目基本情况!S2</f>
        <v>海南省文昌市青澜新市区高隆湾沿海地段出让国有建设用地使用权及在建建筑物房地产</v>
      </c>
      <c r="B2" s="3154"/>
      <c r="C2" s="3154"/>
      <c r="D2" s="3154"/>
      <c r="E2" s="3154"/>
      <c r="F2" s="3154"/>
      <c r="G2" s="3154"/>
      <c r="H2" s="3154"/>
      <c r="I2" s="3155"/>
    </row>
    <row r="3" spans="1:12" ht="12.75">
      <c r="A3" s="3156" t="s">
        <v>2126</v>
      </c>
      <c r="B3" s="3157"/>
      <c r="C3" s="3157"/>
      <c r="D3" s="3157"/>
      <c r="E3" s="3157"/>
      <c r="F3" s="3157"/>
      <c r="G3" s="3157"/>
      <c r="H3" s="3157"/>
      <c r="I3" s="3157"/>
    </row>
    <row r="4" spans="1:12" ht="14.25">
      <c r="A4" s="2423" t="s">
        <v>2127</v>
      </c>
      <c r="B4" s="2424" t="s">
        <v>2128</v>
      </c>
      <c r="C4" s="2425" t="s">
        <v>3161</v>
      </c>
      <c r="D4" s="2425" t="s">
        <v>3163</v>
      </c>
      <c r="E4" s="3137" t="s">
        <v>2129</v>
      </c>
      <c r="F4" s="3150"/>
      <c r="G4" s="3150"/>
      <c r="H4" s="3150"/>
      <c r="I4" s="3138"/>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128" t="s">
        <v>2130</v>
      </c>
      <c r="B5" s="3040">
        <v>25</v>
      </c>
      <c r="C5" s="3158"/>
      <c r="D5" s="3146"/>
      <c r="E5" s="140" t="s">
        <v>2131</v>
      </c>
      <c r="F5" s="2427"/>
      <c r="G5" s="2427"/>
      <c r="H5" s="2427"/>
      <c r="I5" s="1833"/>
    </row>
    <row r="6" spans="1:12" ht="12.75">
      <c r="A6" s="3128"/>
      <c r="B6" s="3040"/>
      <c r="C6" s="3160"/>
      <c r="D6" s="3146"/>
      <c r="E6" s="140" t="s">
        <v>2132</v>
      </c>
      <c r="F6" s="2427"/>
      <c r="G6" s="2427"/>
      <c r="H6" s="2427"/>
      <c r="I6" s="1833"/>
    </row>
    <row r="7" spans="1:12" ht="12.75">
      <c r="A7" s="3128"/>
      <c r="B7" s="3040"/>
      <c r="C7" s="3159"/>
      <c r="D7" s="3146"/>
      <c r="E7" s="140" t="s">
        <v>2133</v>
      </c>
      <c r="F7" s="2427"/>
      <c r="G7" s="2427"/>
      <c r="H7" s="2427"/>
      <c r="I7" s="1833"/>
    </row>
    <row r="8" spans="1:12" ht="12.75">
      <c r="A8" s="3128" t="s">
        <v>2134</v>
      </c>
      <c r="B8" s="3040">
        <v>15</v>
      </c>
      <c r="C8" s="3158"/>
      <c r="D8" s="3146"/>
      <c r="E8" s="140" t="s">
        <v>2135</v>
      </c>
      <c r="F8" s="2427"/>
      <c r="G8" s="2427"/>
      <c r="H8" s="2427"/>
      <c r="I8" s="1833"/>
    </row>
    <row r="9" spans="1:12" ht="12.75">
      <c r="A9" s="3128"/>
      <c r="B9" s="3040"/>
      <c r="C9" s="3159"/>
      <c r="D9" s="3146"/>
      <c r="E9" s="140" t="s">
        <v>2136</v>
      </c>
      <c r="F9" s="2427"/>
      <c r="G9" s="2427"/>
      <c r="H9" s="2427"/>
      <c r="I9" s="1833"/>
    </row>
    <row r="10" spans="1:12" ht="12.75">
      <c r="A10" s="3128" t="s">
        <v>2137</v>
      </c>
      <c r="B10" s="3040">
        <v>15</v>
      </c>
      <c r="C10" s="3158"/>
      <c r="D10" s="3146"/>
      <c r="E10" s="140" t="s">
        <v>2138</v>
      </c>
      <c r="F10" s="2427"/>
      <c r="G10" s="2427"/>
      <c r="H10" s="2427"/>
      <c r="I10" s="1833"/>
    </row>
    <row r="11" spans="1:12" ht="12.75">
      <c r="A11" s="3128"/>
      <c r="B11" s="3040"/>
      <c r="C11" s="3159"/>
      <c r="D11" s="3146"/>
      <c r="E11" s="140" t="s">
        <v>2139</v>
      </c>
      <c r="F11" s="2427"/>
      <c r="G11" s="2427"/>
      <c r="H11" s="2427"/>
      <c r="I11" s="1833"/>
    </row>
    <row r="12" spans="1:12" ht="12.75">
      <c r="A12" s="3128" t="s">
        <v>2140</v>
      </c>
      <c r="B12" s="3040">
        <v>15</v>
      </c>
      <c r="C12" s="3158"/>
      <c r="D12" s="3146"/>
      <c r="E12" s="140" t="s">
        <v>2141</v>
      </c>
      <c r="F12" s="2427"/>
      <c r="G12" s="2427"/>
      <c r="H12" s="2427"/>
      <c r="I12" s="1833"/>
    </row>
    <row r="13" spans="1:12" ht="12.75">
      <c r="A13" s="3128"/>
      <c r="B13" s="3040"/>
      <c r="C13" s="3159"/>
      <c r="D13" s="3146"/>
      <c r="E13" s="140" t="s">
        <v>2142</v>
      </c>
      <c r="F13" s="2427"/>
      <c r="G13" s="2427"/>
      <c r="H13" s="2427"/>
      <c r="I13" s="1833"/>
    </row>
    <row r="14" spans="1:12" ht="12.75">
      <c r="A14" s="3128" t="s">
        <v>2143</v>
      </c>
      <c r="B14" s="3040">
        <v>30</v>
      </c>
      <c r="C14" s="3158">
        <v>6</v>
      </c>
      <c r="D14" s="3146">
        <v>4</v>
      </c>
      <c r="E14" s="140" t="s">
        <v>2144</v>
      </c>
      <c r="F14" s="2427"/>
      <c r="G14" s="2427"/>
      <c r="H14" s="2427"/>
      <c r="I14" s="1833"/>
    </row>
    <row r="15" spans="1:12" ht="12.75">
      <c r="A15" s="3128"/>
      <c r="B15" s="3040"/>
      <c r="C15" s="3160"/>
      <c r="D15" s="3146"/>
      <c r="E15" s="140" t="s">
        <v>2145</v>
      </c>
      <c r="F15" s="2427"/>
      <c r="G15" s="2427"/>
      <c r="H15" s="2427"/>
      <c r="I15" s="1833"/>
    </row>
    <row r="16" spans="1:12" ht="12.75">
      <c r="A16" s="3128"/>
      <c r="B16" s="3040"/>
      <c r="C16" s="3159"/>
      <c r="D16" s="3146"/>
      <c r="E16" s="140" t="s">
        <v>2146</v>
      </c>
      <c r="F16" s="2427"/>
      <c r="G16" s="2427"/>
      <c r="H16" s="2427"/>
      <c r="I16" s="1833"/>
    </row>
    <row r="17" spans="1:35" ht="15">
      <c r="A17" s="2428" t="s">
        <v>2147</v>
      </c>
      <c r="B17" s="64"/>
      <c r="C17" s="141">
        <f>SUM(C5:C16)</f>
        <v>6</v>
      </c>
      <c r="D17" s="141">
        <f>SUM(D5:D16)</f>
        <v>4</v>
      </c>
      <c r="E17" s="138"/>
      <c r="F17" s="138"/>
      <c r="G17" s="138"/>
      <c r="H17" s="138"/>
      <c r="I17" s="138"/>
      <c r="K17" s="2426"/>
      <c r="L17" s="2429" t="s">
        <v>2148</v>
      </c>
      <c r="M17" s="2429" t="s">
        <v>2149</v>
      </c>
    </row>
    <row r="18" spans="1:35" ht="15.75" thickBot="1">
      <c r="A18" s="2430" t="s">
        <v>2150</v>
      </c>
      <c r="B18" s="2431"/>
      <c r="C18" s="142">
        <f>ROUND(C17/SUM(C17:D17),2)</f>
        <v>0.6</v>
      </c>
      <c r="D18" s="142">
        <f>1-C18</f>
        <v>0.4</v>
      </c>
      <c r="E18" s="138"/>
      <c r="F18" s="138"/>
      <c r="G18" s="138"/>
      <c r="H18" s="138"/>
      <c r="I18" s="138"/>
      <c r="K18" s="2426" t="s">
        <v>2151</v>
      </c>
      <c r="L18" s="2426">
        <f>IF(C1="",'数据-汇总表'!E3,SUMIF(项目类型,C1,'数据-汇总表'!E17:E26)+SUMIF(项目类型,C1,'数据-汇总表'!I17:I26))</f>
        <v>296702.55000000005</v>
      </c>
      <c r="M18" s="2426">
        <f>IF(C1="",'数据-汇总表'!E3,SUMIF(项目类型,C1,'数据-汇总表'!E17:E26))</f>
        <v>296702.55000000005</v>
      </c>
    </row>
    <row r="19" spans="1:35" ht="15">
      <c r="A19" s="2432" t="s">
        <v>2152</v>
      </c>
      <c r="B19" s="2433" t="s">
        <v>2153</v>
      </c>
      <c r="C19" s="143">
        <f ca="1">SUMIF(INDIRECT("'"&amp;C4&amp;"'"&amp;"!A:A"),结果表!B19,INDIRECT("'"&amp;C4&amp;"'"&amp;"!B:B"))</f>
        <v>55677</v>
      </c>
      <c r="D19" s="144">
        <f ca="1">SUMIF(INDIRECT("'"&amp;D4&amp;"'"&amp;"!A:A"),结果表!B19,INDIRECT("'"&amp;D4&amp;"'"&amp;"!B:B"))</f>
        <v>185267</v>
      </c>
      <c r="E19" s="2432" t="s">
        <v>2154</v>
      </c>
      <c r="F19" s="2433" t="s">
        <v>2153</v>
      </c>
      <c r="G19" s="145">
        <f ca="1">ROUND(C19*$C$18+D19*$D$18,0)</f>
        <v>107513</v>
      </c>
      <c r="H19" s="2434" t="s">
        <v>2155</v>
      </c>
      <c r="I19" s="138"/>
      <c r="J19" s="2971" t="s">
        <v>3231</v>
      </c>
      <c r="K19" s="2426" t="s">
        <v>2156</v>
      </c>
      <c r="L19" s="2426">
        <f>IF(C1="",'数据-汇总表'!D3,SUMIF(项目类型,C1,'数据-汇总表'!D17:D26)+SUMIF(项目类型,C1,'数据-汇总表'!H17:H27))</f>
        <v>154884.56</v>
      </c>
      <c r="M19" s="2426">
        <f>IF(C1="",'数据-汇总表'!D3,SUMIF(项目类型,C1,'数据-汇总表'!D17:D26))</f>
        <v>154884.56</v>
      </c>
    </row>
    <row r="20" spans="1:35" ht="15">
      <c r="A20" s="2435"/>
      <c r="B20" s="1250" t="s">
        <v>2157</v>
      </c>
      <c r="C20" s="146">
        <f ca="1">SUMIF(INDIRECT("'"&amp;C4&amp;"'"&amp;"!A:A"),结果表!B20,INDIRECT("'"&amp;C4&amp;"'"&amp;"!B:B"))</f>
        <v>1877</v>
      </c>
      <c r="D20" s="147">
        <f ca="1">SUMIF(INDIRECT("'"&amp;D4&amp;"'"&amp;"!A:A"),结果表!B20,INDIRECT("'"&amp;D4&amp;"'"&amp;"!B:B"))</f>
        <v>6244</v>
      </c>
      <c r="E20" s="2435"/>
      <c r="F20" s="1250" t="s">
        <v>2157</v>
      </c>
      <c r="G20" s="148">
        <f ca="1">ROUND(C20*$C$18+D20*$D$18,0)</f>
        <v>3624</v>
      </c>
      <c r="H20" s="983" t="s">
        <v>2158</v>
      </c>
      <c r="I20" s="138"/>
      <c r="J20" s="2972">
        <f ca="1">ROUND(G19/'数据-汇总表'!E27*10000,0)</f>
        <v>4650</v>
      </c>
    </row>
    <row r="21" spans="1:35" ht="15" customHeight="1" thickBot="1">
      <c r="A21" s="1003"/>
      <c r="B21" s="2436" t="s">
        <v>2159</v>
      </c>
      <c r="C21" s="789">
        <f ca="1">ROUND(C19*10000/L19,0)</f>
        <v>3595</v>
      </c>
      <c r="D21" s="790">
        <f ca="1">ROUND(D19*10000/L19,0)</f>
        <v>11962</v>
      </c>
      <c r="E21" s="1003"/>
      <c r="F21" s="2436" t="s">
        <v>2159</v>
      </c>
      <c r="G21" s="149">
        <f ca="1">ROUND(G19*10000/L19,0)</f>
        <v>6941</v>
      </c>
      <c r="H21" s="2437" t="s">
        <v>2158</v>
      </c>
      <c r="I21" s="138"/>
      <c r="J21" s="2972">
        <f ca="1">ROUND(G19/'数据-基础表'!A3*10000,0)</f>
        <v>6941</v>
      </c>
    </row>
    <row r="22" spans="1:35" ht="15" thickBot="1">
      <c r="A22" s="2278" t="s">
        <v>2160</v>
      </c>
      <c r="B22" s="2438"/>
      <c r="C22" s="2439"/>
      <c r="D22" s="791">
        <f ca="1">IF(C19&lt;D19,D19/C19-1,C19/D19-1)</f>
        <v>2.3275320150151768</v>
      </c>
      <c r="E22" s="138"/>
      <c r="F22" s="138"/>
      <c r="G22" s="138"/>
      <c r="H22" s="138"/>
      <c r="I22" s="138"/>
    </row>
    <row r="23" spans="1:35" ht="13.5" thickBot="1">
      <c r="A23" s="2416"/>
      <c r="B23" s="2416"/>
      <c r="C23" s="2416"/>
      <c r="D23" s="2416"/>
      <c r="E23" s="138"/>
      <c r="F23" s="138"/>
      <c r="G23" s="138"/>
      <c r="H23" s="138"/>
      <c r="I23" s="138"/>
    </row>
    <row r="24" spans="1:35" ht="14.25">
      <c r="A24" s="3167" t="s">
        <v>2161</v>
      </c>
      <c r="B24" s="2433" t="s">
        <v>2153</v>
      </c>
      <c r="C24" s="145">
        <f>IF(B30=0,0,D30)</f>
        <v>0</v>
      </c>
      <c r="D24" s="2440"/>
      <c r="E24" s="138"/>
      <c r="F24" s="138"/>
      <c r="G24" s="138"/>
      <c r="H24" s="138"/>
      <c r="I24" s="138"/>
    </row>
    <row r="25" spans="1:35" ht="14.25">
      <c r="A25" s="3168"/>
      <c r="B25" s="1250" t="s">
        <v>2157</v>
      </c>
      <c r="C25" s="150">
        <f>IF(B30=0,0,C30)</f>
        <v>0</v>
      </c>
      <c r="D25" s="2441"/>
      <c r="E25" s="138"/>
      <c r="F25" s="138"/>
      <c r="G25" s="138"/>
      <c r="H25" s="138"/>
      <c r="I25" s="138"/>
    </row>
    <row r="26" spans="1:35" ht="13.5" customHeight="1">
      <c r="A26" s="2442" t="s">
        <v>2162</v>
      </c>
      <c r="B26" s="151" t="s">
        <v>2163</v>
      </c>
      <c r="C26" s="151" t="s">
        <v>2164</v>
      </c>
      <c r="D26" s="152" t="s">
        <v>2165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2166</v>
      </c>
      <c r="B30" s="151"/>
      <c r="C30" s="151"/>
      <c r="D30" s="151"/>
      <c r="E30" s="2922" t="s">
        <v>3046</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2167</v>
      </c>
      <c r="B32" s="2446"/>
      <c r="C32" s="153">
        <f ca="1">IF(D32="总价",G19-C24,G20-C25)</f>
        <v>107513</v>
      </c>
      <c r="D32" s="2447" t="s">
        <v>2168</v>
      </c>
      <c r="E32" s="138"/>
      <c r="F32" s="138"/>
      <c r="G32" s="138"/>
      <c r="H32" s="138"/>
      <c r="I32" s="138"/>
    </row>
    <row r="33" spans="1:15" ht="15">
      <c r="A33" s="960" t="s">
        <v>2169</v>
      </c>
      <c r="B33" s="2448"/>
      <c r="C33" s="2449"/>
      <c r="D33" s="2450"/>
      <c r="E33" s="2451" t="s">
        <v>2170</v>
      </c>
      <c r="F33" s="2452" t="str">
        <f>IF(D32="楼面单价","取值（单价）","取值（总价）")</f>
        <v>取值（总价）</v>
      </c>
      <c r="G33" s="138"/>
      <c r="H33" s="138"/>
      <c r="I33" s="138"/>
    </row>
    <row r="34" spans="1:15" ht="15">
      <c r="A34" s="2453"/>
      <c r="B34" s="2454" t="s">
        <v>2171</v>
      </c>
      <c r="C34" s="157" t="e">
        <f ca="1">IF(C33="自定义",F34,C32-C35)</f>
        <v>#REF!</v>
      </c>
      <c r="D34" s="1058" t="e">
        <f ca="1">IF(C33="自定义",ROUND(C34/C32,3),IF(C33="收益比率",SUMIF(INDIRECT("'"&amp;D33&amp;"'"&amp;"!b:b"),"土地收益比率",INDIRECT("'"&amp;D33&amp;"'"&amp;"!c:c")),SUMIF(INDIRECT("'"&amp;D33&amp;"'"&amp;"!b:b"),"土地成本比率",INDIRECT("'"&amp;D33&amp;"'"&amp;"!c:c"))))</f>
        <v>#REF!</v>
      </c>
      <c r="E34" s="2455" t="s">
        <v>2172</v>
      </c>
      <c r="F34" s="1738"/>
      <c r="G34" s="138"/>
      <c r="H34" s="138"/>
      <c r="I34" s="138"/>
    </row>
    <row r="35" spans="1:15" ht="15.75" thickBot="1">
      <c r="A35" s="2456"/>
      <c r="B35" s="2457" t="s">
        <v>2173</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8" t="s">
        <v>2174</v>
      </c>
      <c r="F35" s="163"/>
      <c r="G35" s="138"/>
      <c r="H35" s="138"/>
      <c r="I35" s="138"/>
    </row>
    <row r="36" spans="1:15" ht="15.75" thickBot="1">
      <c r="A36" s="3147" t="s">
        <v>2175</v>
      </c>
      <c r="B36" s="2459" t="s">
        <v>2176</v>
      </c>
      <c r="C36" s="154"/>
      <c r="D36" s="2460"/>
      <c r="E36" s="2461"/>
      <c r="F36" s="2462"/>
      <c r="G36" s="138"/>
      <c r="H36" s="138"/>
      <c r="I36" s="138"/>
    </row>
    <row r="37" spans="1:15" ht="15.75" thickBot="1">
      <c r="A37" s="3148"/>
      <c r="B37" s="2264" t="s">
        <v>2177</v>
      </c>
      <c r="C37" s="156"/>
      <c r="D37" s="1395"/>
      <c r="E37" s="1395"/>
      <c r="F37" s="2462"/>
      <c r="G37" s="138"/>
      <c r="H37" s="138"/>
      <c r="I37" s="138"/>
    </row>
    <row r="38" spans="1:15" ht="15.75" thickBot="1">
      <c r="A38" s="3149"/>
      <c r="B38" s="2463" t="s">
        <v>2178</v>
      </c>
      <c r="C38" s="727"/>
      <c r="D38" s="2464" t="s">
        <v>2179</v>
      </c>
      <c r="E38" s="1395"/>
      <c r="F38" s="2462"/>
      <c r="G38" s="138"/>
      <c r="H38" s="138"/>
      <c r="I38" s="138"/>
    </row>
    <row r="39" spans="1:15" ht="15">
      <c r="A39" s="2435" t="s">
        <v>2180</v>
      </c>
      <c r="B39" s="2465" t="s">
        <v>2181</v>
      </c>
      <c r="C39" s="2466" t="s">
        <v>2182</v>
      </c>
      <c r="D39" s="2466" t="s">
        <v>2183</v>
      </c>
      <c r="E39" s="2467" t="s">
        <v>2184</v>
      </c>
      <c r="F39" s="2462"/>
      <c r="G39" s="138"/>
      <c r="H39" s="138"/>
      <c r="I39" s="138"/>
    </row>
    <row r="40" spans="1:15" ht="14.25">
      <c r="A40" s="2468" t="s">
        <v>2185</v>
      </c>
      <c r="B40" s="158"/>
      <c r="C40" s="159"/>
      <c r="D40" s="159"/>
      <c r="E40" s="160"/>
      <c r="F40" s="2462"/>
      <c r="G40" s="138"/>
      <c r="H40" s="138"/>
      <c r="I40" s="138"/>
    </row>
    <row r="41" spans="1:15" ht="14.25">
      <c r="A41" s="2468" t="s">
        <v>2186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2187</v>
      </c>
      <c r="B44" s="2473"/>
      <c r="C44" s="2473"/>
      <c r="D44" s="2474"/>
      <c r="E44" s="2474"/>
      <c r="F44" s="2475"/>
      <c r="G44" s="2475"/>
      <c r="H44" s="2475"/>
      <c r="I44" s="2475"/>
      <c r="J44" s="2476" t="s">
        <v>2188</v>
      </c>
      <c r="K44" s="2477"/>
      <c r="L44" s="2477"/>
      <c r="M44" s="2477"/>
      <c r="N44" s="2477"/>
      <c r="O44" s="2477"/>
    </row>
    <row r="45" spans="1:15" ht="14.25" customHeight="1" thickBot="1">
      <c r="A45" s="3164" t="s">
        <v>2189</v>
      </c>
      <c r="B45" s="3165"/>
      <c r="C45" s="3166"/>
      <c r="D45" s="164">
        <f ca="1">ROUND(H101*F45,0)</f>
        <v>107513</v>
      </c>
      <c r="E45" s="165" t="s">
        <v>2190</v>
      </c>
      <c r="F45" s="166">
        <v>1</v>
      </c>
      <c r="G45" s="167" t="s">
        <v>2191</v>
      </c>
      <c r="H45" s="138"/>
      <c r="I45" s="138"/>
      <c r="J45" s="3083" t="s">
        <v>2192</v>
      </c>
      <c r="K45" s="3083"/>
      <c r="L45" s="3083"/>
      <c r="M45" s="3083"/>
      <c r="N45" s="3083"/>
      <c r="O45" s="3083"/>
    </row>
    <row r="46" spans="1:15" ht="14.25" customHeight="1">
      <c r="A46" s="3161" t="s">
        <v>2193</v>
      </c>
      <c r="B46" s="3162"/>
      <c r="C46" s="3162"/>
      <c r="D46" s="3162"/>
      <c r="E46" s="3162"/>
      <c r="F46" s="3162"/>
      <c r="G46" s="3163"/>
      <c r="H46" s="2478"/>
      <c r="I46" s="168"/>
      <c r="J46" s="1811">
        <v>1</v>
      </c>
      <c r="K46" s="3083" t="s">
        <v>2194</v>
      </c>
      <c r="L46" s="3083"/>
      <c r="M46" s="3084"/>
      <c r="N46" s="3084"/>
      <c r="O46" s="3084"/>
    </row>
    <row r="47" spans="1:15" ht="12" customHeight="1">
      <c r="A47" s="169" t="s">
        <v>2195</v>
      </c>
      <c r="B47" s="170"/>
      <c r="C47" s="171"/>
      <c r="D47" s="172" t="s">
        <v>2196</v>
      </c>
      <c r="E47" s="24" t="s">
        <v>2197</v>
      </c>
      <c r="F47" s="173" t="s">
        <v>2198</v>
      </c>
      <c r="G47" s="174" t="s">
        <v>2199</v>
      </c>
      <c r="H47" s="2478"/>
      <c r="I47" s="168"/>
      <c r="J47" s="1811">
        <v>2</v>
      </c>
      <c r="K47" s="3083" t="s">
        <v>2200</v>
      </c>
      <c r="L47" s="3083"/>
      <c r="M47" s="3085">
        <f>'数据-取费表'!B2</f>
        <v>43186</v>
      </c>
      <c r="N47" s="3085"/>
      <c r="O47" s="3085"/>
    </row>
    <row r="48" spans="1:15" ht="25.5">
      <c r="A48" s="3151" t="s">
        <v>2201</v>
      </c>
      <c r="B48" s="3152"/>
      <c r="C48" s="3152"/>
      <c r="D48" s="140">
        <f>IF(H48="情况1",0,IF(H48="情况2",D52,IF(H48="情况3",D53,IF(H48="情况4",D54))))</f>
        <v>0</v>
      </c>
      <c r="E48" s="1800" t="str">
        <f>IF(H48="情况4","(销售额-原购置价)×税（费）率","销售额×税（费）率")</f>
        <v>销售额×税（费）率</v>
      </c>
      <c r="F48" s="175" t="str">
        <f>IF(H48="情况1","免征",'数据-取费表'!B41)</f>
        <v>免征</v>
      </c>
      <c r="G48" s="2479" t="s">
        <v>2202</v>
      </c>
      <c r="H48" s="2480" t="s">
        <v>2203</v>
      </c>
      <c r="I48" s="2478"/>
      <c r="J48" s="1811">
        <v>3</v>
      </c>
      <c r="K48" s="3083" t="s">
        <v>2204</v>
      </c>
      <c r="L48" s="3083"/>
      <c r="M48" s="3086">
        <f ca="1">H101</f>
        <v>107513</v>
      </c>
      <c r="N48" s="3086"/>
      <c r="O48" s="3086"/>
    </row>
    <row r="49" spans="1:35" ht="25.5" customHeight="1">
      <c r="A49" s="176" t="s">
        <v>2205</v>
      </c>
      <c r="B49" s="3131" t="s">
        <v>2206</v>
      </c>
      <c r="C49" s="3131"/>
      <c r="D49" s="177">
        <v>0</v>
      </c>
      <c r="E49" s="23" t="s">
        <v>2207</v>
      </c>
      <c r="F49" s="28" t="s">
        <v>34</v>
      </c>
      <c r="G49" s="3112"/>
      <c r="H49" s="138"/>
      <c r="I49" s="2481"/>
      <c r="J49" s="1811">
        <v>4</v>
      </c>
      <c r="K49" s="3083" t="str">
        <f>IF(项目基本情况!E8="房地产抵押价值","房地产抵押价值","抵押担保权已注销时的房地产抵押价值")</f>
        <v>抵押担保权已注销时的房地产抵押价值</v>
      </c>
      <c r="L49" s="3083"/>
      <c r="M49" s="3086">
        <f ca="1">IF(项目基本情况!E8="房地产抵押价值",H107,H109)</f>
        <v>107513</v>
      </c>
      <c r="N49" s="3086"/>
      <c r="O49" s="3086"/>
    </row>
    <row r="50" spans="1:35" ht="25.5" customHeight="1">
      <c r="A50" s="178"/>
      <c r="B50" s="3131" t="s">
        <v>2208</v>
      </c>
      <c r="C50" s="3131"/>
      <c r="D50" s="179"/>
      <c r="E50" s="31"/>
      <c r="F50" s="180"/>
      <c r="G50" s="3113"/>
      <c r="H50" s="138"/>
      <c r="I50" s="2481"/>
      <c r="J50" s="3083" t="s">
        <v>2209</v>
      </c>
      <c r="K50" s="3083"/>
      <c r="L50" s="3083"/>
      <c r="M50" s="3083"/>
      <c r="N50" s="3083"/>
      <c r="O50" s="3083"/>
    </row>
    <row r="51" spans="1:35" ht="12" customHeight="1">
      <c r="A51" s="181"/>
      <c r="B51" s="3131" t="s">
        <v>2210</v>
      </c>
      <c r="C51" s="3131"/>
      <c r="D51" s="182"/>
      <c r="E51" s="30"/>
      <c r="F51" s="180"/>
      <c r="G51" s="3114"/>
      <c r="H51" s="138"/>
      <c r="I51" s="2481"/>
      <c r="J51" s="2482" t="s">
        <v>2211</v>
      </c>
      <c r="K51" s="3083" t="s">
        <v>2212</v>
      </c>
      <c r="L51" s="3083"/>
      <c r="M51" s="2482" t="s">
        <v>2213</v>
      </c>
      <c r="N51" s="2482" t="s">
        <v>2214</v>
      </c>
      <c r="O51" s="2482" t="s">
        <v>2215</v>
      </c>
    </row>
    <row r="52" spans="1:35" ht="24" customHeight="1">
      <c r="A52" s="183" t="s">
        <v>2216</v>
      </c>
      <c r="B52" s="3131" t="s">
        <v>2217</v>
      </c>
      <c r="C52" s="3131"/>
      <c r="D52" s="182">
        <f ca="1">ROUND(D45*'数据-取费表'!B41/(1+'数据-取费表'!C42),0)</f>
        <v>5734</v>
      </c>
      <c r="E52" s="11" t="s">
        <v>2218</v>
      </c>
      <c r="F52" s="184">
        <f>'数据-取费表'!B41</f>
        <v>5.6000000000000001E-2</v>
      </c>
      <c r="G52" s="2483"/>
      <c r="H52" s="138"/>
      <c r="I52" s="2481"/>
      <c r="J52" s="1811">
        <v>1</v>
      </c>
      <c r="K52" s="3106" t="s">
        <v>2219</v>
      </c>
      <c r="L52" s="3106"/>
      <c r="M52" s="1753">
        <f>D48</f>
        <v>0</v>
      </c>
      <c r="N52" s="1811" t="str">
        <f>E48</f>
        <v>销售额×税（费）率</v>
      </c>
      <c r="O52" s="1754" t="str">
        <f>F48</f>
        <v>免征</v>
      </c>
    </row>
    <row r="53" spans="1:35" ht="12" customHeight="1">
      <c r="A53" s="183" t="s">
        <v>2220</v>
      </c>
      <c r="B53" s="3132" t="s">
        <v>2221</v>
      </c>
      <c r="C53" s="3133"/>
      <c r="D53" s="182">
        <f ca="1">ROUND(D45*'数据-取费表'!B41/(1+'数据-取费表'!C42),0)</f>
        <v>5734</v>
      </c>
      <c r="E53" s="11" t="s">
        <v>2218</v>
      </c>
      <c r="F53" s="184">
        <f>'数据-取费表'!B41</f>
        <v>5.6000000000000001E-2</v>
      </c>
      <c r="G53" s="2483"/>
      <c r="H53" s="138"/>
      <c r="I53" s="2481"/>
      <c r="J53" s="1811">
        <v>2</v>
      </c>
      <c r="K53" s="3106" t="s">
        <v>2222</v>
      </c>
      <c r="L53" s="3106"/>
      <c r="M53" s="1753">
        <f t="shared" ref="M53:O54" ca="1" si="0">D55</f>
        <v>54</v>
      </c>
      <c r="N53" s="1811" t="str">
        <f t="shared" si="0"/>
        <v>销售额×税（费）率</v>
      </c>
      <c r="O53" s="1754">
        <f t="shared" si="0"/>
        <v>5.0000000000000001E-4</v>
      </c>
    </row>
    <row r="54" spans="1:35" ht="12" customHeight="1">
      <c r="A54" s="183" t="s">
        <v>2223</v>
      </c>
      <c r="B54" s="3132" t="s">
        <v>2224</v>
      </c>
      <c r="C54" s="3133"/>
      <c r="D54" s="182">
        <f ca="1">C68</f>
        <v>5734</v>
      </c>
      <c r="E54" s="30" t="s">
        <v>2225</v>
      </c>
      <c r="F54" s="184">
        <f>'数据-取费表'!B41</f>
        <v>5.6000000000000001E-2</v>
      </c>
      <c r="G54" s="2483"/>
      <c r="H54" s="2484"/>
      <c r="I54" s="2481"/>
      <c r="J54" s="1811">
        <v>3</v>
      </c>
      <c r="K54" s="3106" t="s">
        <v>2226</v>
      </c>
      <c r="L54" s="3106"/>
      <c r="M54" s="1753">
        <f t="shared" ca="1" si="0"/>
        <v>60853</v>
      </c>
      <c r="N54" s="1811" t="str">
        <f t="shared" si="0"/>
        <v>增值额×税（费）率</v>
      </c>
      <c r="O54" s="1755" t="str">
        <f t="shared" si="0"/>
        <v>——</v>
      </c>
    </row>
    <row r="55" spans="1:35" ht="24" customHeight="1">
      <c r="A55" s="3170" t="s">
        <v>2227</v>
      </c>
      <c r="B55" s="3152"/>
      <c r="C55" s="3152"/>
      <c r="D55" s="185">
        <f ca="1">IF(H55="个人住宅",0,ROUND(D45*I55,0))</f>
        <v>54</v>
      </c>
      <c r="E55" s="11" t="s">
        <v>2228</v>
      </c>
      <c r="F55" s="184">
        <f>IF(H55="正常",I55,"免征")</f>
        <v>5.0000000000000001E-4</v>
      </c>
      <c r="G55" s="2483"/>
      <c r="H55" s="2480" t="s">
        <v>2229</v>
      </c>
      <c r="I55" s="186">
        <f>'数据-取费表'!B49</f>
        <v>5.0000000000000001E-4</v>
      </c>
      <c r="J55" s="1811" t="str">
        <f>IF(H59="非个人房产","",4)</f>
        <v/>
      </c>
      <c r="K55" s="3106" t="str">
        <f>IF(H59="非个人房产","——","个人所得税")</f>
        <v>——</v>
      </c>
      <c r="L55" s="3106"/>
      <c r="M55" s="1756" t="str">
        <f>D59</f>
        <v>——</v>
      </c>
      <c r="N55" s="1809" t="str">
        <f>E59</f>
        <v>——</v>
      </c>
      <c r="O55" s="1757" t="str">
        <f>F59</f>
        <v>——</v>
      </c>
    </row>
    <row r="56" spans="1:35" ht="24.75">
      <c r="A56" s="3170" t="s">
        <v>2230</v>
      </c>
      <c r="B56" s="3152"/>
      <c r="C56" s="3152"/>
      <c r="D56" s="185">
        <f ca="1">IF(H56="个人住宅",D57,D58)</f>
        <v>60853</v>
      </c>
      <c r="E56" s="11" t="s">
        <v>2231</v>
      </c>
      <c r="F56" s="184" t="str">
        <f>IF(H56="正常",F58,"免征")</f>
        <v>——</v>
      </c>
      <c r="G56" s="2485" t="s">
        <v>2232</v>
      </c>
      <c r="H56" s="2486" t="s">
        <v>2229</v>
      </c>
      <c r="I56" s="2487"/>
      <c r="J56" s="1811" t="str">
        <f>IF(项目基本情况!K6="上海银行",IF(J55="",4,J55+1),"")</f>
        <v/>
      </c>
      <c r="K56" s="3089" t="str">
        <f>IF(项目基本情况!K6="上海银行","其他处置费用","")</f>
        <v/>
      </c>
      <c r="L56" s="3090"/>
      <c r="M56" s="1753" t="str">
        <f>IF(项目基本情况!K6="上海银行",M69,"")</f>
        <v/>
      </c>
      <c r="N56" s="3092" t="str">
        <f>IF(项目基本情况!K6="上海银行","包含处置中涉及的律师、诉讼、拍卖、评估等费用","")</f>
        <v/>
      </c>
      <c r="O56" s="3093"/>
    </row>
    <row r="57" spans="1:35" ht="12.75">
      <c r="A57" s="183" t="s">
        <v>2205</v>
      </c>
      <c r="B57" s="3137" t="s">
        <v>2233</v>
      </c>
      <c r="C57" s="3138"/>
      <c r="D57" s="187">
        <v>0</v>
      </c>
      <c r="E57" s="23" t="s">
        <v>2207</v>
      </c>
      <c r="F57" s="155"/>
      <c r="G57" s="2483"/>
      <c r="H57" s="2487"/>
      <c r="I57" s="2487"/>
      <c r="J57" s="3106">
        <f>IF(AND(J55="",J56=""),4,IF(项目基本情况!K6="上海银行",结果表!J56+1,结果表!J55+1))</f>
        <v>4</v>
      </c>
      <c r="K57" s="3106" t="s">
        <v>2234</v>
      </c>
      <c r="L57" s="2488" t="s">
        <v>2235</v>
      </c>
      <c r="M57" s="1758"/>
      <c r="N57" s="1759">
        <f ca="1">SUMIF(M52:M56,"&lt;9e307")</f>
        <v>60907</v>
      </c>
      <c r="O57" s="2489"/>
      <c r="P57" s="1752">
        <f ca="1">N57/M49</f>
        <v>0.56650823621329516</v>
      </c>
    </row>
    <row r="58" spans="1:35" ht="24.75">
      <c r="A58" s="183" t="s">
        <v>2216</v>
      </c>
      <c r="B58" s="3137" t="s">
        <v>2236</v>
      </c>
      <c r="C58" s="3150"/>
      <c r="D58" s="185">
        <f ca="1">IF(H58="转让取得",C81,C97)</f>
        <v>60853</v>
      </c>
      <c r="E58" s="11" t="s">
        <v>2231</v>
      </c>
      <c r="F58" s="24" t="s">
        <v>34</v>
      </c>
      <c r="G58" s="2483"/>
      <c r="H58" s="2486" t="s">
        <v>2237</v>
      </c>
      <c r="I58" s="2487"/>
      <c r="J58" s="3106"/>
      <c r="K58" s="3106"/>
      <c r="L58" s="2488" t="s">
        <v>2238</v>
      </c>
      <c r="M58" s="1760"/>
      <c r="N58" s="2490" t="str">
        <f ca="1">NUMBERSTRING(INT(N57*10000),2)&amp;"元整"</f>
        <v>陆亿零玖佰零柒万元整</v>
      </c>
      <c r="O58" s="2491"/>
    </row>
    <row r="59" spans="1:35" ht="24.75" thickBot="1">
      <c r="A59" s="3110" t="s">
        <v>2239</v>
      </c>
      <c r="B59" s="3111"/>
      <c r="C59" s="3111"/>
      <c r="D59" s="188" t="str">
        <f>IF(H59="非个人房产","——",IF(H59="个人住宅",0,ROUND(D45*I59,0)))</f>
        <v>——</v>
      </c>
      <c r="E59" s="189" t="str">
        <f>IF(H59="非个人房产","——","销售额×税（费）率")</f>
        <v>——</v>
      </c>
      <c r="F59" s="190" t="str">
        <f>IF(H59="非个人房产","——",IF(H59="个人住宅","免征",I59))</f>
        <v>——</v>
      </c>
      <c r="G59" s="2492" t="s">
        <v>2232</v>
      </c>
      <c r="H59" s="2486" t="s">
        <v>2240</v>
      </c>
      <c r="I59" s="191">
        <v>0.01</v>
      </c>
      <c r="J59" s="3108">
        <f>J57+1</f>
        <v>5</v>
      </c>
      <c r="K59" s="3106" t="s">
        <v>2241</v>
      </c>
      <c r="L59" s="1811" t="s">
        <v>2235</v>
      </c>
      <c r="M59" s="1761"/>
      <c r="N59" s="1762">
        <f ca="1">M49-N57</f>
        <v>46606</v>
      </c>
      <c r="O59" s="2493"/>
    </row>
    <row r="60" spans="1:35" ht="12" customHeight="1">
      <c r="A60" s="2494"/>
      <c r="B60" s="2416"/>
      <c r="C60" s="2416"/>
      <c r="D60" s="2416"/>
      <c r="E60" s="2163"/>
      <c r="F60" s="2487"/>
      <c r="G60" s="2487"/>
      <c r="H60" s="2495"/>
      <c r="I60" s="138"/>
      <c r="J60" s="3109"/>
      <c r="K60" s="3106"/>
      <c r="L60" s="2488" t="s">
        <v>2238</v>
      </c>
      <c r="M60" s="1760"/>
      <c r="N60" s="2490" t="str">
        <f ca="1">NUMBERSTRING(INT(N59*10000),2)&amp;"元整"</f>
        <v>肆亿陆仟陆佰零陆万元整</v>
      </c>
      <c r="O60" s="2491"/>
    </row>
    <row r="61" spans="1:35" ht="13.5" thickBot="1">
      <c r="A61" s="3169" t="s">
        <v>2242</v>
      </c>
      <c r="B61" s="3169"/>
      <c r="C61" s="3169"/>
      <c r="D61" s="3169"/>
      <c r="E61" s="3169"/>
      <c r="F61" s="2487"/>
      <c r="G61" s="2487"/>
      <c r="H61" s="2495"/>
      <c r="I61" s="138"/>
      <c r="J61" s="1811">
        <f>J59+1</f>
        <v>6</v>
      </c>
      <c r="K61" s="3106" t="s">
        <v>2243</v>
      </c>
      <c r="L61" s="3106"/>
      <c r="M61" s="1763"/>
      <c r="N61" s="1764">
        <f ca="1">ROUND(N59*10000/'数据-汇总表'!E3,0)</f>
        <v>1571</v>
      </c>
      <c r="O61" s="2496"/>
    </row>
    <row r="62" spans="1:35" ht="12.75">
      <c r="A62" s="3126" t="s">
        <v>2244</v>
      </c>
      <c r="B62" s="3127"/>
      <c r="C62" s="1803"/>
      <c r="D62" s="1803" t="s">
        <v>2245</v>
      </c>
      <c r="E62" s="192" t="s">
        <v>2246</v>
      </c>
      <c r="F62" s="2487"/>
      <c r="G62" s="2487"/>
      <c r="H62" s="2495"/>
      <c r="I62" s="138"/>
    </row>
    <row r="63" spans="1:35" ht="12.75">
      <c r="A63" s="203" t="s">
        <v>775</v>
      </c>
      <c r="B63" s="193" t="s">
        <v>2247</v>
      </c>
      <c r="C63" s="194">
        <f ca="1">ROUND((C64+C65)/(1+'数据-取费表'!C42),0)</f>
        <v>102393</v>
      </c>
      <c r="D63" s="195"/>
      <c r="E63" s="196"/>
      <c r="F63" s="2487"/>
      <c r="G63" s="2487"/>
      <c r="H63" s="2495"/>
      <c r="I63" s="138"/>
      <c r="J63" s="3091" t="s">
        <v>2248</v>
      </c>
      <c r="K63" s="2497" t="s">
        <v>2249</v>
      </c>
      <c r="L63" s="1751">
        <f ca="1">IF(M49&gt;10000,M49*0.5%,IF(AND(M49&gt;1000,M49&lt;=10000),M49*1%,IF(AND(M49&gt;100,M49&lt;=1000),M49*3%,IF(AND(M49&gt;10,M49&lt;=100),M49*5%,M49*8%))))</f>
        <v>537.56500000000005</v>
      </c>
      <c r="M63" s="24">
        <f ca="1">ROUND(L63,1)</f>
        <v>537.6</v>
      </c>
      <c r="Z63" s="2421"/>
      <c r="AI63" s="2422"/>
    </row>
    <row r="64" spans="1:35" ht="14.25" customHeight="1">
      <c r="A64" s="197" t="s">
        <v>770</v>
      </c>
      <c r="B64" s="198" t="s">
        <v>2250</v>
      </c>
      <c r="C64" s="199">
        <f ca="1">D45</f>
        <v>107513</v>
      </c>
      <c r="D64" s="200" t="s">
        <v>32</v>
      </c>
      <c r="E64" s="201"/>
      <c r="F64" s="2487"/>
      <c r="G64" s="2487"/>
      <c r="H64" s="2495"/>
      <c r="I64" s="138"/>
      <c r="J64" s="3091"/>
      <c r="K64" s="2497" t="s">
        <v>2251</v>
      </c>
      <c r="L64" s="1751">
        <f ca="1">IF(M49&gt;2000,M49*0.5%,IF(AND(M49&gt;1000,M49&lt;=2000),M49*0.6%,IF(AND(M49&gt;500,M49&lt;=1000),M49*0.7%,IF(AND(M49&gt;200,M49&lt;=500),M49*0.8%,IF(AND(M49&gt;100,M49&lt;=200),M49*0.9%,IF(AND(M49&gt;50,M49&lt;=100),M49*1%,IF(AND(M49&gt;20,M49&lt;=50),M49*1.5%,IF(AND(M49&gt;10,M49&lt;=20),M49*2%,IF(AND(M49&gt;1,M49&lt;=10),M49*2.5%)))))))))</f>
        <v>537.56500000000005</v>
      </c>
      <c r="M64" s="24">
        <f t="shared" ref="M64:M65" ca="1" si="1">ROUND(L64,1)</f>
        <v>537.6</v>
      </c>
      <c r="N64" s="138" t="s">
        <v>2252</v>
      </c>
      <c r="Z64" s="2421"/>
      <c r="AI64" s="2422"/>
    </row>
    <row r="65" spans="1:35" ht="14.25" customHeight="1">
      <c r="A65" s="197" t="s">
        <v>771</v>
      </c>
      <c r="B65" s="198" t="s">
        <v>2253</v>
      </c>
      <c r="C65" s="202"/>
      <c r="D65" s="200"/>
      <c r="E65" s="201"/>
      <c r="F65" s="2487"/>
      <c r="G65" s="2487"/>
      <c r="H65" s="2495"/>
      <c r="I65" s="138"/>
      <c r="J65" s="3091"/>
      <c r="K65" s="2497" t="s">
        <v>2254</v>
      </c>
      <c r="L65" s="1751">
        <f ca="1">IF(M49&gt;1000,M49*0.1%,IF(AND(M49&gt;500,M49&lt;=1000),M49*0.5%,IF(AND(M49&gt;50,M49&lt;=500),M49*1%,IF(AND(M49&gt;1,M49&lt;=50),M49*1.5%))))</f>
        <v>107.51300000000001</v>
      </c>
      <c r="M65" s="24">
        <f t="shared" ca="1" si="1"/>
        <v>107.5</v>
      </c>
      <c r="N65" s="138" t="s">
        <v>2252</v>
      </c>
      <c r="Z65" s="2421"/>
      <c r="AI65" s="2422"/>
    </row>
    <row r="66" spans="1:35" ht="14.25" customHeight="1">
      <c r="A66" s="203" t="s">
        <v>772</v>
      </c>
      <c r="B66" s="204" t="s">
        <v>2255</v>
      </c>
      <c r="C66" s="205"/>
      <c r="D66" s="206" t="s">
        <v>32</v>
      </c>
      <c r="E66" s="1775" t="s">
        <v>1371</v>
      </c>
      <c r="F66" s="2487"/>
      <c r="G66" s="2487"/>
      <c r="H66" s="2495"/>
      <c r="I66" s="138"/>
      <c r="J66" s="3091"/>
      <c r="K66" s="2497" t="s">
        <v>2256</v>
      </c>
      <c r="L66" s="1751">
        <f ca="1">M49*0.5%</f>
        <v>537.56500000000005</v>
      </c>
      <c r="M66" s="24">
        <f ca="1">IF(L66&gt;0.5,0.5,ROUND(L66,0))</f>
        <v>0.5</v>
      </c>
      <c r="N66" s="138" t="s">
        <v>2257</v>
      </c>
      <c r="Z66" s="2421"/>
      <c r="AI66" s="2422"/>
    </row>
    <row r="67" spans="1:35" ht="14.25" customHeight="1">
      <c r="A67" s="203" t="s">
        <v>773</v>
      </c>
      <c r="B67" s="204" t="s">
        <v>2258</v>
      </c>
      <c r="C67" s="207">
        <f ca="1">C63-C66</f>
        <v>102393</v>
      </c>
      <c r="D67" s="200" t="s">
        <v>32</v>
      </c>
      <c r="E67" s="201"/>
      <c r="F67" s="2487"/>
      <c r="G67" s="2487"/>
      <c r="H67" s="2495"/>
      <c r="I67" s="138"/>
      <c r="J67" s="3091"/>
      <c r="K67" s="2497" t="s">
        <v>2259</v>
      </c>
      <c r="L67" s="1751">
        <f ca="1">IF(M49&gt;=10000,(8.25+(M49-10000)*0.01%),IF(AND(M49&gt;=8000,M49&lt;10000),(7.85+(M49-8000)*0.02%),IF(AND(M49&gt;=5000,M49&lt;8000),(6.65+(M49-5000)*0.04%),IF(AND(M49&gt;=2000,M49&lt;5000),(4.25+(PM49-2000)*0.08%),IF(AND(M49&gt;=1000,M49&lt;2000),(2.75+(M49-1000)*0.15%),IF(AND(M49&gt;=100,M49&lt;1000),(0.5+(M49-100)*0.25%),IF(AND(M49&gt;0,M49&lt;100),M49*0.5%)))))))</f>
        <v>18.001300000000001</v>
      </c>
      <c r="M67" s="24">
        <f ca="1">ROUND(L67*0.9,1)</f>
        <v>16.2</v>
      </c>
      <c r="Z67" s="2421"/>
      <c r="AI67" s="2422"/>
    </row>
    <row r="68" spans="1:35" ht="14.25" customHeight="1" thickBot="1">
      <c r="A68" s="208" t="s">
        <v>774</v>
      </c>
      <c r="B68" s="209" t="s">
        <v>2260</v>
      </c>
      <c r="C68" s="210">
        <f ca="1">IF(C67&lt;=0,0,ROUND(C67*D68,0))</f>
        <v>5734</v>
      </c>
      <c r="D68" s="211">
        <f>'数据-取费表'!B41</f>
        <v>5.6000000000000001E-2</v>
      </c>
      <c r="E68" s="212"/>
      <c r="F68" s="2487"/>
      <c r="G68" s="2487"/>
      <c r="H68" s="2495"/>
      <c r="I68" s="138"/>
      <c r="J68" s="3091"/>
      <c r="K68" s="2497" t="s">
        <v>2261</v>
      </c>
      <c r="L68" s="1751">
        <f ca="1">IF(M49&gt;10000,M49*0.5%,IF(AND(M49&gt;5000,M49&lt;=10000),M49*1%,IF(AND(M49&gt;1000,M49&lt;=5000),M49*2%,IF(AND(M49&gt;200,M49&lt;=1000),M49*3%,M49*5%))))</f>
        <v>537.56500000000005</v>
      </c>
      <c r="M68" s="24">
        <f ca="1">ROUND(L68,1)</f>
        <v>537.6</v>
      </c>
      <c r="Z68" s="2421"/>
      <c r="AI68" s="2422"/>
    </row>
    <row r="69" spans="1:35" s="2444" customFormat="1" ht="16.5" customHeight="1">
      <c r="A69" s="2498"/>
      <c r="B69" s="2499"/>
      <c r="C69" s="2500"/>
      <c r="D69" s="2501"/>
      <c r="E69" s="2502"/>
      <c r="F69" s="2163"/>
      <c r="G69" s="2163"/>
      <c r="H69" s="2162"/>
      <c r="I69" s="2416"/>
      <c r="J69" s="3091"/>
      <c r="K69" s="2497" t="s">
        <v>2262</v>
      </c>
      <c r="L69" s="2503"/>
      <c r="M69" s="24">
        <f ca="1">ROUND(SUM(M63:M68),0)</f>
        <v>1737</v>
      </c>
      <c r="N69" s="1752">
        <f ca="1">M69/M49</f>
        <v>1.615618576358208E-2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35" t="s">
        <v>2263</v>
      </c>
      <c r="B70" s="3136"/>
      <c r="C70" s="3136"/>
      <c r="D70" s="3136"/>
      <c r="E70" s="3136"/>
      <c r="F70" s="3136"/>
      <c r="G70" s="3136"/>
      <c r="H70" s="313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26" t="s">
        <v>2244</v>
      </c>
      <c r="B71" s="3127"/>
      <c r="C71" s="1803"/>
      <c r="D71" s="1803" t="s">
        <v>2245</v>
      </c>
      <c r="E71" s="213" t="s">
        <v>2246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2264</v>
      </c>
      <c r="C72" s="207">
        <f ca="1">ROUND(D45/(1+'数据-取费表'!C42),0)</f>
        <v>102393</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2265</v>
      </c>
      <c r="C73" s="207">
        <f ca="1">C74+C78</f>
        <v>614</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2266</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2267</v>
      </c>
      <c r="C75" s="218"/>
      <c r="D75" s="200" t="s">
        <v>32</v>
      </c>
      <c r="E75" s="219" t="s">
        <v>2268</v>
      </c>
      <c r="F75" s="2509" t="s">
        <v>2269</v>
      </c>
      <c r="G75" s="219" t="s">
        <v>2270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2271</v>
      </c>
      <c r="C76" s="200">
        <f>IF(F75="购房发票",ROUND(C75*H75*D76,0),0)</f>
        <v>0</v>
      </c>
      <c r="D76" s="222">
        <v>0.05</v>
      </c>
      <c r="E76" s="3132" t="s">
        <v>2272</v>
      </c>
      <c r="F76" s="3131"/>
      <c r="G76" s="3131"/>
      <c r="H76" s="313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2273</v>
      </c>
      <c r="C77" s="200">
        <f>ROUND(IF(G77="个人住宅",0,IF(G77="2016年5月1日前购买",C75*D77,C75*D77/(1+'数据-取费表'!C42))),0)</f>
        <v>0</v>
      </c>
      <c r="D77" s="223">
        <f>'数据-取费表'!B48+'数据-取费表'!B49</f>
        <v>3.0499999999999999E-2</v>
      </c>
      <c r="E77" s="15" t="s">
        <v>2274</v>
      </c>
      <c r="F77" s="224"/>
      <c r="G77" s="2511" t="s">
        <v>2275</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2276</v>
      </c>
      <c r="C78" s="225">
        <f ca="1">ROUND(D45*D78/(1+'数据-取费表'!C42),0)</f>
        <v>614</v>
      </c>
      <c r="D78" s="226">
        <f>'数据-取费表'!B43</f>
        <v>6.000000000000001E-3</v>
      </c>
      <c r="E78" s="3123" t="s">
        <v>2277</v>
      </c>
      <c r="F78" s="3124"/>
      <c r="G78" s="3124"/>
      <c r="H78" s="312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2278</v>
      </c>
      <c r="C79" s="207">
        <f ca="1">C72-C73</f>
        <v>101779</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2279</v>
      </c>
      <c r="C80" s="227">
        <f ca="1">IF(C79&lt;=0,0,C79/C73)</f>
        <v>165.76384364820848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2280</v>
      </c>
      <c r="C81" s="228">
        <f ca="1">ROUND(IF(C79&lt;=0,0,IF(C80&gt;=200%,C79*60%-C73*35%,IF(C80&gt;=100%,C79*50%-C73*15%,IF(C80&gt;=50%,C79*40%-C73*5%,IF(C80&lt;50%,C79*30%,0))))),0)</f>
        <v>60853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35" t="s">
        <v>2281</v>
      </c>
      <c r="B83" s="3136"/>
      <c r="C83" s="3136"/>
      <c r="D83" s="3136"/>
      <c r="E83" s="3136"/>
      <c r="F83" s="3136"/>
      <c r="G83" s="3136"/>
      <c r="H83" s="313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26" t="s">
        <v>2244</v>
      </c>
      <c r="B84" s="3127"/>
      <c r="C84" s="1803"/>
      <c r="D84" s="1803" t="s">
        <v>2245</v>
      </c>
      <c r="E84" s="213" t="s">
        <v>2246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2264</v>
      </c>
      <c r="C85" s="207">
        <f ca="1">ROUND(D45/(1+'数据-取费表'!C42),0)</f>
        <v>102393</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2265</v>
      </c>
      <c r="C86" s="207">
        <f ca="1">IF(H88="仅含出让金",C87+C90+C91+C92+C93+C94,C87+C91+C92+C93+C94)</f>
        <v>614</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2282</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2283</v>
      </c>
      <c r="C88" s="236"/>
      <c r="D88" s="226"/>
      <c r="E88" s="237" t="s">
        <v>2284</v>
      </c>
      <c r="F88" s="1799"/>
      <c r="G88" s="238" t="s">
        <v>2285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2273</v>
      </c>
      <c r="C89" s="225">
        <f>ROUND(C88*D89,0)</f>
        <v>0</v>
      </c>
      <c r="D89" s="226">
        <f>'数据-取费表'!B48+'数据-取费表'!B49</f>
        <v>3.0499999999999999E-2</v>
      </c>
      <c r="E89" s="237" t="s">
        <v>2286</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2287</v>
      </c>
      <c r="C90" s="236"/>
      <c r="D90" s="226"/>
      <c r="E90" s="237"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2288</v>
      </c>
      <c r="B91" s="198" t="s">
        <v>2289</v>
      </c>
      <c r="C91" s="225">
        <f>IF(H91="——",成本法!C33,I91)</f>
        <v>0</v>
      </c>
      <c r="D91" s="226"/>
      <c r="E91" s="3123" t="s">
        <v>2290</v>
      </c>
      <c r="F91" s="3124"/>
      <c r="G91" s="3124"/>
      <c r="H91" s="2516" t="s">
        <v>2291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2292</v>
      </c>
      <c r="B92" s="198" t="s">
        <v>2293</v>
      </c>
      <c r="C92" s="225">
        <f>ROUND((C87+C90+C91)*D92,0)</f>
        <v>0</v>
      </c>
      <c r="D92" s="226">
        <v>0.1</v>
      </c>
      <c r="E92" s="3123" t="s">
        <v>2294</v>
      </c>
      <c r="F92" s="3124"/>
      <c r="G92" s="3124"/>
      <c r="H92" s="312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2295</v>
      </c>
      <c r="B93" s="198" t="s">
        <v>2276</v>
      </c>
      <c r="C93" s="225">
        <f ca="1">ROUND(D45*D93/(1+'数据-取费表'!C42),0)</f>
        <v>614</v>
      </c>
      <c r="D93" s="226">
        <f>'数据-取费表'!B43</f>
        <v>6.000000000000001E-3</v>
      </c>
      <c r="E93" s="3123" t="s">
        <v>2277</v>
      </c>
      <c r="F93" s="3124"/>
      <c r="G93" s="3124"/>
      <c r="H93" s="312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2296</v>
      </c>
      <c r="B94" s="198" t="s">
        <v>2297</v>
      </c>
      <c r="C94" s="236">
        <f>ROUND((C87+C90+C91)*D94,0)</f>
        <v>0</v>
      </c>
      <c r="D94" s="226">
        <v>0.2</v>
      </c>
      <c r="E94" s="3171" t="s">
        <v>2298</v>
      </c>
      <c r="F94" s="3172"/>
      <c r="G94" s="3172"/>
      <c r="H94" s="317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2278</v>
      </c>
      <c r="C95" s="207">
        <f ca="1">ROUND(C85-C86,0)</f>
        <v>101779</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2279</v>
      </c>
      <c r="C96" s="227">
        <f ca="1">IF(C95&lt;=0,0,C95/C86)</f>
        <v>165.76384364820848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2280</v>
      </c>
      <c r="C97" s="228">
        <f ca="1">ROUND(IF(C95&lt;=0,0,IF(C96&gt;=200%,C95*60%-C86*35%,IF(C96&gt;=100%,C95*50%-C86*15%,IF(C96&gt;=50%,C95*40%-C86*5%,IF(C96&lt;50%,C95*30%,0))))),0)</f>
        <v>60853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2299</v>
      </c>
      <c r="B99" s="2416"/>
      <c r="C99" s="2416"/>
      <c r="D99" s="2416"/>
      <c r="E99" s="2163"/>
      <c r="F99" s="2163"/>
      <c r="G99" s="2163"/>
      <c r="H99" s="2162"/>
      <c r="I99" s="138"/>
    </row>
    <row r="100" spans="1:35" ht="18.75" customHeight="1">
      <c r="A100" s="3075" t="s">
        <v>2300</v>
      </c>
      <c r="B100" s="3076"/>
      <c r="C100" s="3076"/>
      <c r="D100" s="3107"/>
      <c r="E100" s="3076" t="s">
        <v>2301</v>
      </c>
      <c r="F100" s="3076"/>
      <c r="G100" s="3076"/>
      <c r="H100" s="3107"/>
      <c r="I100" s="138"/>
    </row>
    <row r="101" spans="1:35" ht="18.75" customHeight="1">
      <c r="A101" s="3115" t="s">
        <v>2302</v>
      </c>
      <c r="B101" s="3116"/>
      <c r="C101" s="736" t="str">
        <f>C4</f>
        <v>成本法</v>
      </c>
      <c r="D101" s="737" t="str">
        <f>D4</f>
        <v>假设开发法</v>
      </c>
      <c r="E101" s="3087" t="s">
        <v>2303</v>
      </c>
      <c r="F101" s="3088"/>
      <c r="G101" s="2518" t="s">
        <v>2304</v>
      </c>
      <c r="H101" s="1048">
        <f ca="1">H118</f>
        <v>107513</v>
      </c>
      <c r="I101" s="138"/>
    </row>
    <row r="102" spans="1:35" ht="18.75" customHeight="1">
      <c r="A102" s="3117" t="s">
        <v>2305</v>
      </c>
      <c r="B102" s="2518" t="s">
        <v>2304</v>
      </c>
      <c r="C102" s="736">
        <f ca="1">C19</f>
        <v>55677</v>
      </c>
      <c r="D102" s="737">
        <f ca="1">D19</f>
        <v>185267</v>
      </c>
      <c r="E102" s="3087"/>
      <c r="F102" s="3088"/>
      <c r="G102" s="2518" t="s">
        <v>2306</v>
      </c>
      <c r="H102" s="371">
        <f ca="1">I118</f>
        <v>3624</v>
      </c>
      <c r="I102" s="138"/>
    </row>
    <row r="103" spans="1:35" ht="42.75" customHeight="1">
      <c r="A103" s="3117"/>
      <c r="B103" s="2518" t="s">
        <v>2306</v>
      </c>
      <c r="C103" s="738">
        <f ca="1">C20</f>
        <v>1877</v>
      </c>
      <c r="D103" s="739">
        <f ca="1">D20</f>
        <v>6244</v>
      </c>
      <c r="E103" s="3081" t="s">
        <v>2307</v>
      </c>
      <c r="F103" s="3082"/>
      <c r="G103" s="2519" t="s">
        <v>2308</v>
      </c>
      <c r="H103" s="1048">
        <f>IF(D36="正常操作",H104+H105+H106,H105+H106)</f>
        <v>0</v>
      </c>
      <c r="I103" s="138"/>
    </row>
    <row r="104" spans="1:35" ht="18.75" customHeight="1">
      <c r="A104" s="3117" t="s">
        <v>2309</v>
      </c>
      <c r="B104" s="2520" t="s">
        <v>2304</v>
      </c>
      <c r="C104" s="740">
        <f ca="1">H118</f>
        <v>107513</v>
      </c>
      <c r="D104" s="741"/>
      <c r="E104" s="2264" t="s">
        <v>2310</v>
      </c>
      <c r="F104" s="2255"/>
      <c r="G104" s="2519" t="s">
        <v>2308</v>
      </c>
      <c r="H104" s="1049">
        <f>IF(D36="同一抵押权人同一抵押物续贷",C36&amp;"（未扣减，详见特别提示）",C36)</f>
        <v>0</v>
      </c>
      <c r="I104" s="138"/>
    </row>
    <row r="105" spans="1:35" ht="18.75" customHeight="1" thickBot="1">
      <c r="A105" s="3129"/>
      <c r="B105" s="2521" t="s">
        <v>2306</v>
      </c>
      <c r="C105" s="742">
        <f ca="1">I118</f>
        <v>3624</v>
      </c>
      <c r="D105" s="743"/>
      <c r="E105" s="2264" t="s">
        <v>2311</v>
      </c>
      <c r="F105" s="2255"/>
      <c r="G105" s="2519" t="s">
        <v>2308</v>
      </c>
      <c r="H105" s="1049">
        <f>C37</f>
        <v>0</v>
      </c>
      <c r="I105" s="138"/>
    </row>
    <row r="106" spans="1:35" ht="18.75" customHeight="1">
      <c r="A106" s="2416" t="s">
        <v>2312</v>
      </c>
      <c r="B106" s="2416"/>
      <c r="C106" s="2416"/>
      <c r="D106" s="2416"/>
      <c r="E106" s="2522" t="s">
        <v>2313</v>
      </c>
      <c r="F106" s="2255"/>
      <c r="G106" s="2519" t="s">
        <v>2308</v>
      </c>
      <c r="H106" s="1049">
        <f>C38</f>
        <v>0</v>
      </c>
      <c r="I106" s="138"/>
    </row>
    <row r="107" spans="1:35" ht="18.75" customHeight="1">
      <c r="A107" s="138"/>
      <c r="B107" s="138"/>
      <c r="C107" s="138"/>
      <c r="D107" s="138"/>
      <c r="E107" s="3118" t="str">
        <f>IF(项目基本情况!E8="已注销","——","3.房地产抵押价值")</f>
        <v>——</v>
      </c>
      <c r="F107" s="3088"/>
      <c r="G107" s="2518" t="s">
        <v>2304</v>
      </c>
      <c r="H107" s="1048" t="str">
        <f>IF(E107="——","——",H101-H103)</f>
        <v>——</v>
      </c>
      <c r="I107" s="138"/>
    </row>
    <row r="108" spans="1:35" ht="18.75" customHeight="1">
      <c r="A108" s="138"/>
      <c r="B108" s="138"/>
      <c r="C108" s="138"/>
      <c r="D108" s="138"/>
      <c r="E108" s="3118"/>
      <c r="F108" s="3088"/>
      <c r="G108" s="2518" t="s">
        <v>2306</v>
      </c>
      <c r="H108" s="371" t="e">
        <f>ROUND(H107*10000/'数据-汇总表'!E3,0)</f>
        <v>#VALUE!</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3.抵押担保权已注销时的房地产抵押价值</v>
      </c>
      <c r="F109" s="3088"/>
      <c r="G109" s="2518" t="s">
        <v>2304</v>
      </c>
      <c r="H109" s="348">
        <f ca="1">IF(E109="——","——",H101-H105-H106)</f>
        <v>107513</v>
      </c>
      <c r="I109" s="138"/>
    </row>
    <row r="110" spans="1:35" ht="18.75" customHeight="1">
      <c r="A110" s="138"/>
      <c r="B110" s="138"/>
      <c r="C110" s="138"/>
      <c r="D110" s="138"/>
      <c r="E110" s="3118"/>
      <c r="F110" s="3088"/>
      <c r="G110" s="2518" t="s">
        <v>2306</v>
      </c>
      <c r="H110" s="371">
        <f ca="1">IF(H109="——","——",ROUND(H109*10000/'数据-汇总表'!E3,0))</f>
        <v>3624</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18" t="s">
        <v>2304</v>
      </c>
      <c r="H111" s="1048" t="str">
        <f>IF(E111="——","——",N59)</f>
        <v>——</v>
      </c>
      <c r="I111" s="138"/>
    </row>
    <row r="112" spans="1:35" ht="18.75" customHeight="1" thickBot="1">
      <c r="A112" s="138"/>
      <c r="B112" s="138"/>
      <c r="C112" s="138"/>
      <c r="D112" s="138"/>
      <c r="E112" s="3121"/>
      <c r="F112" s="3122"/>
      <c r="G112" s="2523" t="s">
        <v>2306</v>
      </c>
      <c r="H112" s="790" t="str">
        <f>IF(E111="——","——",N61)</f>
        <v>——</v>
      </c>
      <c r="I112" s="138"/>
    </row>
    <row r="113" spans="1:11" ht="18.75" customHeight="1">
      <c r="A113" s="138"/>
      <c r="B113" s="138"/>
      <c r="C113" s="138"/>
      <c r="D113" s="138"/>
      <c r="E113" s="3130" t="s">
        <v>2312</v>
      </c>
      <c r="F113" s="3130"/>
      <c r="G113" s="3130"/>
      <c r="H113" s="3130"/>
      <c r="I113" s="138"/>
    </row>
    <row r="114" spans="1:11" ht="3.75" customHeight="1">
      <c r="A114" s="2416"/>
      <c r="B114" s="2416"/>
      <c r="C114" s="2416"/>
      <c r="D114" s="2416"/>
      <c r="E114" s="2494"/>
      <c r="F114" s="2494"/>
      <c r="G114" s="2494"/>
      <c r="H114" s="2494"/>
      <c r="I114" s="2416"/>
    </row>
    <row r="115" spans="1:11" ht="18.75" customHeight="1">
      <c r="A115" s="3143" t="s">
        <v>2314</v>
      </c>
      <c r="B115" s="3144"/>
      <c r="C115" s="3144"/>
      <c r="D115" s="3144"/>
      <c r="E115" s="3144"/>
      <c r="F115" s="3144"/>
      <c r="G115" s="3144"/>
      <c r="H115" s="3144"/>
      <c r="I115" s="3145"/>
    </row>
    <row r="116" spans="1:11" ht="27" customHeight="1">
      <c r="A116" s="3040" t="s">
        <v>2315</v>
      </c>
      <c r="B116" s="3097" t="s">
        <v>2316</v>
      </c>
      <c r="C116" s="3097" t="s">
        <v>2317</v>
      </c>
      <c r="D116" s="3103" t="s">
        <v>2318</v>
      </c>
      <c r="E116" s="3104"/>
      <c r="F116" s="3139" t="s">
        <v>2319</v>
      </c>
      <c r="G116" s="3139"/>
      <c r="H116" s="3040" t="s">
        <v>2320</v>
      </c>
      <c r="I116" s="3040"/>
    </row>
    <row r="117" spans="1:11" ht="18.75" customHeight="1">
      <c r="A117" s="3040"/>
      <c r="B117" s="3098"/>
      <c r="C117" s="3098"/>
      <c r="D117" s="1797" t="s">
        <v>2321</v>
      </c>
      <c r="E117" s="1797" t="s">
        <v>2322</v>
      </c>
      <c r="F117" s="1797" t="s">
        <v>2321</v>
      </c>
      <c r="G117" s="1797" t="s">
        <v>2323</v>
      </c>
      <c r="H117" s="1797" t="s">
        <v>2321</v>
      </c>
      <c r="I117" s="1797" t="s">
        <v>2323</v>
      </c>
    </row>
    <row r="118" spans="1:11" ht="24.75" customHeight="1">
      <c r="A118" s="2524" t="str">
        <f>项目基本情况!S2</f>
        <v>海南省文昌市青澜新市区高隆湾沿海地段出让国有建设用地使用权及在建建筑物房地产</v>
      </c>
      <c r="B118" s="1797">
        <f>M18</f>
        <v>296702.55000000005</v>
      </c>
      <c r="C118" s="1797">
        <f>M19</f>
        <v>154884.56</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107513</v>
      </c>
      <c r="I118" s="1797">
        <f ca="1">ROUND(IF(D32="楼面单价",C32,H118*10000/B118),0)</f>
        <v>3624</v>
      </c>
    </row>
    <row r="119" spans="1:11" ht="18.75" customHeight="1">
      <c r="A119" s="3040" t="s">
        <v>2324</v>
      </c>
      <c r="B119" s="3040"/>
      <c r="C119" s="3040"/>
      <c r="D119" s="3099" t="e">
        <f ca="1">NUMBERSTRING(INT(D118*10000),2)&amp;"元整"</f>
        <v>#REF!</v>
      </c>
      <c r="E119" s="3100"/>
      <c r="F119" s="3099" t="e">
        <f ca="1">NUMBERSTRING(INT(F118*10000),2)&amp;"元整"</f>
        <v>#REF!</v>
      </c>
      <c r="G119" s="3100"/>
      <c r="H119" s="3099" t="str">
        <f ca="1">NUMBERSTRING(INT(H118*10000),2)&amp;"元整"</f>
        <v>壹拾亿柒仟伍佰壹拾叁万元整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21" t="str">
        <f>IF(D120=0,"故，本次评估不存在"&amp;A120,"故，本次评估"&amp;A120&amp;"为人民币"&amp;D120&amp;"万元整。")</f>
        <v>故，本次评估不存在估价师知悉的法定优先受偿款</v>
      </c>
    </row>
    <row r="121" spans="1:11" ht="18.75" customHeight="1">
      <c r="A121" s="3140" t="s">
        <v>2324</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
      </c>
      <c r="B122" s="3105"/>
      <c r="C122" s="3105"/>
      <c r="D122" s="3094" t="str">
        <f>H107</f>
        <v>——</v>
      </c>
      <c r="E122" s="3095"/>
      <c r="F122" s="3095"/>
      <c r="G122" s="3095"/>
      <c r="H122" s="3095"/>
      <c r="I122" s="3096"/>
    </row>
    <row r="123" spans="1:11" ht="18.75" customHeight="1">
      <c r="A123" s="3040" t="s">
        <v>2324</v>
      </c>
      <c r="B123" s="3040"/>
      <c r="C123" s="3040"/>
      <c r="D123" s="3099" t="e">
        <f>NUMBERSTRING(INT(D122*10000),2)&amp;"元整"</f>
        <v>#VALUE!</v>
      </c>
      <c r="E123" s="3101"/>
      <c r="F123" s="3101"/>
      <c r="G123" s="3101"/>
      <c r="H123" s="3101"/>
      <c r="I123" s="3100"/>
    </row>
    <row r="124" spans="1:11" ht="18.75" customHeight="1">
      <c r="A124" s="3105" t="str">
        <f>IF(项目基本情况!B9="房地产市场价值","",MID(E109,3,LEN(E109)-2))</f>
        <v>抵押担保权已注销时的房地产抵押价值</v>
      </c>
      <c r="B124" s="3105"/>
      <c r="C124" s="3105"/>
      <c r="D124" s="3094">
        <f ca="1">H109</f>
        <v>107513</v>
      </c>
      <c r="E124" s="3095"/>
      <c r="F124" s="3095"/>
      <c r="G124" s="3095"/>
      <c r="H124" s="3095"/>
      <c r="I124" s="3096"/>
    </row>
    <row r="125" spans="1:11" ht="18.75" customHeight="1">
      <c r="A125" s="3040" t="s">
        <v>2324</v>
      </c>
      <c r="B125" s="3040"/>
      <c r="C125" s="3040"/>
      <c r="D125" s="3099" t="str">
        <f ca="1">NUMBERSTRING(INT(D124*10000),2)&amp;"元整"</f>
        <v>壹拾亿柒仟伍佰壹拾叁万元整</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40" t="s">
        <v>2324</v>
      </c>
      <c r="B127" s="3040"/>
      <c r="C127" s="3040"/>
      <c r="D127" s="3099" t="e">
        <f>NUMBERSTRING(INT(D126*10000),2)&amp;"元整"</f>
        <v>#VALUE!</v>
      </c>
      <c r="E127" s="3101"/>
      <c r="F127" s="3101"/>
      <c r="G127" s="3101"/>
      <c r="H127" s="3101"/>
      <c r="I127" s="3100"/>
    </row>
    <row r="128" spans="1:11" ht="21.75" customHeight="1">
      <c r="A128" s="3102" t="s">
        <v>2325</v>
      </c>
      <c r="B128" s="3102"/>
      <c r="C128" s="3102"/>
      <c r="D128" s="3102"/>
      <c r="E128" s="3102"/>
      <c r="F128" s="3102"/>
      <c r="G128" s="3102"/>
      <c r="H128" s="3102"/>
      <c r="I128" s="3102"/>
    </row>
    <row r="129" spans="1:35" ht="21.75" customHeight="1">
      <c r="A129" s="2525" t="s">
        <v>2326</v>
      </c>
      <c r="B129" s="2526"/>
      <c r="C129" s="2527" t="s">
        <v>2327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2328</v>
      </c>
      <c r="G135" s="2542"/>
      <c r="H135" s="2542"/>
      <c r="I135" s="2543" t="s">
        <v>2329</v>
      </c>
    </row>
    <row r="136" spans="1:35" ht="21.75" customHeight="1">
      <c r="A136" s="795"/>
      <c r="B136" s="2544" t="s">
        <v>2330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2331</v>
      </c>
    </row>
    <row r="139" spans="1:35" ht="21.75" customHeight="1">
      <c r="A139" s="795"/>
      <c r="B139" s="2544" t="s">
        <v>2332</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2331</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4" t="str">
        <f>项目基本情况!B1</f>
        <v>海南省文昌市青澜新市区高隆湾沿海地段出让国有建设用地使用权及在建建筑物房地产抵押价值预评估</v>
      </c>
      <c r="C37" s="2974"/>
      <c r="D37" s="2974"/>
      <c r="E37" s="2974"/>
      <c r="F37" s="2974"/>
      <c r="G37" s="2974"/>
      <c r="H37" s="2974"/>
      <c r="I37" s="2974"/>
    </row>
    <row r="38" spans="1:9">
      <c r="A38" s="1019"/>
      <c r="B38" s="1019"/>
    </row>
    <row r="39" spans="1:9">
      <c r="A39" s="1017" t="s">
        <v>818</v>
      </c>
      <c r="B39" s="1017" t="s">
        <v>820</v>
      </c>
    </row>
    <row r="40" spans="1:9">
      <c r="A40" s="1017"/>
      <c r="B40" s="1944" t="str">
        <f>项目基本情况!B5</f>
        <v>海南昂立投资有限公司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I20" sqref="I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2333</v>
      </c>
      <c r="B1" s="1939"/>
      <c r="C1" s="242"/>
      <c r="D1" s="242"/>
      <c r="E1" s="242"/>
      <c r="F1" s="242"/>
      <c r="G1" s="1382">
        <f>MATCH(B1,'数据-取费表'!A6:A16,0)+5</f>
        <v>9</v>
      </c>
    </row>
    <row r="2" spans="1:9" s="244" customFormat="1" ht="18" customHeight="1">
      <c r="A2" s="245" t="s">
        <v>2334</v>
      </c>
      <c r="B2" s="246">
        <f ca="1">IF(D2="——",C52,C52-E2)</f>
        <v>55677</v>
      </c>
      <c r="C2" s="243" t="s">
        <v>2335</v>
      </c>
      <c r="D2" s="2547" t="s">
        <v>70</v>
      </c>
      <c r="E2" s="1443" t="e">
        <f ca="1">SUMIF(INDIRECT("'"&amp;G2&amp;"'"&amp;"!A:A"),"承租人权益价值",INDIRECT("'"&amp;G2&amp;"'"&amp;"!c:c"))</f>
        <v>#REF!</v>
      </c>
      <c r="F2" s="2548" t="s">
        <v>2335</v>
      </c>
      <c r="G2" s="2549"/>
    </row>
    <row r="3" spans="1:9" s="244" customFormat="1" ht="18" customHeight="1" thickBot="1">
      <c r="A3" s="247" t="s">
        <v>2336</v>
      </c>
      <c r="B3" s="248">
        <f ca="1">ROUND(B2*10000/(IF(B1="",'数据-汇总表'!E3,INDIRECT("'数据-取费表'!k"&amp;$G$1))),0)</f>
        <v>1877</v>
      </c>
      <c r="C3" s="243" t="s">
        <v>2337</v>
      </c>
      <c r="D3" s="243"/>
      <c r="E3" s="243"/>
      <c r="F3" s="243"/>
      <c r="G3" s="243"/>
    </row>
    <row r="4" spans="1:9" s="252" customFormat="1" ht="15.75">
      <c r="A4" s="249" t="s">
        <v>2338</v>
      </c>
      <c r="B4" s="250"/>
      <c r="C4" s="250"/>
      <c r="D4" s="250"/>
      <c r="E4" s="250"/>
      <c r="F4" s="250"/>
      <c r="G4" s="251"/>
    </row>
    <row r="5" spans="1:9" s="258" customFormat="1" ht="13.5" customHeight="1">
      <c r="A5" s="299" t="s">
        <v>2339</v>
      </c>
      <c r="B5" s="254" t="s">
        <v>2340</v>
      </c>
      <c r="C5" s="255">
        <f ca="1">C6+C7+C8</f>
        <v>43523</v>
      </c>
      <c r="D5" s="255" t="s">
        <v>2341</v>
      </c>
      <c r="E5" s="256" t="s">
        <v>2342</v>
      </c>
      <c r="F5" s="256" t="s">
        <v>2343</v>
      </c>
      <c r="G5" s="257"/>
    </row>
    <row r="6" spans="1:9" s="258" customFormat="1" ht="13.5" customHeight="1">
      <c r="A6" s="952" t="s">
        <v>2344</v>
      </c>
      <c r="B6" s="259" t="s">
        <v>2345</v>
      </c>
      <c r="C6" s="260">
        <f>'土地比较法-住宅'!B2</f>
        <v>37916</v>
      </c>
      <c r="D6" s="261"/>
      <c r="E6" s="262"/>
      <c r="F6" s="262"/>
      <c r="G6" s="263"/>
    </row>
    <row r="7" spans="1:9" s="258" customFormat="1" ht="13.5" customHeight="1">
      <c r="A7" s="952" t="s">
        <v>2346</v>
      </c>
      <c r="B7" s="259" t="s">
        <v>2347</v>
      </c>
      <c r="C7" s="264">
        <f>ROUND(C6*F7,0)</f>
        <v>1156</v>
      </c>
      <c r="D7" s="264"/>
      <c r="E7" s="262"/>
      <c r="F7" s="265">
        <f>'数据-取费表'!B48+'数据-取费表'!B49</f>
        <v>3.0499999999999999E-2</v>
      </c>
      <c r="G7" s="263"/>
    </row>
    <row r="8" spans="1:9" s="267" customFormat="1">
      <c r="A8" s="952" t="s">
        <v>2348</v>
      </c>
      <c r="B8" s="259" t="s">
        <v>2349</v>
      </c>
      <c r="C8" s="264">
        <f ca="1">IF(G8="已包含在土地购买价格中","0",IF(B1="",'数据-取费表'!B29,IF(G9="全部缴纳",C9+C10,H9)))</f>
        <v>4451</v>
      </c>
      <c r="D8" s="266"/>
      <c r="E8" s="264"/>
      <c r="F8" s="265"/>
      <c r="G8" s="2550" t="s">
        <v>3212</v>
      </c>
    </row>
    <row r="9" spans="1:9" s="258" customFormat="1" ht="13.5" customHeight="1">
      <c r="A9" s="953" t="s">
        <v>800</v>
      </c>
      <c r="B9" s="268" t="s">
        <v>2350</v>
      </c>
      <c r="C9" s="269">
        <f ca="1">ROUND(D9*E9/10000,0)</f>
        <v>3416</v>
      </c>
      <c r="D9" s="1035">
        <f ca="1">IF(B1="",'数据-汇总表'!E5,IF(INDIRECT("'数据-取费表'!c"&amp;$G$1)="住宅",INDIRECT("'数据-取费表'!k"&amp;$G$1),0))</f>
        <v>227714.24</v>
      </c>
      <c r="E9" s="269">
        <f>'数据-取费表'!B27</f>
        <v>150</v>
      </c>
      <c r="F9" s="265"/>
      <c r="G9" s="2551"/>
      <c r="H9" s="1393"/>
      <c r="I9" s="2552" t="s">
        <v>2351</v>
      </c>
    </row>
    <row r="10" spans="1:9" s="258" customFormat="1" ht="13.5" customHeight="1">
      <c r="A10" s="953" t="s">
        <v>801</v>
      </c>
      <c r="B10" s="268" t="s">
        <v>2352</v>
      </c>
      <c r="C10" s="269">
        <f ca="1">ROUND(D10*E10/10000,0)</f>
        <v>1035</v>
      </c>
      <c r="D10" s="1035">
        <f ca="1">IF(B1="",'数据-汇总表'!E6,IF(INDIRECT("'数据-取费表'!c"&amp;$G$1)="住宅",INDIRECT("'数据-取费表'!s"&amp;$G$1),INDIRECT("'数据-取费表'!k"&amp;$G$1)+INDIRECT("'数据-取费表'!s"&amp;$G$1)))</f>
        <v>68988.310000000056</v>
      </c>
      <c r="E10" s="269">
        <f>'数据-取费表'!B28</f>
        <v>150</v>
      </c>
      <c r="F10" s="265"/>
      <c r="G10" s="270"/>
    </row>
    <row r="11" spans="1:9" s="258" customFormat="1" ht="13.5" hidden="1" customHeight="1">
      <c r="A11" s="271" t="s">
        <v>7</v>
      </c>
      <c r="B11" s="259" t="s">
        <v>2353</v>
      </c>
      <c r="C11" s="255"/>
      <c r="D11" s="1037"/>
      <c r="E11" s="262"/>
      <c r="F11" s="262"/>
      <c r="G11" s="263"/>
    </row>
    <row r="12" spans="1:9" s="258" customFormat="1" ht="13.5" hidden="1" customHeight="1">
      <c r="A12" s="271" t="s">
        <v>8</v>
      </c>
      <c r="B12" s="259" t="s">
        <v>2354</v>
      </c>
      <c r="C12" s="255">
        <v>0</v>
      </c>
      <c r="D12" s="1037"/>
      <c r="E12" s="272"/>
      <c r="F12" s="265">
        <v>3.0499999999999999E-2</v>
      </c>
      <c r="G12" s="263"/>
    </row>
    <row r="13" spans="1:9" s="258" customFormat="1" ht="13.5" hidden="1" customHeight="1">
      <c r="A13" s="271" t="s">
        <v>9</v>
      </c>
      <c r="B13" s="259" t="s">
        <v>2355</v>
      </c>
      <c r="C13" s="255"/>
      <c r="D13" s="1037"/>
      <c r="E13" s="262"/>
      <c r="F13" s="262"/>
      <c r="G13" s="263"/>
    </row>
    <row r="14" spans="1:9" s="258" customFormat="1" ht="13.5" hidden="1" customHeight="1">
      <c r="A14" s="271" t="s">
        <v>10</v>
      </c>
      <c r="B14" s="259" t="s">
        <v>2356</v>
      </c>
      <c r="C14" s="255"/>
      <c r="D14" s="1037"/>
      <c r="E14" s="262"/>
      <c r="F14" s="262"/>
      <c r="G14" s="263" t="s">
        <v>2357</v>
      </c>
    </row>
    <row r="15" spans="1:9" s="258" customFormat="1" ht="13.5" hidden="1" customHeight="1">
      <c r="A15" s="271" t="s">
        <v>11</v>
      </c>
      <c r="B15" s="259" t="s">
        <v>2358</v>
      </c>
      <c r="C15" s="264"/>
      <c r="D15" s="1037"/>
      <c r="E15" s="262"/>
      <c r="F15" s="262"/>
      <c r="G15" s="263" t="s">
        <v>2359</v>
      </c>
    </row>
    <row r="16" spans="1:9" s="258" customFormat="1" ht="13.5" hidden="1" customHeight="1">
      <c r="A16" s="271" t="s">
        <v>12</v>
      </c>
      <c r="B16" s="259" t="s">
        <v>2356</v>
      </c>
      <c r="C16" s="264"/>
      <c r="D16" s="1037"/>
      <c r="E16" s="262"/>
      <c r="F16" s="262"/>
      <c r="G16" s="263"/>
    </row>
    <row r="17" spans="1:7" s="258" customFormat="1" ht="13.5" hidden="1" customHeight="1">
      <c r="A17" s="271" t="s">
        <v>13</v>
      </c>
      <c r="B17" s="259" t="s">
        <v>2360</v>
      </c>
      <c r="C17" s="273"/>
      <c r="D17" s="1038"/>
      <c r="E17" s="273"/>
      <c r="F17" s="273"/>
      <c r="G17" s="263" t="s">
        <v>2359</v>
      </c>
    </row>
    <row r="18" spans="1:7" s="258" customFormat="1" ht="13.5" hidden="1" customHeight="1">
      <c r="A18" s="271" t="s">
        <v>14</v>
      </c>
      <c r="B18" s="259" t="s">
        <v>2361</v>
      </c>
      <c r="C18" s="264">
        <v>0</v>
      </c>
      <c r="D18" s="1037"/>
      <c r="E18" s="262"/>
      <c r="F18" s="265">
        <v>3.0499999999999999E-2</v>
      </c>
      <c r="G18" s="263" t="s">
        <v>2362</v>
      </c>
    </row>
    <row r="19" spans="1:7" s="267" customFormat="1" ht="13.5" customHeight="1">
      <c r="A19" s="299" t="s">
        <v>2363</v>
      </c>
      <c r="B19" s="254" t="s">
        <v>2364</v>
      </c>
      <c r="C19" s="255" t="str">
        <f>IF(G19="已包含在土地取得成本中","0",ROUND(D19*E19/10000,0))</f>
        <v>0</v>
      </c>
      <c r="D19" s="1039">
        <f ca="1">D9+D10</f>
        <v>296702.55000000005</v>
      </c>
      <c r="E19" s="255">
        <f>'数据-取费表'!B31</f>
        <v>200</v>
      </c>
      <c r="F19" s="275"/>
      <c r="G19" s="2550" t="s">
        <v>3213</v>
      </c>
    </row>
    <row r="20" spans="1:7" s="258" customFormat="1" ht="13.5" customHeight="1">
      <c r="A20" s="299" t="s">
        <v>2365</v>
      </c>
      <c r="B20" s="254" t="s">
        <v>2366</v>
      </c>
      <c r="C20" s="276">
        <f ca="1">ROUND((C5+C19)*F20,0)</f>
        <v>870</v>
      </c>
      <c r="D20" s="276"/>
      <c r="E20" s="276"/>
      <c r="F20" s="277">
        <f>'数据-取费表'!B37</f>
        <v>0.02</v>
      </c>
      <c r="G20" s="278" t="s">
        <v>2367</v>
      </c>
    </row>
    <row r="21" spans="1:7" s="258" customFormat="1" ht="13.5" customHeight="1">
      <c r="A21" s="299" t="s">
        <v>2368</v>
      </c>
      <c r="B21" s="254" t="s">
        <v>2369</v>
      </c>
      <c r="C21" s="279">
        <f>F21</f>
        <v>0.02</v>
      </c>
      <c r="D21" s="280" t="s">
        <v>2370</v>
      </c>
      <c r="E21" s="276"/>
      <c r="F21" s="277">
        <f>'数据-取费表'!B38</f>
        <v>0.02</v>
      </c>
      <c r="G21" s="278" t="s">
        <v>2371</v>
      </c>
    </row>
    <row r="22" spans="1:7" s="258" customFormat="1" ht="13.5" customHeight="1">
      <c r="A22" s="299" t="s">
        <v>2372</v>
      </c>
      <c r="B22" s="254" t="s">
        <v>2373</v>
      </c>
      <c r="C22" s="1357">
        <f ca="1">ROUND(SUM(C23:C25),0)</f>
        <v>331</v>
      </c>
      <c r="D22" s="279">
        <f ca="1">C26</f>
        <v>1E-4</v>
      </c>
      <c r="E22" s="280" t="s">
        <v>2370</v>
      </c>
      <c r="F22" s="281">
        <f ca="1">'数据-取费表'!B40</f>
        <v>4.7500000000000001E-2</v>
      </c>
      <c r="G22" s="278" t="str">
        <f>IF('数据-取费表'!B22&lt;=1,"单利计息","复利计息")</f>
        <v>复利计息</v>
      </c>
    </row>
    <row r="23" spans="1:7" s="258" customFormat="1" ht="13.5" customHeight="1">
      <c r="A23" s="954" t="s">
        <v>2374</v>
      </c>
      <c r="B23" s="259" t="s">
        <v>2375</v>
      </c>
      <c r="C23" s="1358">
        <f ca="1">ROUND(IF('数据-取费表'!B22&lt;=1,C5*F22*'数据-取费表'!B23,C5*(POWER((1+F22),'数据-取费表'!B23)-1)),0)</f>
        <v>328</v>
      </c>
      <c r="D23" s="282"/>
      <c r="E23" s="282"/>
      <c r="F23" s="283"/>
      <c r="G23" s="284" t="s">
        <v>2376</v>
      </c>
    </row>
    <row r="24" spans="1:7" s="258" customFormat="1" ht="13.5" customHeight="1">
      <c r="A24" s="954" t="s">
        <v>2377</v>
      </c>
      <c r="B24" s="259" t="s">
        <v>2378</v>
      </c>
      <c r="C24" s="1358">
        <f ca="1">ROUND(IF('数据-取费表'!B22&lt;=1,C19*F22*('数据-取费表'!B19/2+'数据-取费表'!B21),C19*(POWER((1+F22),('数据-取费表'!B19/2+'数据-取费表'!B21))-1)),0)</f>
        <v>0</v>
      </c>
      <c r="D24" s="282"/>
      <c r="E24" s="282"/>
      <c r="F24" s="283"/>
      <c r="G24" s="284" t="s">
        <v>2379</v>
      </c>
    </row>
    <row r="25" spans="1:7" s="258" customFormat="1" ht="24">
      <c r="A25" s="954" t="s">
        <v>2380</v>
      </c>
      <c r="B25" s="259" t="s">
        <v>2381</v>
      </c>
      <c r="C25" s="1358">
        <f ca="1">ROUND(IF('数据-取费表'!B22&lt;=1,C20*F22*'数据-取费表'!B23/2,C20*(POWER((1+F22),'数据-取费表'!B23/2)-1)),0)</f>
        <v>3</v>
      </c>
      <c r="D25" s="282"/>
      <c r="E25" s="285"/>
      <c r="F25" s="283"/>
      <c r="G25" s="286" t="s">
        <v>2382</v>
      </c>
    </row>
    <row r="26" spans="1:7" s="258" customFormat="1">
      <c r="A26" s="954" t="s">
        <v>795</v>
      </c>
      <c r="B26" s="259" t="s">
        <v>2383</v>
      </c>
      <c r="C26" s="282">
        <f ca="1">ROUND(IF('数据-取费表'!B22&lt;=1,F21*F22*'数据-取费表'!B23/2,F21*(POWER((1+F22),'数据-取费表'!B23/2)-1)),4)</f>
        <v>1E-4</v>
      </c>
      <c r="D26" s="282"/>
      <c r="E26" s="285"/>
      <c r="F26" s="283"/>
      <c r="G26" s="287"/>
    </row>
    <row r="27" spans="1:7" s="258" customFormat="1" ht="24.75">
      <c r="A27" s="299" t="s">
        <v>2384</v>
      </c>
      <c r="B27" s="288" t="s">
        <v>2385</v>
      </c>
      <c r="C27" s="289">
        <f ca="1">C28</f>
        <v>599</v>
      </c>
      <c r="D27" s="279">
        <f ca="1">C29</f>
        <v>2.9999999999999997E-4</v>
      </c>
      <c r="E27" s="280" t="s">
        <v>2386</v>
      </c>
      <c r="F27" s="290">
        <f ca="1">IF(B1="",'数据-取费表'!Q16,INDIRECT("'数据-取费表'!q"&amp;$G$1))</f>
        <v>0.25</v>
      </c>
      <c r="G27" s="291" t="s">
        <v>2387</v>
      </c>
    </row>
    <row r="28" spans="1:7" s="258" customFormat="1" ht="13.5" customHeight="1">
      <c r="A28" s="954" t="s">
        <v>791</v>
      </c>
      <c r="B28" s="292" t="s">
        <v>2388</v>
      </c>
      <c r="C28" s="293">
        <f ca="1">ROUND((C5+C19+C20)*F27*'数据-取费表'!B21/'数据-取费表'!B20,0)</f>
        <v>599</v>
      </c>
      <c r="D28" s="279"/>
      <c r="E28" s="280"/>
      <c r="F28" s="290"/>
      <c r="G28" s="291"/>
    </row>
    <row r="29" spans="1:7" s="258" customFormat="1" ht="13.5" customHeight="1">
      <c r="A29" s="954" t="s">
        <v>792</v>
      </c>
      <c r="B29" s="292" t="s">
        <v>2389</v>
      </c>
      <c r="C29" s="282">
        <f ca="1">ROUND(C21*F27*'数据-取费表'!B21/'数据-取费表'!B20,4)</f>
        <v>2.9999999999999997E-4</v>
      </c>
      <c r="D29" s="279"/>
      <c r="E29" s="280"/>
      <c r="F29" s="290"/>
      <c r="G29" s="291"/>
    </row>
    <row r="30" spans="1:7" s="258" customFormat="1" ht="13.5" customHeight="1">
      <c r="A30" s="299" t="s">
        <v>2390</v>
      </c>
      <c r="B30" s="254" t="s">
        <v>2391</v>
      </c>
      <c r="C30" s="279">
        <f>ROUND(F30/(1+'数据-取费表'!C42),4)</f>
        <v>5.33E-2</v>
      </c>
      <c r="D30" s="280" t="s">
        <v>2386</v>
      </c>
      <c r="E30" s="285"/>
      <c r="F30" s="281">
        <f>'数据-取费表'!B41</f>
        <v>5.6000000000000001E-2</v>
      </c>
      <c r="G30" s="278" t="s">
        <v>2392</v>
      </c>
    </row>
    <row r="31" spans="1:7" ht="16.5" customHeight="1">
      <c r="A31" s="253">
        <v>1</v>
      </c>
      <c r="B31" s="254" t="s">
        <v>2393</v>
      </c>
      <c r="C31" s="255">
        <f ca="1">ROUND((C5+C19+C20+C22+C27)/(1-C21-D22-D27-C30),0)</f>
        <v>48929</v>
      </c>
      <c r="D31" s="274"/>
      <c r="E31" s="255"/>
      <c r="F31" s="294"/>
      <c r="G31" s="278" t="s">
        <v>2394</v>
      </c>
    </row>
    <row r="32" spans="1:7" s="252" customFormat="1" ht="15.75">
      <c r="A32" s="296" t="s">
        <v>2395</v>
      </c>
      <c r="B32" s="297"/>
      <c r="C32" s="297"/>
      <c r="D32" s="297"/>
      <c r="E32" s="297"/>
      <c r="F32" s="297"/>
      <c r="G32" s="298"/>
    </row>
    <row r="33" spans="1:7" s="258" customFormat="1" ht="13.5" customHeight="1">
      <c r="A33" s="299" t="s">
        <v>782</v>
      </c>
      <c r="B33" s="254" t="s">
        <v>2396</v>
      </c>
      <c r="C33" s="300">
        <f ca="1">SUM(C34:C38)</f>
        <v>4864</v>
      </c>
      <c r="D33" s="276"/>
      <c r="E33" s="256"/>
      <c r="F33" s="285"/>
      <c r="G33" s="278"/>
    </row>
    <row r="34" spans="1:7" s="302" customFormat="1" ht="13.5" customHeight="1">
      <c r="A34" s="954" t="s">
        <v>791</v>
      </c>
      <c r="B34" s="259" t="s">
        <v>2397</v>
      </c>
      <c r="C34" s="264">
        <f ca="1">IF(B1="",IF(F34=100%,'数据-取费表'!M16,'数据-取费表'!O16),IF(F34=100%,INDIRECT("'数据-取费表'!m"&amp;$G$1)+INDIRECT("'数据-取费表'!t"&amp;$G$1),INDIRECT("'数据-取费表'!o"&amp;$G$1)+INDIRECT("'数据-取费表'!aq"&amp;$G$1)))</f>
        <v>4176</v>
      </c>
      <c r="D34" s="261"/>
      <c r="E34" s="264"/>
      <c r="F34" s="301">
        <f ca="1">IF('数据-取费表'!B24=0,1,IF(B1="",'数据-取费表'!N16,INDIRECT("'数据-取费表'!n"&amp;$G$1)))</f>
        <v>5.3999999999999999E-2</v>
      </c>
      <c r="G34" s="263" t="s">
        <v>2398</v>
      </c>
    </row>
    <row r="35" spans="1:7" ht="13.5" customHeight="1">
      <c r="A35" s="954" t="s">
        <v>796</v>
      </c>
      <c r="B35" s="259" t="s">
        <v>2399</v>
      </c>
      <c r="C35" s="264">
        <f ca="1">ROUND(C34*F35,0)</f>
        <v>209</v>
      </c>
      <c r="D35" s="264"/>
      <c r="E35" s="264"/>
      <c r="F35" s="303">
        <f>'数据-取费表'!B33</f>
        <v>0.05</v>
      </c>
      <c r="G35" s="263" t="s">
        <v>2400</v>
      </c>
    </row>
    <row r="36" spans="1:7" ht="24">
      <c r="A36" s="954" t="s">
        <v>797</v>
      </c>
      <c r="B36" s="259" t="s">
        <v>2401</v>
      </c>
      <c r="C36" s="264">
        <f ca="1">ROUND(IF(B1="",SUMIF('数据-取费表'!C:C,"住宅",IF(F34=100%,'数据-取费表'!M:M,'数据-取费表'!O:O))*F36,IF(INDIRECT("'数据-取费表'!c"&amp;$G$1)="住宅",IF(F34=100%,INDIRECT("'数据-取费表'!m"&amp;$G$1)*F36,INDIRECT("'数据-取费表'!o"&amp;$G$1)*F36),0)),0)</f>
        <v>96</v>
      </c>
      <c r="D36" s="264"/>
      <c r="E36" s="264"/>
      <c r="F36" s="303">
        <f>'数据-取费表'!B34</f>
        <v>0.1</v>
      </c>
      <c r="G36" s="304" t="s">
        <v>2402</v>
      </c>
    </row>
    <row r="37" spans="1:7" s="302" customFormat="1" ht="13.5" customHeight="1">
      <c r="A37" s="954" t="s">
        <v>798</v>
      </c>
      <c r="B37" s="259" t="s">
        <v>2403</v>
      </c>
      <c r="C37" s="293">
        <f ca="1">ROUND(E37*D37*F34/10000,0)</f>
        <v>320</v>
      </c>
      <c r="D37" s="261">
        <f ca="1">D19</f>
        <v>296702.55000000005</v>
      </c>
      <c r="E37" s="293">
        <f>'数据-取费表'!B35</f>
        <v>200</v>
      </c>
      <c r="F37" s="303"/>
      <c r="G37" s="305" t="s">
        <v>2404</v>
      </c>
    </row>
    <row r="38" spans="1:7" ht="13.5" customHeight="1">
      <c r="A38" s="954" t="s">
        <v>799</v>
      </c>
      <c r="B38" s="259" t="s">
        <v>2405</v>
      </c>
      <c r="C38" s="264">
        <f ca="1">ROUND(C34*F38,0)</f>
        <v>63</v>
      </c>
      <c r="D38" s="264"/>
      <c r="E38" s="264"/>
      <c r="F38" s="303">
        <f>'数据-取费表'!B36</f>
        <v>1.4999999999999999E-2</v>
      </c>
      <c r="G38" s="263" t="s">
        <v>2400</v>
      </c>
    </row>
    <row r="39" spans="1:7" s="258" customFormat="1" ht="13.5" customHeight="1">
      <c r="A39" s="299" t="s">
        <v>2406</v>
      </c>
      <c r="B39" s="254" t="s">
        <v>2407</v>
      </c>
      <c r="C39" s="276">
        <f ca="1">ROUND(C33*F20,0)</f>
        <v>97</v>
      </c>
      <c r="D39" s="276"/>
      <c r="E39" s="276"/>
      <c r="F39" s="277"/>
      <c r="G39" s="278" t="s">
        <v>2408</v>
      </c>
    </row>
    <row r="40" spans="1:7" s="258" customFormat="1" ht="13.5" customHeight="1">
      <c r="A40" s="299" t="s">
        <v>2409</v>
      </c>
      <c r="B40" s="254" t="s">
        <v>2410</v>
      </c>
      <c r="C40" s="1730">
        <f>F21</f>
        <v>0.02</v>
      </c>
      <c r="D40" s="280" t="s">
        <v>2411</v>
      </c>
      <c r="E40" s="276"/>
      <c r="F40" s="277"/>
      <c r="G40" s="278" t="s">
        <v>2412</v>
      </c>
    </row>
    <row r="41" spans="1:7" s="258" customFormat="1" ht="13.5" customHeight="1">
      <c r="A41" s="299" t="s">
        <v>2413</v>
      </c>
      <c r="B41" s="254" t="s">
        <v>2414</v>
      </c>
      <c r="C41" s="276">
        <f ca="1">ROUND(SUM(C42:C43),0)</f>
        <v>18</v>
      </c>
      <c r="D41" s="279">
        <f ca="1">C44</f>
        <v>1E-4</v>
      </c>
      <c r="E41" s="280" t="s">
        <v>2411</v>
      </c>
      <c r="F41" s="281"/>
      <c r="G41" s="278" t="str">
        <f>IF('数据-取费表'!B22&lt;=1,"单利计息","复利计息")</f>
        <v>复利计息</v>
      </c>
    </row>
    <row r="42" spans="1:7" ht="13.5" customHeight="1">
      <c r="A42" s="954" t="s">
        <v>791</v>
      </c>
      <c r="B42" s="259" t="s">
        <v>2415</v>
      </c>
      <c r="C42" s="282">
        <f ca="1">ROUND(IF('数据-取费表'!B22&lt;=1,C33*F22*'数据-取费表'!B21/2,C33*(POWER((1+F22),'数据-取费表'!B21/2)-1)),0)</f>
        <v>18</v>
      </c>
      <c r="D42" s="282"/>
      <c r="E42" s="282"/>
      <c r="F42" s="283"/>
      <c r="G42" s="3174" t="s">
        <v>2416</v>
      </c>
    </row>
    <row r="43" spans="1:7" ht="13.5" customHeight="1">
      <c r="A43" s="954" t="s">
        <v>792</v>
      </c>
      <c r="B43" s="259" t="s">
        <v>2417</v>
      </c>
      <c r="C43" s="282">
        <f ca="1">ROUND(IF('数据-取费表'!B22&lt;=1,C39*F22*'数据-取费表'!B21/2,C39*(POWER((1+F22),'数据-取费表'!B21/2)-1)),0)</f>
        <v>0</v>
      </c>
      <c r="D43" s="282"/>
      <c r="E43" s="282"/>
      <c r="F43" s="283"/>
      <c r="G43" s="3175"/>
    </row>
    <row r="44" spans="1:7" ht="13.5" customHeight="1">
      <c r="A44" s="954" t="s">
        <v>793</v>
      </c>
      <c r="B44" s="259" t="s">
        <v>2418</v>
      </c>
      <c r="C44" s="282">
        <f ca="1">ROUND(IF('数据-取费表'!B22&lt;=1,C40*F22*'数据-取费表'!B21/2,C40*(POWER((1+F22),'数据-取费表'!B21/2)-1)),4)</f>
        <v>1E-4</v>
      </c>
      <c r="D44" s="282"/>
      <c r="E44" s="282"/>
      <c r="F44" s="283"/>
      <c r="G44" s="3176"/>
    </row>
    <row r="45" spans="1:7" s="258" customFormat="1" ht="13.5" customHeight="1">
      <c r="A45" s="299" t="s">
        <v>2419</v>
      </c>
      <c r="B45" s="288" t="s">
        <v>2385</v>
      </c>
      <c r="C45" s="289">
        <f ca="1">C46</f>
        <v>1240</v>
      </c>
      <c r="D45" s="279">
        <f ca="1">C47</f>
        <v>5.0000000000000001E-3</v>
      </c>
      <c r="E45" s="280" t="s">
        <v>2411</v>
      </c>
      <c r="F45" s="290"/>
      <c r="G45" s="291" t="s">
        <v>2420</v>
      </c>
    </row>
    <row r="46" spans="1:7" s="258" customFormat="1" ht="13.5" customHeight="1">
      <c r="A46" s="954" t="s">
        <v>791</v>
      </c>
      <c r="B46" s="292" t="s">
        <v>2421</v>
      </c>
      <c r="C46" s="293">
        <f ca="1">ROUND((C33+C39)*F27,0)</f>
        <v>1240</v>
      </c>
      <c r="D46" s="307"/>
      <c r="E46" s="280"/>
      <c r="F46" s="290"/>
      <c r="G46" s="291"/>
    </row>
    <row r="47" spans="1:7" s="258" customFormat="1" ht="13.5" customHeight="1">
      <c r="A47" s="954" t="s">
        <v>792</v>
      </c>
      <c r="B47" s="292" t="s">
        <v>2422</v>
      </c>
      <c r="C47" s="282">
        <f ca="1">ROUND(C40*F27,4)</f>
        <v>5.0000000000000001E-3</v>
      </c>
      <c r="D47" s="307"/>
      <c r="E47" s="280"/>
      <c r="F47" s="290"/>
      <c r="G47" s="291"/>
    </row>
    <row r="48" spans="1:7" s="258" customFormat="1" ht="13.5" customHeight="1">
      <c r="A48" s="299" t="s">
        <v>2384</v>
      </c>
      <c r="B48" s="254" t="s">
        <v>2423</v>
      </c>
      <c r="C48" s="1730">
        <f>ROUND(F30/(1+'数据-取费表'!C42),4)</f>
        <v>5.33E-2</v>
      </c>
      <c r="D48" s="280" t="s">
        <v>2411</v>
      </c>
      <c r="E48" s="276"/>
      <c r="F48" s="281"/>
      <c r="G48" s="278" t="s">
        <v>2424</v>
      </c>
    </row>
    <row r="49" spans="1:7" ht="16.5" customHeight="1">
      <c r="A49" s="299" t="s">
        <v>2390</v>
      </c>
      <c r="B49" s="254" t="s">
        <v>2425</v>
      </c>
      <c r="C49" s="276">
        <f ca="1">ROUND((C33+C39+C41+C45)/(1-C40-D41-D45-C48),0)</f>
        <v>6748</v>
      </c>
      <c r="D49" s="276"/>
      <c r="E49" s="276"/>
      <c r="F49" s="308"/>
      <c r="G49" s="278" t="s">
        <v>2426</v>
      </c>
    </row>
    <row r="50" spans="1:7" s="302" customFormat="1" ht="24">
      <c r="A50" s="299" t="s">
        <v>2427</v>
      </c>
      <c r="B50" s="254" t="s">
        <v>2428</v>
      </c>
      <c r="C50" s="276"/>
      <c r="D50" s="276"/>
      <c r="E50" s="276"/>
      <c r="F50" s="308">
        <f>IF('数据-取费表'!B24=0,'数据-取费表'!N16,1)</f>
        <v>1</v>
      </c>
      <c r="G50" s="291" t="s">
        <v>2429</v>
      </c>
    </row>
    <row r="51" spans="1:7" ht="16.5" customHeight="1">
      <c r="A51" s="299" t="s">
        <v>2430</v>
      </c>
      <c r="B51" s="254" t="s">
        <v>2431</v>
      </c>
      <c r="C51" s="276">
        <f ca="1">ROUND(C49*F50,0)</f>
        <v>6748</v>
      </c>
      <c r="D51" s="276"/>
      <c r="E51" s="276"/>
      <c r="F51" s="308"/>
      <c r="G51" s="278" t="s">
        <v>2432</v>
      </c>
    </row>
    <row r="52" spans="1:7" s="252" customFormat="1" ht="16.5" thickBot="1">
      <c r="A52" s="309" t="s">
        <v>2433</v>
      </c>
      <c r="B52" s="310"/>
      <c r="C52" s="311">
        <f ca="1">C31+C51</f>
        <v>55677</v>
      </c>
      <c r="D52" s="310"/>
      <c r="E52" s="310"/>
      <c r="F52" s="310"/>
      <c r="G52" s="312"/>
    </row>
    <row r="55" spans="1:7" ht="15">
      <c r="B55" s="314" t="s">
        <v>2434</v>
      </c>
      <c r="C55" s="315"/>
    </row>
    <row r="56" spans="1:7">
      <c r="B56" s="317" t="s">
        <v>1514</v>
      </c>
      <c r="C56" s="319">
        <f ca="1">1-C57</f>
        <v>0.879</v>
      </c>
    </row>
    <row r="57" spans="1:7">
      <c r="B57" s="317" t="s">
        <v>1515</v>
      </c>
      <c r="C57" s="318">
        <f ca="1">ROUND(C51/C52,3)</f>
        <v>0.121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2333</v>
      </c>
      <c r="B1" s="1939"/>
      <c r="C1" s="2553" t="s">
        <v>2435</v>
      </c>
      <c r="D1" s="242"/>
      <c r="E1" s="242"/>
      <c r="F1" s="242"/>
      <c r="G1" s="1382">
        <f>MATCH(B1,'数据-取费表'!A6:A16,0)+5</f>
        <v>9</v>
      </c>
      <c r="H1" s="1285" t="str">
        <f>IF(ISERROR(FIND("住宅",B1)),"非住宅","住宅")</f>
        <v>非住宅</v>
      </c>
    </row>
    <row r="2" spans="1:8" s="244" customFormat="1" ht="18" customHeight="1">
      <c r="A2" s="245" t="s">
        <v>2334</v>
      </c>
      <c r="B2" s="246">
        <f ca="1">ROUND(IF(D2="——",C52/10000,C52/10000-E2),0)</f>
        <v>155052</v>
      </c>
      <c r="C2" s="243" t="s">
        <v>2335</v>
      </c>
      <c r="D2" s="2547" t="s">
        <v>70</v>
      </c>
      <c r="E2" s="1443" t="e">
        <f ca="1">SUMIF(INDIRECT("'"&amp;G2&amp;"'"&amp;"!A:A"),"承租人权益价值",INDIRECT("'"&amp;G2&amp;"'"&amp;"!c:c"))</f>
        <v>#REF!</v>
      </c>
      <c r="F2" s="2548" t="s">
        <v>2335</v>
      </c>
      <c r="G2" s="2549"/>
    </row>
    <row r="3" spans="1:8" s="244" customFormat="1" ht="18" customHeight="1" thickBot="1">
      <c r="A3" s="247" t="s">
        <v>2336</v>
      </c>
      <c r="B3" s="248">
        <f ca="1">ROUND(B2*10000/(IF(B1="",'数据-汇总表'!E3,INDIRECT("'数据-取费表'!k"&amp;$G$1))),0)</f>
        <v>5226</v>
      </c>
      <c r="C3" s="243" t="s">
        <v>2337</v>
      </c>
      <c r="D3" s="243"/>
      <c r="E3" s="243"/>
      <c r="F3" s="243"/>
      <c r="G3" s="243"/>
    </row>
    <row r="4" spans="1:8" s="252" customFormat="1" ht="15.75">
      <c r="A4" s="249" t="s">
        <v>2338</v>
      </c>
      <c r="B4" s="250"/>
      <c r="C4" s="250"/>
      <c r="D4" s="250"/>
      <c r="E4" s="250"/>
      <c r="F4" s="250"/>
      <c r="G4" s="251"/>
    </row>
    <row r="5" spans="1:8" s="258" customFormat="1" ht="13.5" customHeight="1">
      <c r="A5" s="299" t="s">
        <v>2339</v>
      </c>
      <c r="B5" s="254" t="s">
        <v>2340</v>
      </c>
      <c r="C5" s="255">
        <f ca="1">C6+C7+C8</f>
        <v>44505383</v>
      </c>
      <c r="D5" s="255" t="s">
        <v>2341</v>
      </c>
      <c r="E5" s="256" t="s">
        <v>2342</v>
      </c>
      <c r="F5" s="256" t="s">
        <v>2343</v>
      </c>
      <c r="G5" s="257"/>
    </row>
    <row r="6" spans="1:8" s="258" customFormat="1" ht="13.5" customHeight="1">
      <c r="A6" s="952" t="s">
        <v>2344</v>
      </c>
      <c r="B6" s="259" t="s">
        <v>2345</v>
      </c>
      <c r="C6" s="260"/>
      <c r="D6" s="261"/>
      <c r="E6" s="262"/>
      <c r="F6" s="262"/>
      <c r="G6" s="263"/>
    </row>
    <row r="7" spans="1:8" s="258" customFormat="1" ht="13.5" customHeight="1">
      <c r="A7" s="952" t="s">
        <v>2346</v>
      </c>
      <c r="B7" s="259" t="s">
        <v>2347</v>
      </c>
      <c r="C7" s="264">
        <f>ROUND(C6*F7,0)</f>
        <v>0</v>
      </c>
      <c r="D7" s="264"/>
      <c r="E7" s="262"/>
      <c r="F7" s="265">
        <f>'数据-取费表'!B48+'数据-取费表'!B49</f>
        <v>3.0499999999999999E-2</v>
      </c>
      <c r="G7" s="263"/>
    </row>
    <row r="8" spans="1:8" s="267" customFormat="1">
      <c r="A8" s="952" t="s">
        <v>2348</v>
      </c>
      <c r="B8" s="259" t="s">
        <v>2349</v>
      </c>
      <c r="C8" s="264">
        <f ca="1">IF(G8="已包含在土地购买价格中",0,C9+C10)</f>
        <v>44505383</v>
      </c>
      <c r="D8" s="266"/>
      <c r="E8" s="264"/>
      <c r="F8" s="265"/>
      <c r="G8" s="2550"/>
    </row>
    <row r="9" spans="1:8" s="258" customFormat="1" ht="13.5" customHeight="1">
      <c r="A9" s="953" t="s">
        <v>800</v>
      </c>
      <c r="B9" s="268" t="s">
        <v>2350</v>
      </c>
      <c r="C9" s="269">
        <f ca="1">ROUND(D9*E9,0)</f>
        <v>34157136</v>
      </c>
      <c r="D9" s="1035">
        <f ca="1">IF(B1="",'数据-汇总表'!E5,IF(INDIRECT("'数据-取费表'!c"&amp;$G$1)="住宅",INDIRECT("'数据-取费表'!k"&amp;$G$1),0))</f>
        <v>227714.24</v>
      </c>
      <c r="E9" s="269">
        <f>'数据-取费表'!B27</f>
        <v>150</v>
      </c>
      <c r="F9" s="265"/>
      <c r="G9" s="270"/>
    </row>
    <row r="10" spans="1:8" s="258" customFormat="1" ht="13.5" customHeight="1">
      <c r="A10" s="953" t="s">
        <v>801</v>
      </c>
      <c r="B10" s="268" t="s">
        <v>2352</v>
      </c>
      <c r="C10" s="269">
        <f ca="1">ROUND(D10*E10,0)</f>
        <v>10348247</v>
      </c>
      <c r="D10" s="1035">
        <f ca="1">IF(B1="",'数据-汇总表'!E6,IF(INDIRECT("'数据-取费表'!c"&amp;$G$1)="住宅",INDIRECT("'数据-取费表'!s"&amp;$G$1),INDIRECT("'数据-取费表'!k"&amp;$G$1)+INDIRECT("'数据-取费表'!s"&amp;$G$1)))</f>
        <v>68988.310000000056</v>
      </c>
      <c r="E10" s="269">
        <f>'数据-取费表'!B28</f>
        <v>150</v>
      </c>
      <c r="F10" s="265"/>
      <c r="G10" s="270"/>
    </row>
    <row r="11" spans="1:8" s="258" customFormat="1" ht="13.5" hidden="1" customHeight="1">
      <c r="A11" s="271" t="s">
        <v>7</v>
      </c>
      <c r="B11" s="259" t="s">
        <v>2353</v>
      </c>
      <c r="C11" s="255"/>
      <c r="D11" s="1037"/>
      <c r="E11" s="262"/>
      <c r="F11" s="262"/>
      <c r="G11" s="263"/>
    </row>
    <row r="12" spans="1:8" s="258" customFormat="1" ht="13.5" hidden="1" customHeight="1">
      <c r="A12" s="271" t="s">
        <v>8</v>
      </c>
      <c r="B12" s="259" t="s">
        <v>2436</v>
      </c>
      <c r="C12" s="255">
        <v>0</v>
      </c>
      <c r="D12" s="1037"/>
      <c r="E12" s="272"/>
      <c r="F12" s="265">
        <v>3.0499999999999999E-2</v>
      </c>
      <c r="G12" s="263"/>
    </row>
    <row r="13" spans="1:8" s="258" customFormat="1" ht="13.5" hidden="1" customHeight="1">
      <c r="A13" s="271" t="s">
        <v>9</v>
      </c>
      <c r="B13" s="259" t="s">
        <v>2437</v>
      </c>
      <c r="C13" s="255"/>
      <c r="D13" s="1037"/>
      <c r="E13" s="262"/>
      <c r="F13" s="262"/>
      <c r="G13" s="263"/>
    </row>
    <row r="14" spans="1:8" s="258" customFormat="1" ht="13.5" hidden="1" customHeight="1">
      <c r="A14" s="271" t="s">
        <v>10</v>
      </c>
      <c r="B14" s="259" t="s">
        <v>2349</v>
      </c>
      <c r="C14" s="255"/>
      <c r="D14" s="1037"/>
      <c r="E14" s="262"/>
      <c r="F14" s="262"/>
      <c r="G14" s="263" t="s">
        <v>2438</v>
      </c>
    </row>
    <row r="15" spans="1:8" s="258" customFormat="1" ht="13.5" hidden="1" customHeight="1">
      <c r="A15" s="271" t="s">
        <v>11</v>
      </c>
      <c r="B15" s="259" t="s">
        <v>2439</v>
      </c>
      <c r="C15" s="264"/>
      <c r="D15" s="1037"/>
      <c r="E15" s="262"/>
      <c r="F15" s="262"/>
      <c r="G15" s="263" t="s">
        <v>2440</v>
      </c>
    </row>
    <row r="16" spans="1:8" s="258" customFormat="1" ht="13.5" hidden="1" customHeight="1">
      <c r="A16" s="271" t="s">
        <v>12</v>
      </c>
      <c r="B16" s="259" t="s">
        <v>2349</v>
      </c>
      <c r="C16" s="264"/>
      <c r="D16" s="1037"/>
      <c r="E16" s="262"/>
      <c r="F16" s="262"/>
      <c r="G16" s="263"/>
    </row>
    <row r="17" spans="1:7" s="258" customFormat="1" ht="13.5" hidden="1" customHeight="1">
      <c r="A17" s="271" t="s">
        <v>13</v>
      </c>
      <c r="B17" s="259" t="s">
        <v>2441</v>
      </c>
      <c r="C17" s="273"/>
      <c r="D17" s="1038"/>
      <c r="E17" s="273"/>
      <c r="F17" s="273"/>
      <c r="G17" s="263" t="s">
        <v>2440</v>
      </c>
    </row>
    <row r="18" spans="1:7" s="258" customFormat="1" ht="13.5" hidden="1" customHeight="1">
      <c r="A18" s="271" t="s">
        <v>14</v>
      </c>
      <c r="B18" s="259" t="s">
        <v>2442</v>
      </c>
      <c r="C18" s="264">
        <v>0</v>
      </c>
      <c r="D18" s="1037"/>
      <c r="E18" s="262"/>
      <c r="F18" s="265">
        <v>3.0499999999999999E-2</v>
      </c>
      <c r="G18" s="263" t="s">
        <v>2443</v>
      </c>
    </row>
    <row r="19" spans="1:7" s="267" customFormat="1" ht="13.5" customHeight="1">
      <c r="A19" s="299" t="s">
        <v>2444</v>
      </c>
      <c r="B19" s="254" t="s">
        <v>2445</v>
      </c>
      <c r="C19" s="255">
        <f ca="1">IF(G19="已包含在土地取得成本中","0",ROUND(D19*E19,0))</f>
        <v>59340510</v>
      </c>
      <c r="D19" s="1039">
        <f ca="1">D9+D10</f>
        <v>296702.55000000005</v>
      </c>
      <c r="E19" s="255">
        <f>'数据-取费表'!B31</f>
        <v>200</v>
      </c>
      <c r="F19" s="275"/>
      <c r="G19" s="2550"/>
    </row>
    <row r="20" spans="1:7" s="258" customFormat="1" ht="13.5" customHeight="1">
      <c r="A20" s="299" t="s">
        <v>2446</v>
      </c>
      <c r="B20" s="254" t="s">
        <v>2447</v>
      </c>
      <c r="C20" s="276">
        <f ca="1">ROUND((C5+C19)*F20,0)</f>
        <v>2076918</v>
      </c>
      <c r="D20" s="276"/>
      <c r="E20" s="276"/>
      <c r="F20" s="277">
        <f>'数据-取费表'!B37</f>
        <v>0.02</v>
      </c>
      <c r="G20" s="278" t="s">
        <v>2448</v>
      </c>
    </row>
    <row r="21" spans="1:7" s="258" customFormat="1" ht="13.5" customHeight="1">
      <c r="A21" s="299" t="s">
        <v>2449</v>
      </c>
      <c r="B21" s="254" t="s">
        <v>2450</v>
      </c>
      <c r="C21" s="279">
        <f>F21</f>
        <v>0.02</v>
      </c>
      <c r="D21" s="280" t="s">
        <v>2451</v>
      </c>
      <c r="E21" s="276"/>
      <c r="F21" s="277">
        <f>'数据-取费表'!B38</f>
        <v>0.02</v>
      </c>
      <c r="G21" s="278" t="s">
        <v>2452</v>
      </c>
    </row>
    <row r="22" spans="1:7" s="258" customFormat="1" ht="13.5" customHeight="1">
      <c r="A22" s="299" t="s">
        <v>2453</v>
      </c>
      <c r="B22" s="254" t="s">
        <v>2454</v>
      </c>
      <c r="C22" s="1383">
        <f ca="1">ROUND(SUM(C23:C25),0)</f>
        <v>15661800</v>
      </c>
      <c r="D22" s="279">
        <f ca="1">C26</f>
        <v>1.4E-3</v>
      </c>
      <c r="E22" s="280" t="s">
        <v>2451</v>
      </c>
      <c r="F22" s="281">
        <f ca="1">'数据-取费表'!B40</f>
        <v>4.7500000000000001E-2</v>
      </c>
      <c r="G22" s="278" t="str">
        <f>IF('数据-取费表'!B22&lt;=1,"单利计息","复利计息")</f>
        <v>复利计息</v>
      </c>
    </row>
    <row r="23" spans="1:7" s="258" customFormat="1" ht="13.5" customHeight="1">
      <c r="A23" s="954" t="s">
        <v>2344</v>
      </c>
      <c r="B23" s="259" t="s">
        <v>2455</v>
      </c>
      <c r="C23" s="1384">
        <f ca="1">ROUND(IF('数据-取费表'!B22&lt;=1,C5*F22*'数据-取费表'!B22,C5*(POWER((1+F22),'数据-取费表'!B22)-1)),0)</f>
        <v>6648033</v>
      </c>
      <c r="D23" s="282"/>
      <c r="E23" s="282"/>
      <c r="F23" s="283"/>
      <c r="G23" s="284" t="s">
        <v>2456</v>
      </c>
    </row>
    <row r="24" spans="1:7" s="258" customFormat="1" ht="13.5" customHeight="1">
      <c r="A24" s="954" t="s">
        <v>2346</v>
      </c>
      <c r="B24" s="259" t="s">
        <v>2457</v>
      </c>
      <c r="C24" s="1384">
        <f ca="1">ROUND(IF('数据-取费表'!B22&lt;=1,C19*F22*('数据-取费表'!B19/2+'数据-取费表'!B20),C19*(POWER((1+F22),('数据-取费表'!B19/2+'数据-取费表'!B20))-1)),0)</f>
        <v>8864043</v>
      </c>
      <c r="D24" s="282"/>
      <c r="E24" s="282"/>
      <c r="F24" s="283"/>
      <c r="G24" s="284" t="s">
        <v>2458</v>
      </c>
    </row>
    <row r="25" spans="1:7" s="258" customFormat="1" ht="24">
      <c r="A25" s="954" t="s">
        <v>2348</v>
      </c>
      <c r="B25" s="259" t="s">
        <v>2459</v>
      </c>
      <c r="C25" s="1384">
        <f ca="1">ROUND(IF('数据-取费表'!B22&lt;=1,C20*F22*'数据-取费表'!B22/2,C20*(POWER((1+F22),'数据-取费表'!B22/2)-1)),0)</f>
        <v>149724</v>
      </c>
      <c r="D25" s="282"/>
      <c r="E25" s="285"/>
      <c r="F25" s="283"/>
      <c r="G25" s="286" t="s">
        <v>2460</v>
      </c>
    </row>
    <row r="26" spans="1:7" s="258" customFormat="1">
      <c r="A26" s="954" t="s">
        <v>795</v>
      </c>
      <c r="B26" s="259" t="s">
        <v>2383</v>
      </c>
      <c r="C26" s="282">
        <f ca="1">ROUND(IF('数据-取费表'!B22&lt;=1,F21*F22*'数据-取费表'!B22/2,F21*(POWER((1+F22),'数据-取费表'!B22/2)-1)),4)</f>
        <v>1.4E-3</v>
      </c>
      <c r="D26" s="282"/>
      <c r="E26" s="285"/>
      <c r="F26" s="283"/>
      <c r="G26" s="287"/>
    </row>
    <row r="27" spans="1:7" s="258" customFormat="1" ht="24.75">
      <c r="A27" s="299" t="s">
        <v>2384</v>
      </c>
      <c r="B27" s="288" t="s">
        <v>2385</v>
      </c>
      <c r="C27" s="289">
        <f ca="1">C28</f>
        <v>26480703</v>
      </c>
      <c r="D27" s="279">
        <f ca="1">C29</f>
        <v>5.0000000000000001E-3</v>
      </c>
      <c r="E27" s="280" t="s">
        <v>2386</v>
      </c>
      <c r="F27" s="290">
        <f ca="1">IF(B1="",'数据-取费表'!Q16,INDIRECT("'数据-取费表'!q"&amp;$G$1))</f>
        <v>0.25</v>
      </c>
      <c r="G27" s="291" t="s">
        <v>2387</v>
      </c>
    </row>
    <row r="28" spans="1:7" s="258" customFormat="1" ht="13.5" customHeight="1">
      <c r="A28" s="954" t="s">
        <v>791</v>
      </c>
      <c r="B28" s="292" t="s">
        <v>2388</v>
      </c>
      <c r="C28" s="293">
        <f ca="1">ROUND((C5+C19+C20)*F27,0)</f>
        <v>26480703</v>
      </c>
      <c r="D28" s="279"/>
      <c r="E28" s="280"/>
      <c r="F28" s="290"/>
      <c r="G28" s="291"/>
    </row>
    <row r="29" spans="1:7" s="258" customFormat="1" ht="13.5" customHeight="1">
      <c r="A29" s="954" t="s">
        <v>792</v>
      </c>
      <c r="B29" s="292" t="s">
        <v>2389</v>
      </c>
      <c r="C29" s="282">
        <f ca="1">ROUND(C21*F27,4)</f>
        <v>5.0000000000000001E-3</v>
      </c>
      <c r="D29" s="279"/>
      <c r="E29" s="280"/>
      <c r="F29" s="290"/>
      <c r="G29" s="291"/>
    </row>
    <row r="30" spans="1:7" s="258" customFormat="1" ht="13.5" customHeight="1">
      <c r="A30" s="299" t="s">
        <v>2390</v>
      </c>
      <c r="B30" s="254" t="s">
        <v>2391</v>
      </c>
      <c r="C30" s="279">
        <f>ROUND(F30/(1+'数据-取费表'!C42),4)</f>
        <v>5.33E-2</v>
      </c>
      <c r="D30" s="280" t="s">
        <v>2386</v>
      </c>
      <c r="E30" s="285"/>
      <c r="F30" s="281">
        <f>'数据-取费表'!B41</f>
        <v>5.6000000000000001E-2</v>
      </c>
      <c r="G30" s="278" t="s">
        <v>2392</v>
      </c>
    </row>
    <row r="31" spans="1:7" ht="16.5" customHeight="1">
      <c r="A31" s="253">
        <v>1</v>
      </c>
      <c r="B31" s="254" t="s">
        <v>2393</v>
      </c>
      <c r="C31" s="255">
        <f ca="1">ROUND((C5+C19+C20+C22+C27)/(1-C21-D22-D27-C30),0)</f>
        <v>160888095</v>
      </c>
      <c r="D31" s="274"/>
      <c r="E31" s="255"/>
      <c r="F31" s="294"/>
      <c r="G31" s="278" t="s">
        <v>2394</v>
      </c>
    </row>
    <row r="32" spans="1:7" s="252" customFormat="1" ht="15.75">
      <c r="A32" s="296" t="s">
        <v>2461</v>
      </c>
      <c r="B32" s="297"/>
      <c r="C32" s="297"/>
      <c r="D32" s="297"/>
      <c r="E32" s="297"/>
      <c r="F32" s="297"/>
      <c r="G32" s="298"/>
    </row>
    <row r="33" spans="1:7" s="258" customFormat="1" ht="13.5" customHeight="1">
      <c r="A33" s="299" t="s">
        <v>782</v>
      </c>
      <c r="B33" s="254" t="s">
        <v>2462</v>
      </c>
      <c r="C33" s="300">
        <f ca="1">SUM(C34:C38)</f>
        <v>948347516</v>
      </c>
      <c r="D33" s="276"/>
      <c r="E33" s="256"/>
      <c r="F33" s="285"/>
      <c r="G33" s="278"/>
    </row>
    <row r="34" spans="1:7" s="302" customFormat="1" ht="13.5" customHeight="1">
      <c r="A34" s="954" t="s">
        <v>791</v>
      </c>
      <c r="B34" s="259" t="s">
        <v>2397</v>
      </c>
      <c r="C34" s="264">
        <f ca="1">ROUND(IF(B1="",SUMPRODUCT('数据-取费表'!K6:K14,'数据-取费表'!L6:L14),INDIRECT("'数据-取费表'!l"&amp;$G$1)*INDIRECT("'数据-取费表'!k"&amp;$G$1)+'数据-取费表'!L14*INDIRECT("'数据-取费表'!S"&amp;$G$1)),0)</f>
        <v>774879830</v>
      </c>
      <c r="D34" s="261"/>
      <c r="E34" s="264"/>
      <c r="F34" s="301"/>
      <c r="G34" s="263"/>
    </row>
    <row r="35" spans="1:7" ht="13.5" customHeight="1">
      <c r="A35" s="954" t="s">
        <v>796</v>
      </c>
      <c r="B35" s="259" t="s">
        <v>2399</v>
      </c>
      <c r="C35" s="264">
        <f ca="1">ROUND(C34*F35,0)</f>
        <v>38743992</v>
      </c>
      <c r="D35" s="264"/>
      <c r="E35" s="264"/>
      <c r="F35" s="303">
        <f>'数据-取费表'!B33</f>
        <v>0.05</v>
      </c>
      <c r="G35" s="263" t="s">
        <v>2400</v>
      </c>
    </row>
    <row r="36" spans="1:7" ht="24">
      <c r="A36" s="954" t="s">
        <v>797</v>
      </c>
      <c r="B36" s="259" t="s">
        <v>2401</v>
      </c>
      <c r="C36" s="264">
        <f ca="1">ROUND(IF(B1="",SUM('数据-取费表'!AP6:AP13)*F36,IF(INDIRECT("'数据-取费表'!c"&amp;$G$1)="住宅",INDIRECT("'数据-取费表'!k"&amp;$G$1)*INDIRECT("'数据-取费表'!l"&amp;$G$1)*F36,0)),0)</f>
        <v>63759987</v>
      </c>
      <c r="D36" s="264"/>
      <c r="E36" s="264"/>
      <c r="F36" s="303">
        <f>'数据-取费表'!B34</f>
        <v>0.1</v>
      </c>
      <c r="G36" s="304" t="s">
        <v>2402</v>
      </c>
    </row>
    <row r="37" spans="1:7" s="302" customFormat="1" ht="13.5" customHeight="1">
      <c r="A37" s="954" t="s">
        <v>798</v>
      </c>
      <c r="B37" s="259" t="s">
        <v>2403</v>
      </c>
      <c r="C37" s="293">
        <f ca="1">ROUND(E37*D37,0)</f>
        <v>59340510</v>
      </c>
      <c r="D37" s="261">
        <f ca="1">D19</f>
        <v>296702.55000000005</v>
      </c>
      <c r="E37" s="293">
        <f>'数据-取费表'!B35</f>
        <v>200</v>
      </c>
      <c r="F37" s="303"/>
      <c r="G37" s="305"/>
    </row>
    <row r="38" spans="1:7" ht="13.5" customHeight="1">
      <c r="A38" s="954" t="s">
        <v>799</v>
      </c>
      <c r="B38" s="259" t="s">
        <v>2405</v>
      </c>
      <c r="C38" s="264">
        <f ca="1">ROUND(C34*F38,0)</f>
        <v>11623197</v>
      </c>
      <c r="D38" s="264"/>
      <c r="E38" s="264"/>
      <c r="F38" s="303">
        <f>'数据-取费表'!B36</f>
        <v>1.4999999999999999E-2</v>
      </c>
      <c r="G38" s="263" t="s">
        <v>2400</v>
      </c>
    </row>
    <row r="39" spans="1:7" s="258" customFormat="1" ht="13.5" customHeight="1">
      <c r="A39" s="299" t="s">
        <v>2406</v>
      </c>
      <c r="B39" s="254" t="s">
        <v>2407</v>
      </c>
      <c r="C39" s="276">
        <f ca="1">ROUND(C33*F20,0)</f>
        <v>18966950</v>
      </c>
      <c r="D39" s="276"/>
      <c r="E39" s="276"/>
      <c r="F39" s="277"/>
      <c r="G39" s="278" t="s">
        <v>2408</v>
      </c>
    </row>
    <row r="40" spans="1:7" s="258" customFormat="1" ht="13.5" customHeight="1">
      <c r="A40" s="299" t="s">
        <v>2409</v>
      </c>
      <c r="B40" s="254" t="s">
        <v>2410</v>
      </c>
      <c r="C40" s="1730">
        <f>F21</f>
        <v>0.02</v>
      </c>
      <c r="D40" s="280" t="s">
        <v>2411</v>
      </c>
      <c r="E40" s="276"/>
      <c r="F40" s="277"/>
      <c r="G40" s="278" t="s">
        <v>2412</v>
      </c>
    </row>
    <row r="41" spans="1:7" s="258" customFormat="1" ht="13.5" customHeight="1">
      <c r="A41" s="299" t="s">
        <v>2413</v>
      </c>
      <c r="B41" s="254" t="s">
        <v>2414</v>
      </c>
      <c r="C41" s="276">
        <f ca="1">ROUND(SUM(C42:C43),0)</f>
        <v>69733228</v>
      </c>
      <c r="D41" s="279">
        <f ca="1">C44</f>
        <v>1.4E-3</v>
      </c>
      <c r="E41" s="280" t="s">
        <v>2411</v>
      </c>
      <c r="F41" s="281"/>
      <c r="G41" s="278" t="str">
        <f>IF('数据-取费表'!B22&lt;=1,"单利计息","复利计息")</f>
        <v>复利计息</v>
      </c>
    </row>
    <row r="42" spans="1:7" ht="13.5" customHeight="1">
      <c r="A42" s="954" t="s">
        <v>791</v>
      </c>
      <c r="B42" s="259" t="s">
        <v>2415</v>
      </c>
      <c r="C42" s="282">
        <f ca="1">ROUND(IF('数据-取费表'!B22&lt;=1,C33*F22*'数据-取费表'!B20/2,C33*(POWER((1+F22),'数据-取费表'!B20/2)-1)),0)</f>
        <v>68365910</v>
      </c>
      <c r="D42" s="282"/>
      <c r="E42" s="282"/>
      <c r="F42" s="283"/>
      <c r="G42" s="3174" t="s">
        <v>2463</v>
      </c>
    </row>
    <row r="43" spans="1:7" ht="13.5" customHeight="1">
      <c r="A43" s="954" t="s">
        <v>792</v>
      </c>
      <c r="B43" s="259" t="s">
        <v>2417</v>
      </c>
      <c r="C43" s="282">
        <f ca="1">ROUND(IF('数据-取费表'!B22&lt;=1,C39*F22*'数据-取费表'!B20/2,C39*(POWER((1+F22),'数据-取费表'!B20/2)-1)),0)</f>
        <v>1367318</v>
      </c>
      <c r="D43" s="282"/>
      <c r="E43" s="282"/>
      <c r="F43" s="283"/>
      <c r="G43" s="3175"/>
    </row>
    <row r="44" spans="1:7" ht="13.5" customHeight="1">
      <c r="A44" s="954" t="s">
        <v>793</v>
      </c>
      <c r="B44" s="259" t="s">
        <v>2418</v>
      </c>
      <c r="C44" s="282">
        <f ca="1">ROUND(IF('数据-取费表'!B22&lt;=1,C40*F22*'数据-取费表'!B20/2,C40*(POWER((1+F22),'数据-取费表'!B20/2)-1)),4)</f>
        <v>1.4E-3</v>
      </c>
      <c r="D44" s="282"/>
      <c r="E44" s="282"/>
      <c r="F44" s="283"/>
      <c r="G44" s="3176"/>
    </row>
    <row r="45" spans="1:7" s="258" customFormat="1" ht="13.5" customHeight="1">
      <c r="A45" s="299" t="s">
        <v>2419</v>
      </c>
      <c r="B45" s="288" t="s">
        <v>2385</v>
      </c>
      <c r="C45" s="289">
        <f ca="1">C46</f>
        <v>241828617</v>
      </c>
      <c r="D45" s="279">
        <f ca="1">C47</f>
        <v>5.0000000000000001E-3</v>
      </c>
      <c r="E45" s="280" t="s">
        <v>2411</v>
      </c>
      <c r="F45" s="290"/>
      <c r="G45" s="291" t="s">
        <v>2420</v>
      </c>
    </row>
    <row r="46" spans="1:7" s="258" customFormat="1" ht="13.5" customHeight="1">
      <c r="A46" s="954" t="s">
        <v>791</v>
      </c>
      <c r="B46" s="292" t="s">
        <v>2421</v>
      </c>
      <c r="C46" s="293">
        <f ca="1">ROUND((C33+C39)*F27,0)</f>
        <v>241828617</v>
      </c>
      <c r="D46" s="307"/>
      <c r="E46" s="280"/>
      <c r="F46" s="290"/>
      <c r="G46" s="291"/>
    </row>
    <row r="47" spans="1:7" s="258" customFormat="1" ht="13.5" customHeight="1">
      <c r="A47" s="954" t="s">
        <v>792</v>
      </c>
      <c r="B47" s="292" t="s">
        <v>2422</v>
      </c>
      <c r="C47" s="282">
        <f ca="1">ROUND(C40*F27,4)</f>
        <v>5.0000000000000001E-3</v>
      </c>
      <c r="D47" s="307"/>
      <c r="E47" s="280"/>
      <c r="F47" s="290"/>
      <c r="G47" s="291"/>
    </row>
    <row r="48" spans="1:7" s="258" customFormat="1" ht="13.5" customHeight="1">
      <c r="A48" s="299" t="s">
        <v>2384</v>
      </c>
      <c r="B48" s="254" t="s">
        <v>2423</v>
      </c>
      <c r="C48" s="306">
        <f>ROUND(F30/(1+'数据-取费表'!C42),4)</f>
        <v>5.33E-2</v>
      </c>
      <c r="D48" s="280" t="s">
        <v>2411</v>
      </c>
      <c r="E48" s="276"/>
      <c r="F48" s="281"/>
      <c r="G48" s="278" t="s">
        <v>2424</v>
      </c>
    </row>
    <row r="49" spans="1:7" ht="16.5" customHeight="1">
      <c r="A49" s="299" t="s">
        <v>2390</v>
      </c>
      <c r="B49" s="254" t="s">
        <v>2464</v>
      </c>
      <c r="C49" s="276">
        <f ca="1">ROUND((C33+C39+C41+C45)/(1-C40-D41-D45-C48),0)</f>
        <v>1389629807</v>
      </c>
      <c r="D49" s="276"/>
      <c r="E49" s="276"/>
      <c r="F49" s="308"/>
      <c r="G49" s="278" t="s">
        <v>2426</v>
      </c>
    </row>
    <row r="50" spans="1:7" s="302" customFormat="1">
      <c r="A50" s="299" t="s">
        <v>2427</v>
      </c>
      <c r="B50" s="254" t="s">
        <v>2428</v>
      </c>
      <c r="C50" s="276"/>
      <c r="D50" s="276"/>
      <c r="E50" s="276"/>
      <c r="F50" s="308">
        <f>IF('数据-取费表'!B24=0,'数据-取费表'!N16,1)</f>
        <v>1</v>
      </c>
      <c r="G50" s="291"/>
    </row>
    <row r="51" spans="1:7" ht="16.5" customHeight="1">
      <c r="A51" s="299" t="s">
        <v>2430</v>
      </c>
      <c r="B51" s="254" t="s">
        <v>2465</v>
      </c>
      <c r="C51" s="276">
        <f ca="1">ROUND(C49*F50,0)</f>
        <v>1389629807</v>
      </c>
      <c r="D51" s="276"/>
      <c r="E51" s="276"/>
      <c r="F51" s="308"/>
      <c r="G51" s="278" t="s">
        <v>2432</v>
      </c>
    </row>
    <row r="52" spans="1:7" s="252" customFormat="1" ht="16.5" thickBot="1">
      <c r="A52" s="309" t="s">
        <v>2433</v>
      </c>
      <c r="B52" s="310"/>
      <c r="C52" s="311">
        <f ca="1">C31+C51</f>
        <v>1550517902</v>
      </c>
      <c r="D52" s="310"/>
      <c r="E52" s="310"/>
      <c r="F52" s="310"/>
      <c r="G52" s="312"/>
    </row>
    <row r="55" spans="1:7" ht="15">
      <c r="B55" s="314" t="s">
        <v>2434</v>
      </c>
      <c r="C55" s="315"/>
    </row>
    <row r="56" spans="1:7">
      <c r="B56" s="317" t="s">
        <v>1514</v>
      </c>
      <c r="C56" s="319">
        <f ca="1">1-C57</f>
        <v>0.10399999999999998</v>
      </c>
    </row>
    <row r="57" spans="1:7">
      <c r="B57" s="317" t="s">
        <v>1515</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21" zoomScale="80" zoomScaleNormal="80" workbookViewId="0">
      <selection activeCell="M27" sqref="M2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2334</v>
      </c>
      <c r="B2" s="671">
        <f>F66</f>
        <v>37916</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2336</v>
      </c>
      <c r="B3" s="609">
        <f>ROUND(IF(D3="",B2*10000/'数据-汇总表'!E3,B2*10000/D3),0)</f>
        <v>1278</v>
      </c>
      <c r="C3" s="247" t="s">
        <v>2750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2649</v>
      </c>
      <c r="B4" s="402"/>
      <c r="C4" s="3195" t="s">
        <v>2650</v>
      </c>
      <c r="D4" s="3196"/>
      <c r="E4" s="3197" t="s">
        <v>2651</v>
      </c>
      <c r="F4" s="3198"/>
      <c r="G4" s="3195" t="s">
        <v>2652</v>
      </c>
      <c r="H4" s="3196"/>
      <c r="I4" s="3195" t="s">
        <v>2653</v>
      </c>
      <c r="J4" s="3196"/>
      <c r="K4" s="610" t="s">
        <v>2654</v>
      </c>
      <c r="L4" s="1133"/>
      <c r="M4" s="1134"/>
      <c r="N4" s="1134"/>
      <c r="O4" s="1134"/>
      <c r="P4" s="3199" t="s">
        <v>2655</v>
      </c>
      <c r="Q4" s="3200"/>
      <c r="R4" s="3182" t="s">
        <v>2651</v>
      </c>
      <c r="S4" s="3183"/>
      <c r="T4" s="3182" t="s">
        <v>2652</v>
      </c>
      <c r="U4" s="3183"/>
      <c r="V4" s="3207" t="s">
        <v>2653</v>
      </c>
      <c r="W4" s="3207"/>
      <c r="X4" s="1815"/>
      <c r="Y4" s="3182" t="s">
        <v>2655</v>
      </c>
      <c r="Z4" s="3183"/>
      <c r="AA4" s="3177" t="s">
        <v>2651</v>
      </c>
      <c r="AB4" s="3178" t="s">
        <v>2652</v>
      </c>
      <c r="AC4" s="3177" t="s">
        <v>2653</v>
      </c>
    </row>
    <row r="5" spans="1:30" ht="15">
      <c r="A5" s="404"/>
      <c r="B5" s="405"/>
      <c r="C5" s="3188" t="s">
        <v>2546</v>
      </c>
      <c r="D5" s="3189"/>
      <c r="E5" s="3186" t="str">
        <f>土地案例!A2</f>
        <v>文昌市文城镇清澜开发区高隆湾沿海地段</v>
      </c>
      <c r="F5" s="3187"/>
      <c r="G5" s="3188" t="str">
        <f>土地案例!A3</f>
        <v>文昌市文城镇清澜开发区高隆湾沿海地段</v>
      </c>
      <c r="H5" s="3189"/>
      <c r="I5" s="3188" t="str">
        <f>土地案例!A4</f>
        <v>文昌市文城镇清澜开发区北二环路东侧地段</v>
      </c>
      <c r="J5" s="3189"/>
      <c r="K5" s="610"/>
      <c r="L5" s="1133"/>
      <c r="M5" s="1134"/>
      <c r="N5" s="1134"/>
      <c r="O5" s="1134"/>
      <c r="P5" s="3201"/>
      <c r="Q5" s="3202"/>
      <c r="R5" s="3184"/>
      <c r="S5" s="3185"/>
      <c r="T5" s="3184"/>
      <c r="U5" s="3185"/>
      <c r="V5" s="3207"/>
      <c r="W5" s="3207"/>
      <c r="X5" s="1815"/>
      <c r="Y5" s="3184"/>
      <c r="Z5" s="3185"/>
      <c r="AA5" s="3178"/>
      <c r="AB5" s="3178"/>
      <c r="AC5" s="3178"/>
    </row>
    <row r="6" spans="1:30" ht="15.75" thickBot="1">
      <c r="A6" s="406"/>
      <c r="B6" s="407"/>
      <c r="C6" s="3190" t="s">
        <v>2550</v>
      </c>
      <c r="D6" s="3191"/>
      <c r="E6" s="3192" t="s">
        <v>2550</v>
      </c>
      <c r="F6" s="3193"/>
      <c r="G6" s="3190" t="s">
        <v>2550</v>
      </c>
      <c r="H6" s="3191"/>
      <c r="I6" s="3190" t="s">
        <v>2550</v>
      </c>
      <c r="J6" s="3191"/>
      <c r="K6" s="610" t="s">
        <v>2551</v>
      </c>
      <c r="L6" s="1133"/>
      <c r="M6" s="1134"/>
      <c r="N6" s="1134"/>
      <c r="O6" s="1134"/>
      <c r="P6" s="3203"/>
      <c r="Q6" s="3204"/>
      <c r="R6" s="3184"/>
      <c r="S6" s="3185"/>
      <c r="T6" s="3205"/>
      <c r="U6" s="3206"/>
      <c r="V6" s="3207"/>
      <c r="W6" s="3207"/>
      <c r="X6" s="1815"/>
      <c r="Y6" s="3205"/>
      <c r="Z6" s="3206"/>
      <c r="AA6" s="3179"/>
      <c r="AB6" s="3179"/>
      <c r="AC6" s="3179"/>
    </row>
    <row r="7" spans="1:30" s="117" customFormat="1" ht="15.75" thickBot="1">
      <c r="A7" s="408" t="s">
        <v>2552</v>
      </c>
      <c r="B7" s="409"/>
      <c r="C7" s="410">
        <f>'数据-取费表'!B2</f>
        <v>43186</v>
      </c>
      <c r="D7" s="411">
        <v>100</v>
      </c>
      <c r="E7" s="412" t="str">
        <f>土地案例!O2</f>
        <v>2016-01-27</v>
      </c>
      <c r="F7" s="413">
        <f>SUMIF(70:70,YEAR(E7)&amp;"-"&amp;INT((MONTH(E7)+2)/3),71:71)</f>
        <v>92</v>
      </c>
      <c r="G7" s="2693" t="str">
        <f>土地案例!O3</f>
        <v>2016-01-27</v>
      </c>
      <c r="H7" s="411">
        <f>SUMIF(70:70,YEAR(G7)&amp;"-"&amp;INT((MONTH(G7)+2)/3),71:71)</f>
        <v>92</v>
      </c>
      <c r="I7" s="2693" t="str">
        <f>土地案例!O4</f>
        <v>2015-07-29</v>
      </c>
      <c r="J7" s="411">
        <f>SUMIF(70:70,YEAR(I7)&amp;"-"&amp;INT((MONTH(I7)+2)/3),71:71)</f>
        <v>90</v>
      </c>
      <c r="K7" s="611"/>
      <c r="L7" s="1135"/>
      <c r="M7" s="1136"/>
      <c r="N7" s="1136"/>
      <c r="O7" s="1136"/>
      <c r="P7" s="3180" t="s">
        <v>2553</v>
      </c>
      <c r="Q7" s="3208"/>
      <c r="R7" s="770" t="s">
        <v>17</v>
      </c>
      <c r="S7" s="771">
        <f t="shared" ref="S7:S15" si="0">F7</f>
        <v>92</v>
      </c>
      <c r="T7" s="770" t="s">
        <v>17</v>
      </c>
      <c r="U7" s="771">
        <f t="shared" ref="U7:U15" si="1">H7</f>
        <v>92</v>
      </c>
      <c r="V7" s="770" t="s">
        <v>17</v>
      </c>
      <c r="W7" s="771">
        <f t="shared" ref="W7:W15" si="2">J7</f>
        <v>90</v>
      </c>
      <c r="X7" s="772"/>
      <c r="Y7" s="3180" t="s">
        <v>2553</v>
      </c>
      <c r="Z7" s="3181"/>
      <c r="AA7" s="773">
        <f>D7/F7</f>
        <v>1.0869565217391304</v>
      </c>
      <c r="AB7" s="773">
        <f>D7/H7</f>
        <v>1.0869565217391304</v>
      </c>
      <c r="AC7" s="773">
        <f>D7/J7</f>
        <v>1.1111111111111112</v>
      </c>
    </row>
    <row r="8" spans="1:30" s="117" customFormat="1" ht="15.75" thickBot="1">
      <c r="A8" s="408" t="s">
        <v>2554</v>
      </c>
      <c r="B8" s="409"/>
      <c r="C8" s="414" t="s">
        <v>2555</v>
      </c>
      <c r="D8" s="411">
        <v>100</v>
      </c>
      <c r="E8" s="414" t="s">
        <v>2555</v>
      </c>
      <c r="F8" s="413">
        <f>SUMIF(73:73,E8,74:74)-SUMIF(73:73,C8,74:74)+100</f>
        <v>100</v>
      </c>
      <c r="G8" s="414" t="s">
        <v>2555</v>
      </c>
      <c r="H8" s="411">
        <f>SUMIF(73:73,G8,74:74)-SUMIF(73:73,C8,74:74)+100</f>
        <v>100</v>
      </c>
      <c r="I8" s="414" t="s">
        <v>2555</v>
      </c>
      <c r="J8" s="411">
        <f>SUMIF(73:73,I8,74:74)-SUMIF(73:73,C8,74:74)+100</f>
        <v>100</v>
      </c>
      <c r="K8" s="611"/>
      <c r="L8" s="1135"/>
      <c r="M8" s="1136"/>
      <c r="N8" s="1136"/>
      <c r="O8" s="1136"/>
      <c r="P8" s="3180" t="s">
        <v>2556</v>
      </c>
      <c r="Q8" s="3181"/>
      <c r="R8" s="770" t="s">
        <v>17</v>
      </c>
      <c r="S8" s="771">
        <f t="shared" si="0"/>
        <v>100</v>
      </c>
      <c r="T8" s="770" t="s">
        <v>17</v>
      </c>
      <c r="U8" s="771">
        <f t="shared" si="1"/>
        <v>100</v>
      </c>
      <c r="V8" s="770" t="s">
        <v>17</v>
      </c>
      <c r="W8" s="771">
        <f t="shared" si="2"/>
        <v>100</v>
      </c>
      <c r="X8" s="772"/>
      <c r="Y8" s="3180" t="s">
        <v>2556</v>
      </c>
      <c r="Z8" s="3181"/>
      <c r="AA8" s="773">
        <f t="shared" ref="AA8:AA45" si="3">D8/F8</f>
        <v>1</v>
      </c>
      <c r="AB8" s="773">
        <f t="shared" ref="AB8:AB45" si="4">D8/H8</f>
        <v>1</v>
      </c>
      <c r="AC8" s="773">
        <f t="shared" ref="AC8:AC45" si="5">D8/J8</f>
        <v>1</v>
      </c>
    </row>
    <row r="9" spans="1:30" s="117" customFormat="1">
      <c r="A9" s="415" t="s">
        <v>2557</v>
      </c>
      <c r="B9" s="71" t="s">
        <v>2558</v>
      </c>
      <c r="C9" s="2696" t="s">
        <v>3119</v>
      </c>
      <c r="D9" s="135">
        <v>100</v>
      </c>
      <c r="E9" s="2696" t="s">
        <v>3119</v>
      </c>
      <c r="F9" s="135">
        <f>SUMIF(75:75,E9,76:76)-SUMIF(75:75,C9,76:76)+100</f>
        <v>100</v>
      </c>
      <c r="G9" s="2696" t="s">
        <v>3119</v>
      </c>
      <c r="H9" s="135">
        <f>SUMIF(75:75,G9,76:76)-SUMIF(75:75,C9,76:76)+100</f>
        <v>100</v>
      </c>
      <c r="I9" s="2696" t="s">
        <v>3119</v>
      </c>
      <c r="J9" s="135">
        <f>SUMIF(75:75,I9,76:76)-SUMIF(75:75,C9,76:76)+100</f>
        <v>100</v>
      </c>
      <c r="K9" s="611"/>
      <c r="L9" s="1135"/>
      <c r="M9" s="1136"/>
      <c r="N9" s="1136"/>
      <c r="O9" s="1137"/>
      <c r="P9" s="3194" t="s">
        <v>2559</v>
      </c>
      <c r="Q9" s="1797" t="str">
        <f t="shared" ref="Q9:Q15" si="6">B9</f>
        <v>用途</v>
      </c>
      <c r="R9" s="770" t="s">
        <v>17</v>
      </c>
      <c r="S9" s="771">
        <f t="shared" si="0"/>
        <v>100</v>
      </c>
      <c r="T9" s="770" t="s">
        <v>17</v>
      </c>
      <c r="U9" s="771">
        <f t="shared" si="1"/>
        <v>100</v>
      </c>
      <c r="V9" s="770" t="s">
        <v>17</v>
      </c>
      <c r="W9" s="771">
        <f t="shared" si="2"/>
        <v>100</v>
      </c>
      <c r="X9" s="772"/>
      <c r="Y9" s="3040"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94"/>
      <c r="Q10" s="1797" t="str">
        <f t="shared" si="6"/>
        <v>土地使用年限（年）</v>
      </c>
      <c r="R10" s="770" t="s">
        <v>17</v>
      </c>
      <c r="S10" s="771">
        <f t="shared" si="0"/>
        <v>105</v>
      </c>
      <c r="T10" s="770" t="s">
        <v>17</v>
      </c>
      <c r="U10" s="771">
        <f t="shared" si="1"/>
        <v>105</v>
      </c>
      <c r="V10" s="770" t="s">
        <v>17</v>
      </c>
      <c r="W10" s="771">
        <f t="shared" si="2"/>
        <v>105</v>
      </c>
      <c r="X10" s="772"/>
      <c r="Y10" s="3040"/>
      <c r="Z10" s="55" t="str">
        <f t="shared" si="7"/>
        <v>土地使用年限（年）</v>
      </c>
      <c r="AA10" s="773">
        <f t="shared" si="3"/>
        <v>0.95238095238095233</v>
      </c>
      <c r="AB10" s="773">
        <f t="shared" si="4"/>
        <v>0.95238095238095233</v>
      </c>
      <c r="AC10" s="773">
        <f t="shared" si="5"/>
        <v>0.95238095238095233</v>
      </c>
    </row>
    <row r="11" spans="1:30" ht="15.75" thickBot="1">
      <c r="A11" s="428"/>
      <c r="B11" s="422" t="s">
        <v>2562</v>
      </c>
      <c r="C11" s="429">
        <f>'数据-汇总表'!I7</f>
        <v>1.49</v>
      </c>
      <c r="D11" s="136">
        <v>100</v>
      </c>
      <c r="E11" s="429">
        <v>1.617</v>
      </c>
      <c r="F11" s="136">
        <f>LOOKUP(E11,80:80,81:81)-LOOKUP(C11,80:80,81:81)+100</f>
        <v>95</v>
      </c>
      <c r="G11" s="430">
        <v>1.617</v>
      </c>
      <c r="H11" s="136">
        <f>LOOKUP(G11,80:80,81:81)-LOOKUP(C11,80:80,81:81)+100</f>
        <v>95</v>
      </c>
      <c r="I11" s="429">
        <v>1.5</v>
      </c>
      <c r="J11" s="136">
        <f>LOOKUP(I11,80:80,81:81)-LOOKUP(C11,80:80,81:81)+100</f>
        <v>95</v>
      </c>
      <c r="K11" s="673">
        <v>5</v>
      </c>
      <c r="L11" s="1141"/>
      <c r="M11" s="1134"/>
      <c r="N11" s="1134"/>
      <c r="O11" s="1142"/>
      <c r="P11" s="3194"/>
      <c r="Q11" s="1797" t="str">
        <f t="shared" si="6"/>
        <v>容积率</v>
      </c>
      <c r="R11" s="770" t="s">
        <v>17</v>
      </c>
      <c r="S11" s="771">
        <f t="shared" si="0"/>
        <v>95</v>
      </c>
      <c r="T11" s="770" t="s">
        <v>17</v>
      </c>
      <c r="U11" s="771">
        <f t="shared" si="1"/>
        <v>95</v>
      </c>
      <c r="V11" s="770" t="s">
        <v>17</v>
      </c>
      <c r="W11" s="771">
        <f t="shared" si="2"/>
        <v>95</v>
      </c>
      <c r="X11" s="772"/>
      <c r="Y11" s="3040"/>
      <c r="Z11" s="55" t="str">
        <f t="shared" si="7"/>
        <v>容积率</v>
      </c>
      <c r="AA11" s="773">
        <f t="shared" si="3"/>
        <v>1.0526315789473684</v>
      </c>
      <c r="AB11" s="773">
        <f t="shared" si="4"/>
        <v>1.0526315789473684</v>
      </c>
      <c r="AC11" s="773">
        <f t="shared" si="5"/>
        <v>1.0526315789473684</v>
      </c>
    </row>
    <row r="12" spans="1:30" s="117" customFormat="1" ht="15" hidden="1">
      <c r="A12" s="431"/>
      <c r="B12" s="2599" t="s">
        <v>2751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4"/>
      <c r="Q12" s="1797" t="str">
        <f t="shared" si="6"/>
        <v>配建</v>
      </c>
      <c r="R12" s="770" t="s">
        <v>17</v>
      </c>
      <c r="S12" s="771">
        <f t="shared" si="0"/>
        <v>100</v>
      </c>
      <c r="T12" s="770" t="s">
        <v>17</v>
      </c>
      <c r="U12" s="771">
        <f t="shared" si="1"/>
        <v>100</v>
      </c>
      <c r="V12" s="770" t="s">
        <v>17</v>
      </c>
      <c r="W12" s="771">
        <f t="shared" si="2"/>
        <v>100</v>
      </c>
      <c r="X12" s="772"/>
      <c r="Y12" s="3040"/>
      <c r="Z12" s="55" t="str">
        <f t="shared" si="7"/>
        <v>配建</v>
      </c>
      <c r="AA12" s="773">
        <f>D12/F12</f>
        <v>1</v>
      </c>
      <c r="AB12" s="773">
        <f>D12/H12</f>
        <v>1</v>
      </c>
      <c r="AC12" s="773">
        <f>D12/J12</f>
        <v>1</v>
      </c>
    </row>
    <row r="13" spans="1:30" ht="15" hidden="1">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4"/>
      <c r="Q13" s="1797">
        <f t="shared" si="6"/>
        <v>111</v>
      </c>
      <c r="R13" s="770" t="s">
        <v>17</v>
      </c>
      <c r="S13" s="771">
        <f t="shared" si="0"/>
        <v>100</v>
      </c>
      <c r="T13" s="770" t="s">
        <v>17</v>
      </c>
      <c r="U13" s="771">
        <f t="shared" si="1"/>
        <v>100</v>
      </c>
      <c r="V13" s="770" t="s">
        <v>17</v>
      </c>
      <c r="W13" s="771">
        <f t="shared" si="2"/>
        <v>100</v>
      </c>
      <c r="X13" s="772"/>
      <c r="Y13" s="3040"/>
      <c r="Z13" s="55">
        <f t="shared" si="7"/>
        <v>111</v>
      </c>
      <c r="AA13" s="773">
        <f>D13/F13</f>
        <v>1</v>
      </c>
      <c r="AB13" s="773">
        <f>D13/H13</f>
        <v>1</v>
      </c>
      <c r="AC13" s="773">
        <f>D13/J13</f>
        <v>1</v>
      </c>
    </row>
    <row r="14" spans="1:30" ht="15.75" hidden="1"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4"/>
      <c r="Q14" s="1797">
        <f t="shared" si="6"/>
        <v>111</v>
      </c>
      <c r="R14" s="770" t="s">
        <v>17</v>
      </c>
      <c r="S14" s="771">
        <f t="shared" si="0"/>
        <v>100</v>
      </c>
      <c r="T14" s="770" t="s">
        <v>17</v>
      </c>
      <c r="U14" s="771">
        <f t="shared" si="1"/>
        <v>100</v>
      </c>
      <c r="V14" s="770" t="s">
        <v>17</v>
      </c>
      <c r="W14" s="771">
        <f t="shared" si="2"/>
        <v>100</v>
      </c>
      <c r="X14" s="772"/>
      <c r="Y14" s="3040"/>
      <c r="Z14" s="55">
        <f t="shared" si="7"/>
        <v>111</v>
      </c>
      <c r="AA14" s="773">
        <f>D14/F14</f>
        <v>1</v>
      </c>
      <c r="AB14" s="773">
        <f>D14/H14</f>
        <v>1</v>
      </c>
      <c r="AC14" s="773">
        <f>D14/J14</f>
        <v>1</v>
      </c>
    </row>
    <row r="15" spans="1:30" ht="99.75">
      <c r="A15" s="440" t="s">
        <v>2563</v>
      </c>
      <c r="B15" s="69" t="s">
        <v>2090</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2</v>
      </c>
      <c r="L15" s="1143"/>
      <c r="M15" s="1134"/>
      <c r="N15" s="1134"/>
      <c r="O15" s="1142"/>
      <c r="P15" s="3209" t="s">
        <v>2564</v>
      </c>
      <c r="Q15" s="1812" t="str">
        <f t="shared" si="6"/>
        <v>居住社区成熟度</v>
      </c>
      <c r="R15" s="774" t="s">
        <v>17</v>
      </c>
      <c r="S15" s="775">
        <f t="shared" si="0"/>
        <v>100</v>
      </c>
      <c r="T15" s="774" t="s">
        <v>17</v>
      </c>
      <c r="U15" s="775">
        <f t="shared" si="1"/>
        <v>100</v>
      </c>
      <c r="V15" s="774" t="s">
        <v>17</v>
      </c>
      <c r="W15" s="775">
        <f t="shared" si="2"/>
        <v>100</v>
      </c>
      <c r="X15" s="1815"/>
      <c r="Y15" s="3209" t="s">
        <v>2564</v>
      </c>
      <c r="Z15" s="1816" t="str">
        <f t="shared" si="7"/>
        <v>居住社区成熟度</v>
      </c>
      <c r="AA15" s="1813">
        <f t="shared" si="3"/>
        <v>1</v>
      </c>
      <c r="AB15" s="1813">
        <f t="shared" si="4"/>
        <v>1</v>
      </c>
      <c r="AC15" s="1813">
        <f t="shared" si="5"/>
        <v>1</v>
      </c>
    </row>
    <row r="16" spans="1:30" ht="15">
      <c r="A16" s="428"/>
      <c r="B16" s="446"/>
      <c r="C16" s="447" t="s">
        <v>3204</v>
      </c>
      <c r="D16" s="448"/>
      <c r="E16" s="2604" t="s">
        <v>3204</v>
      </c>
      <c r="F16" s="448"/>
      <c r="G16" s="2604" t="s">
        <v>3204</v>
      </c>
      <c r="H16" s="450"/>
      <c r="I16" s="2604" t="s">
        <v>3204</v>
      </c>
      <c r="J16" s="448"/>
      <c r="K16" s="672"/>
      <c r="L16" s="1143"/>
      <c r="M16" s="1134"/>
      <c r="N16" s="1134"/>
      <c r="O16" s="1142"/>
      <c r="P16" s="3210"/>
      <c r="Q16" s="1812"/>
      <c r="R16" s="774"/>
      <c r="S16" s="775"/>
      <c r="T16" s="774"/>
      <c r="U16" s="775"/>
      <c r="V16" s="774"/>
      <c r="W16" s="775"/>
      <c r="X16" s="1815"/>
      <c r="Y16" s="3210"/>
      <c r="Z16" s="1816"/>
      <c r="AA16" s="1813">
        <v>1</v>
      </c>
      <c r="AB16" s="1813">
        <v>1</v>
      </c>
      <c r="AC16" s="1813">
        <v>1</v>
      </c>
    </row>
    <row r="17" spans="1:29" ht="71.25">
      <c r="A17" s="428"/>
      <c r="B17" s="451" t="s">
        <v>2657</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102</v>
      </c>
      <c r="K17" s="673">
        <v>2</v>
      </c>
      <c r="L17" s="1143"/>
      <c r="M17" s="1134"/>
      <c r="N17" s="1134"/>
      <c r="O17" s="1142"/>
      <c r="P17" s="3210"/>
      <c r="Q17" s="1812" t="str">
        <f>B17</f>
        <v>商业繁华度</v>
      </c>
      <c r="R17" s="774" t="s">
        <v>17</v>
      </c>
      <c r="S17" s="775">
        <f>F17</f>
        <v>100</v>
      </c>
      <c r="T17" s="774" t="s">
        <v>17</v>
      </c>
      <c r="U17" s="775">
        <f>H17</f>
        <v>100</v>
      </c>
      <c r="V17" s="774" t="s">
        <v>17</v>
      </c>
      <c r="W17" s="775">
        <f>J17</f>
        <v>102</v>
      </c>
      <c r="X17" s="1815"/>
      <c r="Y17" s="3210"/>
      <c r="Z17" s="1816" t="str">
        <f>Q17</f>
        <v>商业繁华度</v>
      </c>
      <c r="AA17" s="1813">
        <f t="shared" si="3"/>
        <v>1</v>
      </c>
      <c r="AB17" s="1813">
        <f t="shared" si="4"/>
        <v>1</v>
      </c>
      <c r="AC17" s="1813">
        <f t="shared" si="5"/>
        <v>0.98039215686274506</v>
      </c>
    </row>
    <row r="18" spans="1:29" ht="15">
      <c r="A18" s="428"/>
      <c r="B18" s="456"/>
      <c r="C18" s="2607" t="s">
        <v>3205</v>
      </c>
      <c r="D18" s="450"/>
      <c r="E18" s="2609" t="s">
        <v>3205</v>
      </c>
      <c r="F18" s="450"/>
      <c r="G18" s="2609" t="s">
        <v>3205</v>
      </c>
      <c r="H18" s="448"/>
      <c r="I18" s="2609" t="s">
        <v>3204</v>
      </c>
      <c r="J18" s="448"/>
      <c r="K18" s="672"/>
      <c r="L18" s="1143"/>
      <c r="M18" s="1134"/>
      <c r="N18" s="1134"/>
      <c r="O18" s="1142"/>
      <c r="P18" s="3210"/>
      <c r="Q18" s="1812"/>
      <c r="R18" s="774"/>
      <c r="S18" s="775"/>
      <c r="T18" s="774"/>
      <c r="U18" s="775"/>
      <c r="V18" s="774"/>
      <c r="W18" s="775"/>
      <c r="X18" s="1815"/>
      <c r="Y18" s="3210"/>
      <c r="Z18" s="1816"/>
      <c r="AA18" s="1813">
        <v>1</v>
      </c>
      <c r="AB18" s="1813">
        <v>1</v>
      </c>
      <c r="AC18" s="1813">
        <v>1</v>
      </c>
    </row>
    <row r="19" spans="1:29" ht="71.25" hidden="1">
      <c r="A19" s="428"/>
      <c r="B19" s="451" t="s">
        <v>2691</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0"/>
      <c r="Q19" s="1812" t="str">
        <f>B19</f>
        <v>办公集聚程度</v>
      </c>
      <c r="R19" s="774" t="s">
        <v>17</v>
      </c>
      <c r="S19" s="775">
        <f>F19</f>
        <v>100</v>
      </c>
      <c r="T19" s="774" t="s">
        <v>17</v>
      </c>
      <c r="U19" s="775">
        <f>H19</f>
        <v>100</v>
      </c>
      <c r="V19" s="774" t="s">
        <v>17</v>
      </c>
      <c r="W19" s="775">
        <f>J19</f>
        <v>100</v>
      </c>
      <c r="X19" s="1815"/>
      <c r="Y19" s="3210"/>
      <c r="Z19" s="1816" t="str">
        <f>Q19</f>
        <v>办公集聚程度</v>
      </c>
      <c r="AA19" s="1813">
        <f t="shared" si="3"/>
        <v>1</v>
      </c>
      <c r="AB19" s="1813">
        <f t="shared" si="4"/>
        <v>1</v>
      </c>
      <c r="AC19" s="1813">
        <f t="shared" si="5"/>
        <v>1</v>
      </c>
    </row>
    <row r="20" spans="1:29" ht="15" hidden="1">
      <c r="A20" s="428"/>
      <c r="B20" s="456"/>
      <c r="C20" s="447"/>
      <c r="D20" s="448"/>
      <c r="E20" s="2604"/>
      <c r="F20" s="448"/>
      <c r="G20" s="2604"/>
      <c r="H20" s="448"/>
      <c r="I20" s="2603"/>
      <c r="J20" s="448"/>
      <c r="K20" s="672"/>
      <c r="L20" s="1143"/>
      <c r="M20" s="1134"/>
      <c r="N20" s="1134"/>
      <c r="O20" s="1142"/>
      <c r="P20" s="3210"/>
      <c r="Q20" s="1812"/>
      <c r="R20" s="774"/>
      <c r="S20" s="775"/>
      <c r="T20" s="774"/>
      <c r="U20" s="775"/>
      <c r="V20" s="774"/>
      <c r="W20" s="775"/>
      <c r="X20" s="1815"/>
      <c r="Y20" s="3210"/>
      <c r="Z20" s="1816"/>
      <c r="AA20" s="1813">
        <v>1</v>
      </c>
      <c r="AB20" s="1813">
        <v>1</v>
      </c>
      <c r="AC20" s="1813">
        <v>1</v>
      </c>
    </row>
    <row r="21" spans="1:29" ht="85.5">
      <c r="A21" s="428"/>
      <c r="B21" s="451" t="s">
        <v>2713</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3</v>
      </c>
      <c r="L21" s="1143"/>
      <c r="M21" s="1134"/>
      <c r="N21" s="1134"/>
      <c r="O21" s="1142"/>
      <c r="P21" s="3210"/>
      <c r="Q21" s="1812" t="str">
        <f>B21</f>
        <v>交通便捷度</v>
      </c>
      <c r="R21" s="774" t="s">
        <v>17</v>
      </c>
      <c r="S21" s="775">
        <f>F21</f>
        <v>100</v>
      </c>
      <c r="T21" s="774" t="s">
        <v>17</v>
      </c>
      <c r="U21" s="775">
        <f>H21</f>
        <v>100</v>
      </c>
      <c r="V21" s="774" t="s">
        <v>17</v>
      </c>
      <c r="W21" s="775">
        <f>J21</f>
        <v>100</v>
      </c>
      <c r="X21" s="1815"/>
      <c r="Y21" s="3210"/>
      <c r="Z21" s="1816" t="str">
        <f>Q21</f>
        <v>交通便捷度</v>
      </c>
      <c r="AA21" s="1813">
        <f t="shared" si="3"/>
        <v>1</v>
      </c>
      <c r="AB21" s="1813">
        <f t="shared" si="4"/>
        <v>1</v>
      </c>
      <c r="AC21" s="1813">
        <f t="shared" si="5"/>
        <v>1</v>
      </c>
    </row>
    <row r="22" spans="1:29" ht="15">
      <c r="A22" s="428"/>
      <c r="B22" s="1387"/>
      <c r="C22" s="447" t="s">
        <v>3205</v>
      </c>
      <c r="D22" s="450"/>
      <c r="E22" s="447" t="s">
        <v>3205</v>
      </c>
      <c r="F22" s="448"/>
      <c r="G22" s="447" t="s">
        <v>3205</v>
      </c>
      <c r="H22" s="448"/>
      <c r="I22" s="447" t="s">
        <v>3205</v>
      </c>
      <c r="J22" s="448"/>
      <c r="K22" s="672"/>
      <c r="L22" s="1143"/>
      <c r="M22" s="1134"/>
      <c r="N22" s="1134"/>
      <c r="O22" s="1142"/>
      <c r="P22" s="3210"/>
      <c r="Q22" s="1812"/>
      <c r="R22" s="774"/>
      <c r="S22" s="775"/>
      <c r="T22" s="774"/>
      <c r="U22" s="775"/>
      <c r="V22" s="774"/>
      <c r="W22" s="775"/>
      <c r="X22" s="1815"/>
      <c r="Y22" s="3210"/>
      <c r="Z22" s="1816"/>
      <c r="AA22" s="1813">
        <v>1</v>
      </c>
      <c r="AB22" s="1813">
        <v>1</v>
      </c>
      <c r="AC22" s="1813">
        <v>1</v>
      </c>
    </row>
    <row r="23" spans="1:29" ht="15">
      <c r="A23" s="404"/>
      <c r="B23" s="451" t="s">
        <v>2752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5</v>
      </c>
      <c r="L23" s="1143"/>
      <c r="M23" s="1134"/>
      <c r="N23" s="1134"/>
      <c r="O23" s="1142"/>
      <c r="P23" s="3210"/>
      <c r="Q23" s="1812" t="str">
        <f t="shared" ref="Q23:Q37" si="8">B23</f>
        <v>区域土地利用方向</v>
      </c>
      <c r="R23" s="774" t="s">
        <v>17</v>
      </c>
      <c r="S23" s="775">
        <f>F23</f>
        <v>100</v>
      </c>
      <c r="T23" s="774" t="s">
        <v>17</v>
      </c>
      <c r="U23" s="775">
        <f>H23</f>
        <v>100</v>
      </c>
      <c r="V23" s="774" t="s">
        <v>17</v>
      </c>
      <c r="W23" s="775">
        <f>J23</f>
        <v>100</v>
      </c>
      <c r="X23" s="1815"/>
      <c r="Y23" s="3210"/>
      <c r="Z23" s="1816" t="str">
        <f>Q23</f>
        <v>区域土地利用方向</v>
      </c>
      <c r="AA23" s="1813">
        <f t="shared" si="3"/>
        <v>1</v>
      </c>
      <c r="AB23" s="1813">
        <f t="shared" si="4"/>
        <v>1</v>
      </c>
      <c r="AC23" s="1813">
        <f t="shared" si="5"/>
        <v>1</v>
      </c>
    </row>
    <row r="24" spans="1:29" ht="15">
      <c r="A24" s="404"/>
      <c r="B24" s="456"/>
      <c r="C24" s="616" t="s">
        <v>3204</v>
      </c>
      <c r="D24" s="448"/>
      <c r="E24" s="616" t="s">
        <v>3204</v>
      </c>
      <c r="F24" s="448"/>
      <c r="G24" s="616" t="s">
        <v>3204</v>
      </c>
      <c r="H24" s="448"/>
      <c r="I24" s="616" t="s">
        <v>3204</v>
      </c>
      <c r="J24" s="448"/>
      <c r="K24" s="812"/>
      <c r="L24" s="1143"/>
      <c r="M24" s="1134"/>
      <c r="N24" s="1134"/>
      <c r="O24" s="1142"/>
      <c r="P24" s="3210"/>
      <c r="Q24" s="1812"/>
      <c r="R24" s="774"/>
      <c r="S24" s="775"/>
      <c r="T24" s="774"/>
      <c r="U24" s="775"/>
      <c r="V24" s="774"/>
      <c r="W24" s="775"/>
      <c r="X24" s="1815"/>
      <c r="Y24" s="3210"/>
      <c r="Z24" s="1816"/>
      <c r="AA24" s="1813"/>
      <c r="AB24" s="1813"/>
      <c r="AC24" s="1813"/>
    </row>
    <row r="25" spans="1:29" ht="57">
      <c r="A25" s="404"/>
      <c r="B25" s="1387" t="s">
        <v>2753</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85</v>
      </c>
      <c r="K25" s="673">
        <v>15</v>
      </c>
      <c r="L25" s="1143"/>
      <c r="M25" s="1134"/>
      <c r="N25" s="1134"/>
      <c r="O25" s="1142"/>
      <c r="P25" s="3210"/>
      <c r="Q25" s="1812" t="str">
        <f t="shared" si="8"/>
        <v>自然及人文环境状况</v>
      </c>
      <c r="R25" s="774" t="s">
        <v>17</v>
      </c>
      <c r="S25" s="775">
        <f>F25</f>
        <v>100</v>
      </c>
      <c r="T25" s="774" t="s">
        <v>17</v>
      </c>
      <c r="U25" s="775">
        <f>H25</f>
        <v>100</v>
      </c>
      <c r="V25" s="774" t="s">
        <v>17</v>
      </c>
      <c r="W25" s="775">
        <f>J25</f>
        <v>85</v>
      </c>
      <c r="X25" s="1815"/>
      <c r="Y25" s="3210"/>
      <c r="Z25" s="1816" t="str">
        <f>Q25</f>
        <v>自然及人文环境状况</v>
      </c>
      <c r="AA25" s="1813">
        <f t="shared" si="3"/>
        <v>1</v>
      </c>
      <c r="AB25" s="1813">
        <f t="shared" si="4"/>
        <v>1</v>
      </c>
      <c r="AC25" s="1813">
        <f t="shared" si="5"/>
        <v>1.1764705882352942</v>
      </c>
    </row>
    <row r="26" spans="1:29" ht="15">
      <c r="A26" s="404"/>
      <c r="B26" s="456"/>
      <c r="C26" s="447" t="s">
        <v>3204</v>
      </c>
      <c r="D26" s="448"/>
      <c r="E26" s="2610" t="s">
        <v>3204</v>
      </c>
      <c r="F26" s="448"/>
      <c r="G26" s="2610" t="s">
        <v>3204</v>
      </c>
      <c r="H26" s="448"/>
      <c r="I26" s="447" t="s">
        <v>3205</v>
      </c>
      <c r="J26" s="448"/>
      <c r="K26" s="672"/>
      <c r="L26" s="1143"/>
      <c r="M26" s="1134"/>
      <c r="N26" s="1134"/>
      <c r="O26" s="1142"/>
      <c r="P26" s="3210"/>
      <c r="Q26" s="1812"/>
      <c r="R26" s="774"/>
      <c r="S26" s="775"/>
      <c r="T26" s="774"/>
      <c r="U26" s="775"/>
      <c r="V26" s="774"/>
      <c r="W26" s="775"/>
      <c r="X26" s="1815"/>
      <c r="Y26" s="3210"/>
      <c r="Z26" s="1816"/>
      <c r="AA26" s="1813">
        <v>1</v>
      </c>
      <c r="AB26" s="1813">
        <v>1</v>
      </c>
      <c r="AC26" s="1813">
        <v>1</v>
      </c>
    </row>
    <row r="27" spans="1:29" s="117" customFormat="1" ht="42.75">
      <c r="A27" s="649"/>
      <c r="B27" s="1387" t="s">
        <v>2658</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103</v>
      </c>
      <c r="K27" s="673">
        <v>3</v>
      </c>
      <c r="L27" s="1135"/>
      <c r="M27" s="1136"/>
      <c r="N27" s="1136"/>
      <c r="O27" s="1137"/>
      <c r="P27" s="3210"/>
      <c r="Q27" s="1797" t="str">
        <f t="shared" si="8"/>
        <v>公共配套设施</v>
      </c>
      <c r="R27" s="770" t="s">
        <v>17</v>
      </c>
      <c r="S27" s="771">
        <f>F27</f>
        <v>100</v>
      </c>
      <c r="T27" s="770" t="s">
        <v>17</v>
      </c>
      <c r="U27" s="771">
        <f>H27</f>
        <v>100</v>
      </c>
      <c r="V27" s="770" t="s">
        <v>17</v>
      </c>
      <c r="W27" s="771">
        <f>J27</f>
        <v>103</v>
      </c>
      <c r="X27" s="772"/>
      <c r="Y27" s="3210"/>
      <c r="Z27" s="55" t="str">
        <f>Q27</f>
        <v>公共配套设施</v>
      </c>
      <c r="AA27" s="1813">
        <f>D27/F27</f>
        <v>1</v>
      </c>
      <c r="AB27" s="1813">
        <f>D27/H27</f>
        <v>1</v>
      </c>
      <c r="AC27" s="1813">
        <f>D27/J27</f>
        <v>0.970873786407767</v>
      </c>
    </row>
    <row r="28" spans="1:29" s="117" customFormat="1" ht="15">
      <c r="A28" s="649"/>
      <c r="B28" s="456"/>
      <c r="C28" s="2697" t="s">
        <v>3205</v>
      </c>
      <c r="D28" s="448"/>
      <c r="E28" s="2610" t="s">
        <v>3205</v>
      </c>
      <c r="F28" s="448"/>
      <c r="G28" s="2610" t="s">
        <v>3205</v>
      </c>
      <c r="H28" s="448"/>
      <c r="I28" s="447" t="s">
        <v>3204</v>
      </c>
      <c r="J28" s="448"/>
      <c r="K28" s="672"/>
      <c r="L28" s="1135"/>
      <c r="M28" s="1136"/>
      <c r="N28" s="1136"/>
      <c r="O28" s="1137"/>
      <c r="P28" s="3210"/>
      <c r="Q28" s="1797"/>
      <c r="R28" s="770"/>
      <c r="S28" s="771"/>
      <c r="T28" s="770"/>
      <c r="U28" s="771"/>
      <c r="V28" s="770"/>
      <c r="W28" s="771"/>
      <c r="X28" s="772"/>
      <c r="Y28" s="3210"/>
      <c r="Z28" s="55"/>
      <c r="AA28" s="1813">
        <v>1</v>
      </c>
      <c r="AB28" s="1813">
        <v>1</v>
      </c>
      <c r="AC28" s="1813">
        <v>1</v>
      </c>
    </row>
    <row r="29" spans="1:29" s="117" customFormat="1" ht="28.5">
      <c r="A29" s="649"/>
      <c r="B29" s="1387" t="s">
        <v>2659</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5</v>
      </c>
      <c r="L29" s="1135"/>
      <c r="M29" s="1136"/>
      <c r="N29" s="1136"/>
      <c r="O29" s="1137"/>
      <c r="P29" s="3210"/>
      <c r="Q29" s="1797" t="str">
        <f t="shared" ref="Q29" si="9">B29</f>
        <v>基础设施水平</v>
      </c>
      <c r="R29" s="770" t="s">
        <v>17</v>
      </c>
      <c r="S29" s="771">
        <f>F29</f>
        <v>100</v>
      </c>
      <c r="T29" s="770" t="s">
        <v>17</v>
      </c>
      <c r="U29" s="771">
        <f>H29</f>
        <v>100</v>
      </c>
      <c r="V29" s="770" t="s">
        <v>17</v>
      </c>
      <c r="W29" s="771">
        <f>J29</f>
        <v>100</v>
      </c>
      <c r="X29" s="772"/>
      <c r="Y29" s="3210"/>
      <c r="Z29" s="55" t="str">
        <f>Q29</f>
        <v>基础设施水平</v>
      </c>
      <c r="AA29" s="1813">
        <f>D29/F29</f>
        <v>1</v>
      </c>
      <c r="AB29" s="1813">
        <f>D29/H29</f>
        <v>1</v>
      </c>
      <c r="AC29" s="1813">
        <f>D29/J29</f>
        <v>1</v>
      </c>
    </row>
    <row r="30" spans="1:29" s="117" customFormat="1" ht="15">
      <c r="A30" s="649"/>
      <c r="B30" s="456"/>
      <c r="C30" s="2697" t="s">
        <v>3211</v>
      </c>
      <c r="D30" s="448"/>
      <c r="E30" s="2697" t="s">
        <v>3211</v>
      </c>
      <c r="F30" s="448"/>
      <c r="G30" s="2697" t="s">
        <v>3211</v>
      </c>
      <c r="H30" s="448"/>
      <c r="I30" s="2697" t="s">
        <v>3211</v>
      </c>
      <c r="J30" s="448"/>
      <c r="K30" s="672"/>
      <c r="L30" s="1135"/>
      <c r="M30" s="1136"/>
      <c r="N30" s="1136"/>
      <c r="O30" s="1137"/>
      <c r="P30" s="3210"/>
      <c r="Q30" s="1797"/>
      <c r="R30" s="770"/>
      <c r="S30" s="771"/>
      <c r="T30" s="770"/>
      <c r="U30" s="771"/>
      <c r="V30" s="770"/>
      <c r="W30" s="771"/>
      <c r="X30" s="772"/>
      <c r="Y30" s="3210"/>
      <c r="Z30" s="55"/>
      <c r="AA30" s="1813">
        <v>1</v>
      </c>
      <c r="AB30" s="1813">
        <v>1</v>
      </c>
      <c r="AC30" s="1813">
        <v>1</v>
      </c>
    </row>
    <row r="31" spans="1:29" ht="15" hidden="1">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0"/>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10"/>
      <c r="Z31" s="1816" t="str">
        <f t="shared" ref="Z31:Z45" si="13">Q31</f>
        <v>临街状况</v>
      </c>
      <c r="AA31" s="1813">
        <f t="shared" si="3"/>
        <v>1</v>
      </c>
      <c r="AB31" s="1813">
        <f t="shared" si="4"/>
        <v>1</v>
      </c>
      <c r="AC31" s="1813">
        <f t="shared" si="5"/>
        <v>1</v>
      </c>
    </row>
    <row r="32" spans="1:29" ht="27">
      <c r="A32" s="428"/>
      <c r="B32" s="1387"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3"/>
      <c r="M32" s="1134"/>
      <c r="N32" s="1134"/>
      <c r="O32" s="1142"/>
      <c r="P32" s="3210"/>
      <c r="Q32" s="1812" t="str">
        <f t="shared" si="8"/>
        <v>毗邻道路的类型与等级</v>
      </c>
      <c r="R32" s="774" t="s">
        <v>17</v>
      </c>
      <c r="S32" s="775">
        <f t="shared" si="10"/>
        <v>100</v>
      </c>
      <c r="T32" s="774" t="s">
        <v>17</v>
      </c>
      <c r="U32" s="775">
        <f t="shared" si="11"/>
        <v>100</v>
      </c>
      <c r="V32" s="774" t="s">
        <v>17</v>
      </c>
      <c r="W32" s="775">
        <f t="shared" si="12"/>
        <v>100</v>
      </c>
      <c r="X32" s="1815"/>
      <c r="Y32" s="3210"/>
      <c r="Z32" s="1816" t="str">
        <f t="shared" si="13"/>
        <v>毗邻道路的类型与等级</v>
      </c>
      <c r="AA32" s="1813">
        <f t="shared" si="3"/>
        <v>1</v>
      </c>
      <c r="AB32" s="1813">
        <f t="shared" si="4"/>
        <v>1</v>
      </c>
      <c r="AC32" s="1813">
        <f t="shared" si="5"/>
        <v>1</v>
      </c>
    </row>
    <row r="33" spans="1:29" ht="15.75" thickBot="1">
      <c r="A33" s="428"/>
      <c r="B33" s="456"/>
      <c r="C33" s="447" t="s">
        <v>3206</v>
      </c>
      <c r="D33" s="448"/>
      <c r="E33" s="447" t="s">
        <v>3206</v>
      </c>
      <c r="F33" s="448"/>
      <c r="G33" s="447" t="s">
        <v>3206</v>
      </c>
      <c r="H33" s="448"/>
      <c r="I33" s="447" t="s">
        <v>3206</v>
      </c>
      <c r="J33" s="448"/>
      <c r="K33" s="613"/>
      <c r="L33" s="1143"/>
      <c r="M33" s="1134"/>
      <c r="N33" s="1134"/>
      <c r="O33" s="1142"/>
      <c r="P33" s="3210"/>
      <c r="Q33" s="1812"/>
      <c r="R33" s="774"/>
      <c r="S33" s="775"/>
      <c r="T33" s="774"/>
      <c r="U33" s="775"/>
      <c r="V33" s="774"/>
      <c r="W33" s="775"/>
      <c r="X33" s="1815"/>
      <c r="Y33" s="3210"/>
      <c r="Z33" s="1816"/>
      <c r="AA33" s="1813">
        <v>1</v>
      </c>
      <c r="AB33" s="1813">
        <v>1</v>
      </c>
      <c r="AC33" s="1813">
        <v>1</v>
      </c>
    </row>
    <row r="34" spans="1:29" ht="15" hidden="1">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0"/>
      <c r="Q34" s="1812" t="str">
        <f t="shared" si="8"/>
        <v>土地级别</v>
      </c>
      <c r="R34" s="774" t="s">
        <v>17</v>
      </c>
      <c r="S34" s="775">
        <f t="shared" si="10"/>
        <v>100</v>
      </c>
      <c r="T34" s="774" t="s">
        <v>17</v>
      </c>
      <c r="U34" s="775">
        <f t="shared" si="11"/>
        <v>100</v>
      </c>
      <c r="V34" s="774" t="s">
        <v>17</v>
      </c>
      <c r="W34" s="775">
        <f t="shared" si="12"/>
        <v>100</v>
      </c>
      <c r="X34" s="1815"/>
      <c r="Y34" s="3210"/>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0"/>
      <c r="Q35" s="1812">
        <f t="shared" si="8"/>
        <v>111</v>
      </c>
      <c r="R35" s="774" t="s">
        <v>17</v>
      </c>
      <c r="S35" s="775">
        <f t="shared" si="10"/>
        <v>100</v>
      </c>
      <c r="T35" s="774" t="s">
        <v>17</v>
      </c>
      <c r="U35" s="775">
        <f t="shared" si="11"/>
        <v>100</v>
      </c>
      <c r="V35" s="774" t="s">
        <v>17</v>
      </c>
      <c r="W35" s="775">
        <f t="shared" si="12"/>
        <v>100</v>
      </c>
      <c r="X35" s="1815"/>
      <c r="Y35" s="3210"/>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1" t="s">
        <v>2569</v>
      </c>
      <c r="Q36" s="1812">
        <f t="shared" si="8"/>
        <v>111</v>
      </c>
      <c r="R36" s="774" t="s">
        <v>17</v>
      </c>
      <c r="S36" s="775">
        <f t="shared" si="10"/>
        <v>100</v>
      </c>
      <c r="T36" s="774" t="s">
        <v>17</v>
      </c>
      <c r="U36" s="775">
        <f t="shared" si="11"/>
        <v>100</v>
      </c>
      <c r="V36" s="774" t="s">
        <v>17</v>
      </c>
      <c r="W36" s="775">
        <f t="shared" si="12"/>
        <v>100</v>
      </c>
      <c r="X36" s="1815"/>
      <c r="Y36" s="3212" t="s">
        <v>2569</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2"/>
      <c r="Q37" s="1812">
        <f t="shared" si="8"/>
        <v>111</v>
      </c>
      <c r="R37" s="777" t="s">
        <v>17</v>
      </c>
      <c r="S37" s="778">
        <f t="shared" si="10"/>
        <v>100</v>
      </c>
      <c r="T37" s="777" t="s">
        <v>17</v>
      </c>
      <c r="U37" s="778">
        <f t="shared" si="11"/>
        <v>100</v>
      </c>
      <c r="V37" s="777" t="s">
        <v>17</v>
      </c>
      <c r="W37" s="778">
        <f t="shared" si="12"/>
        <v>100</v>
      </c>
      <c r="X37" s="779"/>
      <c r="Y37" s="3212"/>
      <c r="Z37" s="780">
        <f t="shared" si="13"/>
        <v>111</v>
      </c>
      <c r="AA37" s="1813">
        <f t="shared" si="3"/>
        <v>1</v>
      </c>
      <c r="AB37" s="1813">
        <f t="shared" si="4"/>
        <v>1</v>
      </c>
      <c r="AC37" s="1813">
        <f t="shared" si="5"/>
        <v>1</v>
      </c>
    </row>
    <row r="38" spans="1:29" ht="15">
      <c r="A38" s="472" t="s">
        <v>2567</v>
      </c>
      <c r="B38" s="456" t="s">
        <v>2755</v>
      </c>
      <c r="C38" s="679">
        <f>'数据-基础表'!A3</f>
        <v>154884.55999999997</v>
      </c>
      <c r="D38" s="467">
        <v>100</v>
      </c>
      <c r="E38" s="679">
        <f>土地案例!J2</f>
        <v>30868.78</v>
      </c>
      <c r="F38" s="467">
        <f>LOOKUP(E38,117:117,118:118)-LOOKUP(C38,117:117,118:118)+100</f>
        <v>98.5</v>
      </c>
      <c r="G38" s="679">
        <f>土地案例!K3</f>
        <v>70051.59</v>
      </c>
      <c r="H38" s="467">
        <f>LOOKUP(G38,117:117,118:118)-LOOKUP(C38,117:117,118:118)+100</f>
        <v>99</v>
      </c>
      <c r="I38" s="530">
        <f>土地案例!K4</f>
        <v>49899.54</v>
      </c>
      <c r="J38" s="467">
        <f>LOOKUP(I38,117:117,118:118)-LOOKUP(C38,117:117,118:118)+100</f>
        <v>98.5</v>
      </c>
      <c r="K38" s="613"/>
      <c r="L38" s="1143"/>
      <c r="M38" s="1134"/>
      <c r="N38" s="1134"/>
      <c r="O38" s="1142"/>
      <c r="P38" s="3212"/>
      <c r="Q38" s="1812" t="str">
        <f>B38</f>
        <v>宗地面积</v>
      </c>
      <c r="R38" s="774" t="s">
        <v>17</v>
      </c>
      <c r="S38" s="775">
        <f t="shared" si="10"/>
        <v>98.5</v>
      </c>
      <c r="T38" s="774" t="s">
        <v>17</v>
      </c>
      <c r="U38" s="775">
        <f t="shared" si="11"/>
        <v>99</v>
      </c>
      <c r="V38" s="774" t="s">
        <v>17</v>
      </c>
      <c r="W38" s="775">
        <f t="shared" si="12"/>
        <v>98.5</v>
      </c>
      <c r="X38" s="1815"/>
      <c r="Y38" s="3212"/>
      <c r="Z38" s="1816" t="str">
        <f t="shared" si="13"/>
        <v>宗地面积</v>
      </c>
      <c r="AA38" s="1813">
        <f t="shared" si="3"/>
        <v>1.015228426395939</v>
      </c>
      <c r="AB38" s="1813">
        <f t="shared" si="4"/>
        <v>1.0101010101010102</v>
      </c>
      <c r="AC38" s="1813">
        <f t="shared" si="5"/>
        <v>1.015228426395939</v>
      </c>
    </row>
    <row r="39" spans="1:29" ht="15">
      <c r="A39" s="472"/>
      <c r="B39" s="422" t="s">
        <v>2756</v>
      </c>
      <c r="C39" s="2612" t="s">
        <v>3208</v>
      </c>
      <c r="D39" s="435">
        <v>100</v>
      </c>
      <c r="E39" s="2612" t="s">
        <v>3208</v>
      </c>
      <c r="F39" s="435">
        <f>SUMIF(119:119,E39,120:120)-SUMIF(119:119,C39,120:120)+100</f>
        <v>100</v>
      </c>
      <c r="G39" s="2612" t="s">
        <v>3208</v>
      </c>
      <c r="H39" s="435">
        <f>SUMIF(119:119,G39,120:120)-SUMIF(119:119,C39,120:120)+100</f>
        <v>100</v>
      </c>
      <c r="I39" s="2612" t="s">
        <v>3208</v>
      </c>
      <c r="J39" s="435">
        <f>SUMIF(119:119,I39,120:120)-SUMIF(119:119,C39,120:120)+100</f>
        <v>100</v>
      </c>
      <c r="K39" s="612">
        <v>2</v>
      </c>
      <c r="L39" s="1143"/>
      <c r="M39" s="1134"/>
      <c r="N39" s="1134"/>
      <c r="O39" s="1142"/>
      <c r="P39" s="3212"/>
      <c r="Q39" s="1812" t="str">
        <f t="shared" ref="Q39:Q45" si="14">B39</f>
        <v>宗地形状</v>
      </c>
      <c r="R39" s="774" t="s">
        <v>17</v>
      </c>
      <c r="S39" s="775">
        <f t="shared" si="10"/>
        <v>100</v>
      </c>
      <c r="T39" s="774" t="s">
        <v>17</v>
      </c>
      <c r="U39" s="775">
        <f t="shared" si="11"/>
        <v>100</v>
      </c>
      <c r="V39" s="774" t="s">
        <v>17</v>
      </c>
      <c r="W39" s="775">
        <f t="shared" si="12"/>
        <v>100</v>
      </c>
      <c r="X39" s="1815"/>
      <c r="Y39" s="3212"/>
      <c r="Z39" s="1816" t="str">
        <f t="shared" si="13"/>
        <v>宗地形状</v>
      </c>
      <c r="AA39" s="1813">
        <f t="shared" si="3"/>
        <v>1</v>
      </c>
      <c r="AB39" s="1813">
        <f t="shared" si="4"/>
        <v>1</v>
      </c>
      <c r="AC39" s="1813">
        <f t="shared" si="5"/>
        <v>1</v>
      </c>
    </row>
    <row r="40" spans="1:29" ht="15" hidden="1">
      <c r="A40" s="472"/>
      <c r="B40" s="422" t="s">
        <v>2757</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3"/>
      <c r="M40" s="1134"/>
      <c r="N40" s="1134"/>
      <c r="O40" s="1142"/>
      <c r="P40" s="3212"/>
      <c r="Q40" s="1812" t="str">
        <f t="shared" si="14"/>
        <v>临街宽度及深度</v>
      </c>
      <c r="R40" s="774" t="s">
        <v>17</v>
      </c>
      <c r="S40" s="775">
        <f t="shared" si="10"/>
        <v>100</v>
      </c>
      <c r="T40" s="774" t="s">
        <v>17</v>
      </c>
      <c r="U40" s="775">
        <f t="shared" si="11"/>
        <v>100</v>
      </c>
      <c r="V40" s="774" t="s">
        <v>17</v>
      </c>
      <c r="W40" s="775">
        <f t="shared" si="12"/>
        <v>100</v>
      </c>
      <c r="X40" s="1815"/>
      <c r="Y40" s="3212"/>
      <c r="Z40" s="1816" t="str">
        <f t="shared" si="13"/>
        <v>临街宽度及深度</v>
      </c>
      <c r="AA40" s="1813">
        <f t="shared" si="3"/>
        <v>1</v>
      </c>
      <c r="AB40" s="1813">
        <f t="shared" si="4"/>
        <v>1</v>
      </c>
      <c r="AC40" s="1813">
        <f t="shared" si="5"/>
        <v>1</v>
      </c>
    </row>
    <row r="41" spans="1:29" s="117" customFormat="1" ht="15" hidden="1">
      <c r="A41" s="473"/>
      <c r="B41" s="422" t="s">
        <v>2758</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5"/>
      <c r="M41" s="1136"/>
      <c r="N41" s="1136"/>
      <c r="O41" s="1137"/>
      <c r="P41" s="3212"/>
      <c r="Q41" s="1812" t="str">
        <f t="shared" si="14"/>
        <v>宗地开发程度</v>
      </c>
      <c r="R41" s="770" t="s">
        <v>17</v>
      </c>
      <c r="S41" s="771">
        <f t="shared" si="10"/>
        <v>100</v>
      </c>
      <c r="T41" s="770" t="s">
        <v>17</v>
      </c>
      <c r="U41" s="771">
        <f t="shared" si="11"/>
        <v>100</v>
      </c>
      <c r="V41" s="770" t="s">
        <v>17</v>
      </c>
      <c r="W41" s="771">
        <f t="shared" si="12"/>
        <v>100</v>
      </c>
      <c r="X41" s="772"/>
      <c r="Y41" s="3212"/>
      <c r="Z41" s="55" t="str">
        <f t="shared" si="13"/>
        <v>宗地开发程度</v>
      </c>
      <c r="AA41" s="773">
        <f t="shared" si="3"/>
        <v>1</v>
      </c>
      <c r="AB41" s="773">
        <f t="shared" si="4"/>
        <v>1</v>
      </c>
      <c r="AC41" s="773">
        <f t="shared" si="5"/>
        <v>1</v>
      </c>
    </row>
    <row r="42" spans="1:29" ht="15.75" thickBot="1">
      <c r="A42" s="472"/>
      <c r="B42" s="422" t="s">
        <v>2759</v>
      </c>
      <c r="C42" s="2612" t="s">
        <v>3204</v>
      </c>
      <c r="D42" s="435">
        <v>100</v>
      </c>
      <c r="E42" s="2612" t="s">
        <v>3204</v>
      </c>
      <c r="F42" s="435">
        <f>SUMIF(125:125,E42,126:126)-SUMIF(125:125,C42,126:126)+100</f>
        <v>100</v>
      </c>
      <c r="G42" s="2612" t="s">
        <v>3204</v>
      </c>
      <c r="H42" s="435">
        <f>SUMIF(125:125,G42,126:126)-SUMIF(125:125,C42,126:126)+100</f>
        <v>100</v>
      </c>
      <c r="I42" s="2612" t="s">
        <v>3204</v>
      </c>
      <c r="J42" s="435">
        <f>SUMIF(125:125,I42,126:126)-SUMIF(125:125,C42,126:126)+100</f>
        <v>100</v>
      </c>
      <c r="K42" s="612">
        <v>2</v>
      </c>
      <c r="L42" s="1143"/>
      <c r="M42" s="1134"/>
      <c r="N42" s="1134"/>
      <c r="O42" s="1142"/>
      <c r="P42" s="3212" t="s">
        <v>2569</v>
      </c>
      <c r="Q42" s="1812" t="str">
        <f t="shared" si="14"/>
        <v>工程地质条件</v>
      </c>
      <c r="R42" s="774" t="s">
        <v>17</v>
      </c>
      <c r="S42" s="775">
        <f t="shared" si="10"/>
        <v>100</v>
      </c>
      <c r="T42" s="774" t="s">
        <v>17</v>
      </c>
      <c r="U42" s="775">
        <f t="shared" si="11"/>
        <v>100</v>
      </c>
      <c r="V42" s="774" t="s">
        <v>17</v>
      </c>
      <c r="W42" s="775">
        <f t="shared" si="12"/>
        <v>100</v>
      </c>
      <c r="X42" s="1815"/>
      <c r="Y42" s="3212" t="s">
        <v>2569</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2"/>
      <c r="Q43" s="1812">
        <f t="shared" si="14"/>
        <v>111</v>
      </c>
      <c r="R43" s="774" t="s">
        <v>17</v>
      </c>
      <c r="S43" s="775">
        <f t="shared" si="10"/>
        <v>100</v>
      </c>
      <c r="T43" s="774" t="s">
        <v>17</v>
      </c>
      <c r="U43" s="775">
        <f t="shared" si="11"/>
        <v>100</v>
      </c>
      <c r="V43" s="774" t="s">
        <v>17</v>
      </c>
      <c r="W43" s="775">
        <f t="shared" si="12"/>
        <v>100</v>
      </c>
      <c r="X43" s="1815"/>
      <c r="Y43" s="3212"/>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2"/>
      <c r="Q44" s="1812">
        <f t="shared" si="14"/>
        <v>111</v>
      </c>
      <c r="R44" s="774" t="s">
        <v>17</v>
      </c>
      <c r="S44" s="775">
        <f t="shared" si="10"/>
        <v>100</v>
      </c>
      <c r="T44" s="774" t="s">
        <v>17</v>
      </c>
      <c r="U44" s="775">
        <f t="shared" si="11"/>
        <v>100</v>
      </c>
      <c r="V44" s="774" t="s">
        <v>17</v>
      </c>
      <c r="W44" s="775">
        <f t="shared" si="12"/>
        <v>100</v>
      </c>
      <c r="X44" s="1815"/>
      <c r="Y44" s="3212"/>
      <c r="Z44" s="1816">
        <f t="shared" si="13"/>
        <v>111</v>
      </c>
      <c r="AA44" s="1813">
        <f t="shared" si="3"/>
        <v>1</v>
      </c>
      <c r="AB44" s="1813">
        <f t="shared" si="4"/>
        <v>1</v>
      </c>
      <c r="AC44" s="1813">
        <f t="shared" si="5"/>
        <v>1</v>
      </c>
    </row>
    <row r="45" spans="1:29" s="471" customFormat="1" ht="15.75" hidden="1" thickBot="1">
      <c r="A45" s="468"/>
      <c r="B45" s="1390">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2"/>
      <c r="Q45" s="1812">
        <f t="shared" si="14"/>
        <v>111</v>
      </c>
      <c r="R45" s="777" t="s">
        <v>17</v>
      </c>
      <c r="S45" s="778">
        <f t="shared" si="10"/>
        <v>100</v>
      </c>
      <c r="T45" s="777" t="s">
        <v>17</v>
      </c>
      <c r="U45" s="778">
        <f t="shared" si="11"/>
        <v>100</v>
      </c>
      <c r="V45" s="777" t="s">
        <v>17</v>
      </c>
      <c r="W45" s="778">
        <f t="shared" si="12"/>
        <v>100</v>
      </c>
      <c r="X45" s="779"/>
      <c r="Y45" s="3212"/>
      <c r="Z45" s="780">
        <f t="shared" si="13"/>
        <v>111</v>
      </c>
      <c r="AA45" s="1813">
        <f t="shared" si="3"/>
        <v>1</v>
      </c>
      <c r="AB45" s="1813">
        <f t="shared" si="4"/>
        <v>1</v>
      </c>
      <c r="AC45" s="1813">
        <f t="shared" si="5"/>
        <v>1</v>
      </c>
    </row>
    <row r="46" spans="1:29" ht="15">
      <c r="A46" s="479" t="s">
        <v>2724</v>
      </c>
      <c r="B46" s="2701" t="s">
        <v>2760</v>
      </c>
      <c r="C46" s="682" t="s">
        <v>1</v>
      </c>
      <c r="D46" s="481"/>
      <c r="E46" s="482">
        <f>土地案例!S2</f>
        <v>1430.43</v>
      </c>
      <c r="F46" s="483"/>
      <c r="G46" s="484">
        <f>土地案例!S3</f>
        <v>1409.4</v>
      </c>
      <c r="H46" s="485"/>
      <c r="I46" s="482">
        <f>土地案例!S4</f>
        <v>1411.32</v>
      </c>
      <c r="J46" s="485"/>
      <c r="K46" s="783"/>
      <c r="L46" s="1146"/>
      <c r="M46" s="1147"/>
      <c r="N46" s="1134"/>
      <c r="O46" s="1147"/>
      <c r="P46" s="3194" t="str">
        <f>A46</f>
        <v>成交单价</v>
      </c>
      <c r="Q46" s="3194"/>
      <c r="R46" s="3207">
        <f>E46</f>
        <v>1430.43</v>
      </c>
      <c r="S46" s="3207"/>
      <c r="T46" s="3207">
        <f>G46</f>
        <v>1409.4</v>
      </c>
      <c r="U46" s="3207"/>
      <c r="V46" s="3207">
        <f>I46</f>
        <v>1411.32</v>
      </c>
      <c r="W46" s="3207"/>
      <c r="X46" s="759"/>
      <c r="Y46" s="781"/>
      <c r="Z46" s="759"/>
      <c r="AA46" s="759"/>
      <c r="AB46" s="759"/>
      <c r="AC46" s="759"/>
    </row>
    <row r="47" spans="1:29" ht="15.75" thickBot="1">
      <c r="A47" s="486" t="s">
        <v>2673</v>
      </c>
      <c r="B47" s="683"/>
      <c r="C47" s="490">
        <f>R48</f>
        <v>1640</v>
      </c>
      <c r="D47" s="489"/>
      <c r="E47" s="490">
        <f>R47</f>
        <v>1582</v>
      </c>
      <c r="F47" s="491"/>
      <c r="G47" s="488">
        <f>T47</f>
        <v>1551</v>
      </c>
      <c r="H47" s="489"/>
      <c r="I47" s="490">
        <f>V47</f>
        <v>1787</v>
      </c>
      <c r="J47" s="489"/>
      <c r="K47" s="784"/>
      <c r="L47" s="1146"/>
      <c r="M47" s="1147"/>
      <c r="N47" s="1147"/>
      <c r="O47" s="1147"/>
      <c r="P47" s="3194" t="str">
        <f>A47</f>
        <v>比较价值（元/平方米）</v>
      </c>
      <c r="Q47" s="3194"/>
      <c r="R47" s="3213">
        <f>ROUND(PRODUCT(R46,AA7:AA45),0)</f>
        <v>1582</v>
      </c>
      <c r="S47" s="3213"/>
      <c r="T47" s="3213">
        <f>ROUND(PRODUCT(T46,AB7:AB45),0)</f>
        <v>1551</v>
      </c>
      <c r="U47" s="3213"/>
      <c r="V47" s="3213">
        <f>ROUND(PRODUCT(V46,AC7:AC45),0)</f>
        <v>1787</v>
      </c>
      <c r="W47" s="3213"/>
      <c r="X47" s="759"/>
      <c r="Y47" s="759"/>
      <c r="Z47" s="759"/>
      <c r="AA47" s="759"/>
      <c r="AB47" s="759"/>
      <c r="AC47" s="759"/>
    </row>
    <row r="48" spans="1:29" ht="15.75" thickBot="1">
      <c r="A48" s="492" t="s">
        <v>2761</v>
      </c>
      <c r="B48" s="493"/>
      <c r="C48" s="494">
        <f>R48</f>
        <v>1640</v>
      </c>
      <c r="D48" s="494"/>
      <c r="E48" s="494"/>
      <c r="F48" s="494"/>
      <c r="G48" s="494"/>
      <c r="H48" s="494"/>
      <c r="I48" s="494"/>
      <c r="J48" s="494"/>
      <c r="K48" s="785"/>
      <c r="L48" s="1146"/>
      <c r="M48" s="1147"/>
      <c r="N48" s="1147"/>
      <c r="O48" s="1147"/>
      <c r="P48" s="3214" t="str">
        <f>A48</f>
        <v>估价对象XX用房的比较价值（楼面单价，元/平方米）</v>
      </c>
      <c r="Q48" s="3215"/>
      <c r="R48" s="3216">
        <f>ROUND(AVERAGE(R47:V47),0)</f>
        <v>1640</v>
      </c>
      <c r="S48" s="3216"/>
      <c r="T48" s="3216"/>
      <c r="U48" s="3216"/>
      <c r="V48" s="3216"/>
      <c r="W48" s="321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2675</v>
      </c>
      <c r="D51" s="498"/>
      <c r="E51" s="499">
        <f>IF(E46&lt;E47,E47/E46-1,E46/E47-1)</f>
        <v>0.10596114455093919</v>
      </c>
      <c r="F51" s="500" t="str">
        <f>IF(OR(E51&gt;=0.3,E51&lt;=-0.3),"超过30%","")</f>
        <v/>
      </c>
      <c r="G51" s="499">
        <f>IF(G46&lt;G47,G47/G46-1,G46/G47-1)</f>
        <v>0.10046828437633026</v>
      </c>
      <c r="H51" s="500" t="str">
        <f>IF(OR(G51&gt;=0.3,G51&lt;=-0.3),"超过30%","")</f>
        <v/>
      </c>
      <c r="I51" s="499">
        <f>IF(I46&lt;I47,I47/I46-1,I46/I47-1)</f>
        <v>0.26619051667942073</v>
      </c>
      <c r="J51" s="500" t="str">
        <f>IF(OR(I51&gt;=0.3,I51&lt;=-0.3),"超过30%","")</f>
        <v/>
      </c>
      <c r="K51" s="1108"/>
      <c r="L51" s="1109"/>
      <c r="M51" s="1147"/>
      <c r="N51" s="1147"/>
      <c r="O51" s="1147"/>
    </row>
    <row r="52" spans="1:15" ht="13.5" customHeight="1">
      <c r="A52" s="1147"/>
      <c r="B52" s="1147"/>
      <c r="C52" s="497" t="s">
        <v>2676</v>
      </c>
      <c r="D52" s="501"/>
      <c r="E52" s="499">
        <f>IF(E47&lt;G47,G47/E47-1,E47/G47-1)</f>
        <v>1.9987105093488111E-2</v>
      </c>
      <c r="F52" s="500" t="str">
        <f>IF(OR(E52&gt;=0.2,E52&lt;=-0.2),"超过20%","")</f>
        <v/>
      </c>
      <c r="G52" s="499">
        <f>IF(G47&lt;I47,I47/G47-1,G47/I47-1)</f>
        <v>0.15215989684074782</v>
      </c>
      <c r="H52" s="500" t="str">
        <f>IF(OR(G52&gt;=0.2,G52&lt;=-0.2),"超过20%","")</f>
        <v/>
      </c>
      <c r="I52" s="499">
        <f>IF(I47&lt;E47,E47/I47-1,I47/E47-1)</f>
        <v>0.12958280657395704</v>
      </c>
      <c r="J52" s="500" t="str">
        <f>IF(OR(I52&gt;=0.2,I52&lt;=-0.2),"超过20%","")</f>
        <v/>
      </c>
      <c r="K52" s="1108"/>
      <c r="L52" s="1109"/>
      <c r="M52" s="1147"/>
      <c r="N52" s="1147"/>
      <c r="O52" s="1147"/>
    </row>
    <row r="53" spans="1:15" s="502" customFormat="1" ht="13.5" customHeight="1">
      <c r="A53" s="1148"/>
      <c r="B53" s="1148"/>
      <c r="C53" s="497" t="s">
        <v>2677</v>
      </c>
      <c r="D53" s="501"/>
      <c r="E53" s="499">
        <f>IF(E46&lt;G46,G46/E46-1,E46/G46-1)</f>
        <v>1.4921243082162583E-2</v>
      </c>
      <c r="F53" s="500" t="str">
        <f>IF(OR(E53&gt;=0.3,E53&lt;=-0.3),"超过30%","")</f>
        <v/>
      </c>
      <c r="G53" s="499">
        <f>IF(G46&lt;I46,I46/G46-1,G46/I46-1)</f>
        <v>1.3622818220517807E-3</v>
      </c>
      <c r="H53" s="500" t="str">
        <f>IF(OR(G53&gt;=0.3,G53&lt;=-0.3),"超过30%","")</f>
        <v/>
      </c>
      <c r="I53" s="499">
        <f>IF(I46&lt;E46,E46/I46-1,I46/E46-1)</f>
        <v>1.3540515262307817E-2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2762</v>
      </c>
      <c r="B55" s="685" t="s">
        <v>2763</v>
      </c>
      <c r="C55" s="2702" t="s">
        <v>2764</v>
      </c>
      <c r="D55" s="2703" t="s">
        <v>2765</v>
      </c>
      <c r="E55" s="686" t="s">
        <v>2766</v>
      </c>
      <c r="F55" s="1110" t="s">
        <v>2767</v>
      </c>
      <c r="G55" s="3195" t="s">
        <v>2768</v>
      </c>
      <c r="H55" s="3217"/>
      <c r="I55" s="144" t="s">
        <v>2769</v>
      </c>
      <c r="J55" s="2704" t="str">
        <f>项目基本情况!F35</f>
        <v>海南省文昌市</v>
      </c>
      <c r="K55" s="2705" t="s">
        <v>2770</v>
      </c>
      <c r="L55" s="1109"/>
      <c r="M55" s="1147"/>
      <c r="N55" s="1147"/>
      <c r="O55" s="1147"/>
    </row>
    <row r="56" spans="1:15" s="692" customFormat="1">
      <c r="A56" s="688" t="s">
        <v>2771</v>
      </c>
      <c r="B56" s="689">
        <f>C48</f>
        <v>1640</v>
      </c>
      <c r="C56" s="690">
        <v>1</v>
      </c>
      <c r="D56" s="1166">
        <v>1</v>
      </c>
      <c r="E56" s="690">
        <f>'数据-汇总表'!E8+'数据-汇总表'!E9</f>
        <v>231197.55</v>
      </c>
      <c r="F56" s="1106">
        <f t="shared" ref="F56:F65" si="15">ROUND(B56*E56/10000,0)</f>
        <v>37916</v>
      </c>
      <c r="G56" s="3218"/>
      <c r="H56" s="3194"/>
      <c r="I56" s="1111">
        <v>1</v>
      </c>
      <c r="J56" s="1114">
        <v>1</v>
      </c>
      <c r="K56" s="1148"/>
      <c r="L56" s="944"/>
      <c r="M56" s="944"/>
      <c r="N56" s="944"/>
      <c r="O56" s="944"/>
    </row>
    <row r="57" spans="1:15" s="692" customFormat="1">
      <c r="A57" s="693" t="s">
        <v>2772</v>
      </c>
      <c r="B57" s="262">
        <f>ROUND($C$48*C57*D57,0)</f>
        <v>0</v>
      </c>
      <c r="C57" s="200">
        <f t="shared" ref="C57:C65" si="16">IF($C$55="北京市系数",I57,J57)</f>
        <v>0</v>
      </c>
      <c r="D57" s="1167">
        <v>0.25</v>
      </c>
      <c r="E57" s="694"/>
      <c r="F57" s="1106">
        <f t="shared" si="15"/>
        <v>0</v>
      </c>
      <c r="G57" s="3219" t="s">
        <v>2773</v>
      </c>
      <c r="H57" s="1107">
        <f>项目基本情况!B37</f>
        <v>0</v>
      </c>
      <c r="I57" s="1111">
        <f>SUMIF(修正!A45:A56,H57,修正!B45:B56)</f>
        <v>0</v>
      </c>
      <c r="J57" s="1115"/>
      <c r="K57" s="1147"/>
      <c r="L57" s="944"/>
      <c r="M57" s="944"/>
      <c r="N57" s="944"/>
      <c r="O57" s="944"/>
    </row>
    <row r="58" spans="1:15" s="692" customFormat="1">
      <c r="A58" s="693" t="s">
        <v>2774</v>
      </c>
      <c r="B58" s="262">
        <f t="shared" ref="B58:B65" si="17">ROUND($C$48*C58*D58,0)</f>
        <v>0</v>
      </c>
      <c r="C58" s="200">
        <f t="shared" si="16"/>
        <v>0</v>
      </c>
      <c r="D58" s="1167">
        <v>0.25</v>
      </c>
      <c r="E58" s="694"/>
      <c r="F58" s="1106">
        <f t="shared" si="15"/>
        <v>0</v>
      </c>
      <c r="G58" s="3219"/>
      <c r="H58" s="1107">
        <f>项目基本情况!B37</f>
        <v>0</v>
      </c>
      <c r="I58" s="1111">
        <f>SUMIF(修正!A45:A56,H58,修正!C45:C56)</f>
        <v>0</v>
      </c>
      <c r="J58" s="1115"/>
      <c r="K58" s="1148"/>
      <c r="L58" s="944"/>
      <c r="M58" s="944"/>
      <c r="N58" s="944"/>
      <c r="O58" s="944"/>
    </row>
    <row r="59" spans="1:15" s="692" customFormat="1">
      <c r="A59" s="693" t="s">
        <v>2775</v>
      </c>
      <c r="B59" s="262">
        <f t="shared" si="17"/>
        <v>0</v>
      </c>
      <c r="C59" s="200">
        <f t="shared" si="16"/>
        <v>0</v>
      </c>
      <c r="D59" s="1167">
        <v>0.25</v>
      </c>
      <c r="E59" s="694"/>
      <c r="F59" s="1106">
        <f t="shared" si="15"/>
        <v>0</v>
      </c>
      <c r="G59" s="3219"/>
      <c r="H59" s="1107">
        <f>项目基本情况!B37</f>
        <v>0</v>
      </c>
      <c r="I59" s="1111">
        <f>SUMIF(修正!A45:A56,H59,修正!D45:D56)</f>
        <v>0</v>
      </c>
      <c r="J59" s="1115"/>
      <c r="K59" s="1147"/>
      <c r="L59" s="944"/>
      <c r="M59" s="944"/>
      <c r="N59" s="944"/>
      <c r="O59" s="944"/>
    </row>
    <row r="60" spans="1:15" s="692" customFormat="1">
      <c r="A60" s="693" t="s">
        <v>2776</v>
      </c>
      <c r="B60" s="262">
        <f t="shared" si="17"/>
        <v>0</v>
      </c>
      <c r="C60" s="200">
        <f t="shared" si="16"/>
        <v>0</v>
      </c>
      <c r="D60" s="1167">
        <v>0.25</v>
      </c>
      <c r="E60" s="694"/>
      <c r="F60" s="1106">
        <f t="shared" si="15"/>
        <v>0</v>
      </c>
      <c r="G60" s="3219"/>
      <c r="H60" s="1107">
        <f>项目基本情况!B37</f>
        <v>0</v>
      </c>
      <c r="I60" s="1111">
        <f>SUMIF(修正!A45:A56,H60,修正!E45:E56)</f>
        <v>0</v>
      </c>
      <c r="J60" s="1115"/>
      <c r="K60" s="1148"/>
      <c r="L60" s="944"/>
      <c r="M60" s="944"/>
      <c r="N60" s="944"/>
      <c r="O60" s="944"/>
    </row>
    <row r="61" spans="1:15" s="692" customFormat="1">
      <c r="A61" s="693" t="s">
        <v>2777</v>
      </c>
      <c r="B61" s="262">
        <f t="shared" si="17"/>
        <v>0</v>
      </c>
      <c r="C61" s="200">
        <f t="shared" si="16"/>
        <v>0</v>
      </c>
      <c r="D61" s="1167">
        <v>0.25</v>
      </c>
      <c r="E61" s="261">
        <f>'数据-汇总表'!E11</f>
        <v>0</v>
      </c>
      <c r="F61" s="1106">
        <f t="shared" si="15"/>
        <v>0</v>
      </c>
      <c r="G61" s="2706" t="s">
        <v>2778</v>
      </c>
      <c r="H61" s="1107">
        <f>项目基本情况!C37</f>
        <v>0</v>
      </c>
      <c r="I61" s="1111">
        <f>SUMIF(修正!A45:A56,H61,修正!F45:F56)</f>
        <v>0</v>
      </c>
      <c r="J61" s="1115"/>
      <c r="K61" s="1147"/>
      <c r="L61" s="944"/>
      <c r="M61" s="944"/>
      <c r="N61" s="944"/>
      <c r="O61" s="944"/>
    </row>
    <row r="62" spans="1:15" s="692" customFormat="1">
      <c r="A62" s="693" t="s">
        <v>2779</v>
      </c>
      <c r="B62" s="262">
        <f t="shared" si="17"/>
        <v>0</v>
      </c>
      <c r="C62" s="200">
        <f t="shared" si="16"/>
        <v>0</v>
      </c>
      <c r="D62" s="1167">
        <v>0.25</v>
      </c>
      <c r="E62" s="261">
        <f>'数据-汇总表'!E12</f>
        <v>0</v>
      </c>
      <c r="F62" s="1106">
        <f t="shared" si="15"/>
        <v>0</v>
      </c>
      <c r="G62" s="1112" t="s">
        <v>2780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2781</v>
      </c>
      <c r="B63" s="262">
        <f t="shared" si="17"/>
        <v>0</v>
      </c>
      <c r="C63" s="200">
        <f t="shared" si="16"/>
        <v>0</v>
      </c>
      <c r="D63" s="1167">
        <v>0.25</v>
      </c>
      <c r="E63" s="261">
        <f>'数据-汇总表'!E13</f>
        <v>0</v>
      </c>
      <c r="F63" s="1106">
        <f t="shared" si="15"/>
        <v>0</v>
      </c>
      <c r="G63" s="1112" t="s">
        <v>2782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2783</v>
      </c>
      <c r="B64" s="262">
        <f t="shared" si="17"/>
        <v>0</v>
      </c>
      <c r="C64" s="200">
        <f t="shared" si="16"/>
        <v>0</v>
      </c>
      <c r="D64" s="1167">
        <v>0.25</v>
      </c>
      <c r="E64" s="261">
        <f>'数据-汇总表'!E14</f>
        <v>0</v>
      </c>
      <c r="F64" s="1106">
        <f t="shared" si="15"/>
        <v>0</v>
      </c>
      <c r="G64" s="2706" t="s">
        <v>2773</v>
      </c>
      <c r="H64" s="1107">
        <f>项目基本情况!B37</f>
        <v>0</v>
      </c>
      <c r="I64" s="1111">
        <f>SUMIF(修正!A45:A56,H64,修正!H45:H56)</f>
        <v>0</v>
      </c>
      <c r="J64" s="1115"/>
      <c r="K64" s="1148"/>
      <c r="L64" s="944"/>
      <c r="M64" s="944"/>
      <c r="N64" s="944"/>
      <c r="O64" s="944"/>
    </row>
    <row r="65" spans="1:17" s="692" customFormat="1" ht="15" thickBot="1">
      <c r="A65" s="693" t="s">
        <v>2784</v>
      </c>
      <c r="B65" s="262">
        <f t="shared" si="17"/>
        <v>0</v>
      </c>
      <c r="C65" s="200">
        <f t="shared" si="16"/>
        <v>0</v>
      </c>
      <c r="D65" s="1167">
        <v>0.25</v>
      </c>
      <c r="E65" s="261">
        <f>'数据-汇总表'!E15</f>
        <v>0</v>
      </c>
      <c r="F65" s="1106">
        <f t="shared" si="15"/>
        <v>0</v>
      </c>
      <c r="G65" s="2707" t="s">
        <v>2778</v>
      </c>
      <c r="H65" s="1117">
        <f>项目基本情况!C37</f>
        <v>0</v>
      </c>
      <c r="I65" s="1113">
        <f>SUMIF(修正!A45:A56,H65,修正!H45:H56)</f>
        <v>0</v>
      </c>
      <c r="J65" s="1116"/>
      <c r="K65" s="1147"/>
      <c r="L65" s="944"/>
      <c r="M65" s="944"/>
      <c r="N65" s="944"/>
      <c r="O65" s="944"/>
    </row>
    <row r="66" spans="1:17" s="692" customFormat="1" ht="13.5" thickBot="1">
      <c r="A66" s="695" t="s">
        <v>2785</v>
      </c>
      <c r="B66" s="696" t="s">
        <v>28</v>
      </c>
      <c r="C66" s="696" t="s">
        <v>29</v>
      </c>
      <c r="D66" s="696" t="s">
        <v>1029</v>
      </c>
      <c r="E66" s="696">
        <f>IF(B46="楼面地价",SUM(E56:E65),'数据-汇总表'!D3)</f>
        <v>231197.55</v>
      </c>
      <c r="F66" s="697">
        <f>IF(B46="楼面地价",SUM(F56:F65),ROUND(C48*E66/10000,0))</f>
        <v>37916</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2678</v>
      </c>
      <c r="B69" s="759"/>
      <c r="C69" s="764"/>
      <c r="D69" s="764"/>
      <c r="E69" s="764"/>
      <c r="F69" s="765"/>
      <c r="G69" s="765"/>
      <c r="H69" s="764"/>
      <c r="I69" s="764"/>
      <c r="J69" s="1162"/>
      <c r="K69" s="1163"/>
      <c r="L69" s="1164"/>
      <c r="M69" s="1162"/>
      <c r="N69" s="1162"/>
      <c r="O69" s="1162"/>
      <c r="P69" s="503"/>
      <c r="Q69" s="504"/>
    </row>
    <row r="70" spans="1:17" s="508" customFormat="1" ht="15">
      <c r="A70" s="2708" t="s">
        <v>2786</v>
      </c>
      <c r="B70" s="1362"/>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09" t="s">
        <v>2787</v>
      </c>
      <c r="B71" s="332" t="str">
        <f>"北京市平均增长率"&amp;TEXT(SUMIF(基准地价修正!N21:N25,A71,基准地价修正!P21:P25),"0.00%")</f>
        <v>北京市平均增长率2.55%</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2589</v>
      </c>
      <c r="B72" s="516"/>
      <c r="C72" s="517"/>
      <c r="D72" s="518"/>
      <c r="E72" s="518"/>
      <c r="F72" s="518"/>
      <c r="G72" s="518"/>
      <c r="H72" s="518"/>
      <c r="I72" s="518"/>
      <c r="J72" s="518"/>
      <c r="K72" s="518"/>
      <c r="L72" s="518"/>
      <c r="M72" s="519"/>
      <c r="N72" s="518"/>
      <c r="O72" s="1165"/>
      <c r="P72" s="504"/>
      <c r="Q72" s="504"/>
    </row>
    <row r="73" spans="1:17" s="117" customFormat="1" ht="15">
      <c r="A73" s="521" t="s">
        <v>2554</v>
      </c>
      <c r="B73" s="510"/>
      <c r="C73" s="522" t="s">
        <v>2656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2592</v>
      </c>
      <c r="B75" s="528" t="s">
        <v>2558</v>
      </c>
      <c r="C75" s="2968" t="s">
        <v>3203</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2561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2562</v>
      </c>
      <c r="C79" s="547" t="str">
        <f>C80&amp;"（含）"&amp;"-"&amp;D80</f>
        <v>0（含）-0.5</v>
      </c>
      <c r="D79" s="547" t="str">
        <f t="shared" ref="D79:L79" si="21">D80&amp;"（含）"&amp;"-"&amp;E80</f>
        <v>0.5（含）-1</v>
      </c>
      <c r="E79" s="547" t="str">
        <f t="shared" si="21"/>
        <v>1（含）-1.5</v>
      </c>
      <c r="F79" s="547" t="str">
        <f t="shared" si="21"/>
        <v>1.5（含）-2</v>
      </c>
      <c r="G79" s="547" t="str">
        <f t="shared" si="21"/>
        <v>2（含）-2.5</v>
      </c>
      <c r="H79" s="547" t="str">
        <f t="shared" si="21"/>
        <v>2.5（含）-3</v>
      </c>
      <c r="I79" s="547" t="str">
        <f t="shared" si="21"/>
        <v>3（含）-3.5</v>
      </c>
      <c r="J79" s="547" t="str">
        <f t="shared" si="21"/>
        <v>3.5（含）-</v>
      </c>
      <c r="K79" s="547" t="str">
        <f t="shared" si="21"/>
        <v>（含）-</v>
      </c>
      <c r="L79" s="547" t="str">
        <f t="shared" si="21"/>
        <v>（含）-</v>
      </c>
      <c r="M79" s="448" t="str">
        <f>M80&amp;"（含）"&amp;"-"&amp;P80</f>
        <v>（含）-</v>
      </c>
      <c r="N79" s="1156"/>
      <c r="O79" s="1156"/>
      <c r="P79" s="45"/>
      <c r="Q79" s="504"/>
    </row>
    <row r="80" spans="1:17" ht="15">
      <c r="A80" s="534"/>
      <c r="B80" s="548"/>
      <c r="C80" s="549">
        <v>0</v>
      </c>
      <c r="D80" s="549">
        <f>C80+0.5</f>
        <v>0.5</v>
      </c>
      <c r="E80" s="549">
        <f t="shared" ref="E80:J80" si="22">D80+0.5</f>
        <v>1</v>
      </c>
      <c r="F80" s="549">
        <f t="shared" si="22"/>
        <v>1.5</v>
      </c>
      <c r="G80" s="549">
        <f t="shared" si="22"/>
        <v>2</v>
      </c>
      <c r="H80" s="549">
        <f t="shared" si="22"/>
        <v>2.5</v>
      </c>
      <c r="I80" s="549">
        <f t="shared" si="22"/>
        <v>3</v>
      </c>
      <c r="J80" s="549">
        <f t="shared" si="22"/>
        <v>3.5</v>
      </c>
      <c r="K80" s="550"/>
      <c r="L80" s="551"/>
      <c r="M80" s="552"/>
      <c r="N80" s="1155"/>
      <c r="O80" s="1155"/>
      <c r="P80" s="45"/>
      <c r="Q80" s="504"/>
    </row>
    <row r="81" spans="1:17" ht="15.75" thickBot="1">
      <c r="A81" s="534"/>
      <c r="B81" s="535"/>
      <c r="C81" s="544">
        <v>100</v>
      </c>
      <c r="D81" s="544">
        <f t="shared" ref="D81:M81" si="23">IF($B$46="单位面积地价",C81+$K11,C81-$K11)</f>
        <v>95</v>
      </c>
      <c r="E81" s="544">
        <f t="shared" si="23"/>
        <v>90</v>
      </c>
      <c r="F81" s="544">
        <f t="shared" si="23"/>
        <v>85</v>
      </c>
      <c r="G81" s="544">
        <f t="shared" si="23"/>
        <v>80</v>
      </c>
      <c r="H81" s="544">
        <f t="shared" si="23"/>
        <v>75</v>
      </c>
      <c r="I81" s="544">
        <f t="shared" si="23"/>
        <v>70</v>
      </c>
      <c r="J81" s="544">
        <f t="shared" si="23"/>
        <v>65</v>
      </c>
      <c r="K81" s="544">
        <f t="shared" si="23"/>
        <v>60</v>
      </c>
      <c r="L81" s="544">
        <f t="shared" si="23"/>
        <v>55</v>
      </c>
      <c r="M81" s="544">
        <f t="shared" si="23"/>
        <v>50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5"/>
      <c r="O88" s="1155"/>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6"/>
      <c r="O89" s="1156"/>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2789</v>
      </c>
      <c r="C96" s="578" t="s">
        <v>2601</v>
      </c>
      <c r="D96" s="578" t="s">
        <v>2602</v>
      </c>
      <c r="E96" s="578" t="s">
        <v>2603</v>
      </c>
      <c r="F96" s="578" t="s">
        <v>2604</v>
      </c>
      <c r="G96" s="578" t="s">
        <v>2605</v>
      </c>
      <c r="H96" s="578"/>
      <c r="I96" s="578"/>
      <c r="J96" s="578"/>
      <c r="K96" s="578"/>
      <c r="L96" s="698"/>
      <c r="M96" s="622"/>
      <c r="N96" s="1154"/>
      <c r="O96" s="1154"/>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6"/>
      <c r="O97" s="1156"/>
      <c r="P97" s="45"/>
      <c r="Q97" s="504"/>
    </row>
    <row r="98" spans="1:17" s="117" customFormat="1" ht="27.75" thickTop="1">
      <c r="A98" s="579"/>
      <c r="B98" s="538" t="s">
        <v>2790</v>
      </c>
      <c r="C98" s="573" t="s">
        <v>2601</v>
      </c>
      <c r="D98" s="573" t="s">
        <v>2602</v>
      </c>
      <c r="E98" s="573" t="s">
        <v>2603</v>
      </c>
      <c r="F98" s="573" t="s">
        <v>2604</v>
      </c>
      <c r="G98" s="573" t="s">
        <v>2605</v>
      </c>
      <c r="H98" s="578"/>
      <c r="I98" s="578"/>
      <c r="J98" s="578"/>
      <c r="K98" s="578"/>
      <c r="L98" s="578"/>
      <c r="M98" s="622"/>
      <c r="N98" s="1154"/>
      <c r="O98" s="1154"/>
      <c r="P98" s="45"/>
      <c r="Q98" s="504"/>
    </row>
    <row r="99" spans="1:17" s="117" customFormat="1" ht="15.75" thickBot="1">
      <c r="A99" s="579"/>
      <c r="B99" s="543"/>
      <c r="C99" s="544">
        <v>100</v>
      </c>
      <c r="D99" s="544">
        <f>C99-$K25</f>
        <v>85</v>
      </c>
      <c r="E99" s="544">
        <f>D99-$K25</f>
        <v>70</v>
      </c>
      <c r="F99" s="544">
        <f>E99-$K25</f>
        <v>55</v>
      </c>
      <c r="G99" s="544">
        <f>F99-$K25</f>
        <v>40</v>
      </c>
      <c r="H99" s="544"/>
      <c r="I99" s="544"/>
      <c r="J99" s="544"/>
      <c r="K99" s="544"/>
      <c r="L99" s="544"/>
      <c r="M99" s="545"/>
      <c r="N99" s="1156"/>
      <c r="O99" s="1156"/>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7"/>
      <c r="O100" s="1157"/>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7"/>
      <c r="O101" s="1157"/>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8"/>
      <c r="N102" s="1157"/>
      <c r="O102" s="1157"/>
      <c r="P102" s="558"/>
      <c r="Q102" s="559"/>
    </row>
    <row r="103" spans="1:17" s="471" customFormat="1" ht="15.75" thickBot="1">
      <c r="A103" s="553"/>
      <c r="B103" s="546"/>
      <c r="C103" s="544">
        <v>100</v>
      </c>
      <c r="D103" s="544">
        <f>C103-$K29</f>
        <v>95</v>
      </c>
      <c r="E103" s="544">
        <f>D103-$K29</f>
        <v>90</v>
      </c>
      <c r="F103" s="544">
        <f>E103-$K29</f>
        <v>85</v>
      </c>
      <c r="G103" s="544">
        <f>F103-$K29</f>
        <v>80</v>
      </c>
      <c r="H103" s="548"/>
      <c r="I103" s="548"/>
      <c r="J103" s="548"/>
      <c r="K103" s="548"/>
      <c r="L103" s="548"/>
      <c r="M103" s="1388"/>
      <c r="N103" s="1157"/>
      <c r="O103" s="1157"/>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4">D105-$K31</f>
        <v>100</v>
      </c>
      <c r="F105" s="544">
        <f t="shared" si="24"/>
        <v>100</v>
      </c>
      <c r="G105" s="544">
        <f t="shared" si="24"/>
        <v>100</v>
      </c>
      <c r="H105" s="544">
        <f t="shared" si="24"/>
        <v>100</v>
      </c>
      <c r="I105" s="544">
        <f t="shared" si="24"/>
        <v>100</v>
      </c>
      <c r="J105" s="544">
        <f t="shared" si="24"/>
        <v>100</v>
      </c>
      <c r="K105" s="544">
        <f t="shared" si="24"/>
        <v>100</v>
      </c>
      <c r="L105" s="544">
        <f t="shared" si="24"/>
        <v>100</v>
      </c>
      <c r="M105" s="544">
        <f t="shared" si="24"/>
        <v>100</v>
      </c>
      <c r="N105" s="1156"/>
      <c r="O105" s="1156"/>
      <c r="P105" s="45"/>
      <c r="Q105" s="504"/>
    </row>
    <row r="106" spans="1:17" ht="27.75" thickTop="1">
      <c r="A106" s="534"/>
      <c r="B106" s="538" t="s">
        <v>2695</v>
      </c>
      <c r="C106" s="2969" t="s">
        <v>3207</v>
      </c>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5">D107-$K32</f>
        <v>96</v>
      </c>
      <c r="F107" s="544">
        <f t="shared" si="25"/>
        <v>94</v>
      </c>
      <c r="G107" s="544">
        <f t="shared" si="25"/>
        <v>92</v>
      </c>
      <c r="H107" s="544">
        <f t="shared" si="25"/>
        <v>90</v>
      </c>
      <c r="I107" s="544">
        <f t="shared" si="25"/>
        <v>88</v>
      </c>
      <c r="J107" s="544">
        <f t="shared" si="25"/>
        <v>86</v>
      </c>
      <c r="K107" s="544">
        <f t="shared" si="25"/>
        <v>84</v>
      </c>
      <c r="L107" s="544">
        <f t="shared" si="25"/>
        <v>82</v>
      </c>
      <c r="M107" s="544">
        <f t="shared" si="25"/>
        <v>80</v>
      </c>
      <c r="N107" s="1156"/>
      <c r="O107" s="1156"/>
      <c r="P107" s="45"/>
      <c r="Q107" s="504"/>
    </row>
    <row r="108" spans="1:17" ht="15.75" thickTop="1">
      <c r="A108" s="534"/>
      <c r="B108" s="538" t="s">
        <v>2754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6">D109-$K34</f>
        <v>100</v>
      </c>
      <c r="F109" s="544">
        <f t="shared" si="26"/>
        <v>100</v>
      </c>
      <c r="G109" s="544">
        <f t="shared" si="26"/>
        <v>100</v>
      </c>
      <c r="H109" s="544">
        <f t="shared" si="26"/>
        <v>100</v>
      </c>
      <c r="I109" s="544">
        <f t="shared" si="26"/>
        <v>100</v>
      </c>
      <c r="J109" s="544">
        <f t="shared" si="26"/>
        <v>100</v>
      </c>
      <c r="K109" s="544">
        <f t="shared" si="26"/>
        <v>100</v>
      </c>
      <c r="L109" s="544">
        <f t="shared" si="26"/>
        <v>100</v>
      </c>
      <c r="M109" s="544">
        <f t="shared" si="26"/>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2567</v>
      </c>
      <c r="B116" s="528" t="s">
        <v>2795</v>
      </c>
      <c r="C116" s="529" t="str">
        <f>C117&amp;"(含)"&amp;"-"&amp;D117</f>
        <v>0(含)-50000</v>
      </c>
      <c r="D116" s="529" t="str">
        <f t="shared" ref="D116:M116" si="27">D117&amp;"(含)"&amp;"-"&amp;E117</f>
        <v>50000(含)-100000</v>
      </c>
      <c r="E116" s="529" t="str">
        <f t="shared" si="27"/>
        <v>100000(含)-150000</v>
      </c>
      <c r="F116" s="529" t="str">
        <f t="shared" si="27"/>
        <v>150000(含)-200000</v>
      </c>
      <c r="G116" s="529" t="str">
        <f t="shared" si="27"/>
        <v>200000(含)-250000</v>
      </c>
      <c r="H116" s="529" t="str">
        <f t="shared" si="27"/>
        <v>250000(含)-300000</v>
      </c>
      <c r="I116" s="529" t="str">
        <f t="shared" si="27"/>
        <v>300000(含)-350000</v>
      </c>
      <c r="J116" s="529" t="str">
        <f t="shared" si="27"/>
        <v>350000(含)-400000</v>
      </c>
      <c r="K116" s="529" t="str">
        <f t="shared" si="27"/>
        <v>400000(含)-450000</v>
      </c>
      <c r="L116" s="529" t="str">
        <f t="shared" si="27"/>
        <v>450000(含)-500000</v>
      </c>
      <c r="M116" s="529" t="str">
        <f t="shared" si="27"/>
        <v>500000(含)-</v>
      </c>
      <c r="N116" s="1155"/>
      <c r="O116" s="1155"/>
      <c r="P116" s="45"/>
      <c r="Q116" s="504"/>
    </row>
    <row r="117" spans="1:17" ht="15">
      <c r="A117" s="534"/>
      <c r="B117" s="546"/>
      <c r="C117" s="595">
        <v>0</v>
      </c>
      <c r="D117" s="595">
        <f>C117+50000</f>
        <v>50000</v>
      </c>
      <c r="E117" s="595">
        <f t="shared" ref="E117:M117" si="28">D117+50000</f>
        <v>100000</v>
      </c>
      <c r="F117" s="595">
        <f t="shared" si="28"/>
        <v>150000</v>
      </c>
      <c r="G117" s="595">
        <f t="shared" si="28"/>
        <v>200000</v>
      </c>
      <c r="H117" s="595">
        <f t="shared" si="28"/>
        <v>250000</v>
      </c>
      <c r="I117" s="595">
        <f t="shared" si="28"/>
        <v>300000</v>
      </c>
      <c r="J117" s="595">
        <f t="shared" si="28"/>
        <v>350000</v>
      </c>
      <c r="K117" s="595">
        <f t="shared" si="28"/>
        <v>400000</v>
      </c>
      <c r="L117" s="595">
        <f t="shared" si="28"/>
        <v>450000</v>
      </c>
      <c r="M117" s="595">
        <f t="shared" si="28"/>
        <v>500000</v>
      </c>
      <c r="N117" s="1155"/>
      <c r="O117" s="1155"/>
      <c r="P117" s="45"/>
      <c r="Q117" s="504"/>
    </row>
    <row r="118" spans="1:17" ht="15.75" thickBot="1">
      <c r="A118" s="534"/>
      <c r="B118" s="543"/>
      <c r="C118" s="570">
        <v>100</v>
      </c>
      <c r="D118" s="591">
        <f>C118+0.5</f>
        <v>100.5</v>
      </c>
      <c r="E118" s="591">
        <f t="shared" ref="E118:M118" si="29">D118+0.5</f>
        <v>101</v>
      </c>
      <c r="F118" s="591">
        <f t="shared" si="29"/>
        <v>101.5</v>
      </c>
      <c r="G118" s="591">
        <f t="shared" si="29"/>
        <v>102</v>
      </c>
      <c r="H118" s="591">
        <f t="shared" si="29"/>
        <v>102.5</v>
      </c>
      <c r="I118" s="591">
        <f t="shared" si="29"/>
        <v>103</v>
      </c>
      <c r="J118" s="591">
        <f t="shared" si="29"/>
        <v>103.5</v>
      </c>
      <c r="K118" s="591">
        <f t="shared" si="29"/>
        <v>104</v>
      </c>
      <c r="L118" s="591">
        <f t="shared" si="29"/>
        <v>104.5</v>
      </c>
      <c r="M118" s="591">
        <f t="shared" si="29"/>
        <v>105</v>
      </c>
      <c r="N118" s="1156"/>
      <c r="O118" s="1156"/>
      <c r="P118" s="45"/>
      <c r="Q118" s="504"/>
    </row>
    <row r="119" spans="1:17" ht="15" thickTop="1">
      <c r="A119" s="599"/>
      <c r="B119" s="538" t="s">
        <v>2796</v>
      </c>
      <c r="C119" s="2970" t="s">
        <v>3209</v>
      </c>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30">C120-$K39</f>
        <v>98</v>
      </c>
      <c r="E120" s="544">
        <f t="shared" si="30"/>
        <v>96</v>
      </c>
      <c r="F120" s="544">
        <f t="shared" si="30"/>
        <v>94</v>
      </c>
      <c r="G120" s="544">
        <f t="shared" si="30"/>
        <v>92</v>
      </c>
      <c r="H120" s="544">
        <f t="shared" si="30"/>
        <v>90</v>
      </c>
      <c r="I120" s="544">
        <f t="shared" si="30"/>
        <v>88</v>
      </c>
      <c r="J120" s="544">
        <f t="shared" si="30"/>
        <v>86</v>
      </c>
      <c r="K120" s="544">
        <f t="shared" si="30"/>
        <v>84</v>
      </c>
      <c r="L120" s="544">
        <f t="shared" si="30"/>
        <v>82</v>
      </c>
      <c r="M120" s="545">
        <f t="shared" si="30"/>
        <v>80</v>
      </c>
      <c r="N120" s="1156"/>
      <c r="O120" s="1156"/>
      <c r="P120" s="45"/>
      <c r="Q120" s="504"/>
    </row>
    <row r="121" spans="1:17" ht="15" thickTop="1">
      <c r="A121" s="599"/>
      <c r="B121" s="538" t="s">
        <v>2797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31">C122-$K40</f>
        <v>100</v>
      </c>
      <c r="E122" s="544">
        <f t="shared" si="31"/>
        <v>100</v>
      </c>
      <c r="F122" s="544">
        <f t="shared" si="31"/>
        <v>100</v>
      </c>
      <c r="G122" s="544">
        <f t="shared" si="31"/>
        <v>100</v>
      </c>
      <c r="H122" s="544">
        <f t="shared" si="31"/>
        <v>100</v>
      </c>
      <c r="I122" s="544">
        <f t="shared" si="31"/>
        <v>100</v>
      </c>
      <c r="J122" s="544">
        <f t="shared" si="31"/>
        <v>100</v>
      </c>
      <c r="K122" s="544">
        <f t="shared" si="31"/>
        <v>100</v>
      </c>
      <c r="L122" s="544">
        <f t="shared" si="31"/>
        <v>100</v>
      </c>
      <c r="M122" s="545">
        <f t="shared" si="31"/>
        <v>100</v>
      </c>
      <c r="N122" s="1156"/>
      <c r="O122" s="1156"/>
      <c r="P122" s="45"/>
      <c r="Q122" s="504"/>
    </row>
    <row r="123" spans="1:17" s="471" customFormat="1" ht="15" thickTop="1">
      <c r="A123" s="593"/>
      <c r="B123" s="538" t="s">
        <v>2798</v>
      </c>
      <c r="C123" s="2969"/>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32">D124-$K41</f>
        <v>100</v>
      </c>
      <c r="F124" s="544">
        <f t="shared" si="32"/>
        <v>100</v>
      </c>
      <c r="G124" s="544">
        <f t="shared" si="32"/>
        <v>100</v>
      </c>
      <c r="H124" s="544">
        <f t="shared" si="32"/>
        <v>100</v>
      </c>
      <c r="I124" s="544">
        <f t="shared" si="32"/>
        <v>100</v>
      </c>
      <c r="J124" s="544">
        <f t="shared" si="32"/>
        <v>100</v>
      </c>
      <c r="K124" s="544">
        <f t="shared" si="32"/>
        <v>100</v>
      </c>
      <c r="L124" s="544">
        <f t="shared" si="32"/>
        <v>100</v>
      </c>
      <c r="M124" s="545">
        <f t="shared" si="32"/>
        <v>100</v>
      </c>
      <c r="N124" s="1157"/>
      <c r="O124" s="1157"/>
      <c r="P124" s="558"/>
      <c r="Q124" s="559"/>
    </row>
    <row r="125" spans="1:17" ht="15" thickTop="1">
      <c r="A125" s="599"/>
      <c r="B125" s="538" t="s">
        <v>2799</v>
      </c>
      <c r="C125" s="2969" t="s">
        <v>3210</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33">C126-$K42</f>
        <v>98</v>
      </c>
      <c r="E126" s="544">
        <f t="shared" si="33"/>
        <v>96</v>
      </c>
      <c r="F126" s="544">
        <f t="shared" si="33"/>
        <v>94</v>
      </c>
      <c r="G126" s="544">
        <f t="shared" si="33"/>
        <v>92</v>
      </c>
      <c r="H126" s="544">
        <f t="shared" si="33"/>
        <v>90</v>
      </c>
      <c r="I126" s="544">
        <f t="shared" si="33"/>
        <v>88</v>
      </c>
      <c r="J126" s="544">
        <f t="shared" si="33"/>
        <v>86</v>
      </c>
      <c r="K126" s="544">
        <f t="shared" si="33"/>
        <v>84</v>
      </c>
      <c r="L126" s="544">
        <f t="shared" si="33"/>
        <v>82</v>
      </c>
      <c r="M126" s="545">
        <f t="shared" si="33"/>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L15" sqref="L1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2466</v>
      </c>
      <c r="B1" s="1583"/>
      <c r="C1" s="1584"/>
      <c r="D1" s="1582"/>
      <c r="E1" s="320"/>
      <c r="F1" s="320"/>
      <c r="G1" s="1583"/>
      <c r="H1" s="320"/>
      <c r="I1" s="320"/>
      <c r="J1" s="320"/>
      <c r="K1" s="320">
        <f>MATCH(C1,'数据-取费表'!A6:A16,0)+5</f>
        <v>9</v>
      </c>
    </row>
    <row r="2" spans="1:33" ht="18" customHeight="1">
      <c r="A2" s="245" t="s">
        <v>2334</v>
      </c>
      <c r="B2" s="248">
        <f ca="1">C32</f>
        <v>185267</v>
      </c>
      <c r="C2" s="320" t="s">
        <v>2467</v>
      </c>
      <c r="D2" s="320"/>
      <c r="E2" s="320"/>
      <c r="F2" s="320"/>
      <c r="G2" s="320"/>
      <c r="H2" s="320"/>
      <c r="I2" s="320"/>
      <c r="J2" s="320"/>
      <c r="K2" s="320"/>
    </row>
    <row r="3" spans="1:33" ht="18" customHeight="1" thickBot="1">
      <c r="A3" s="247" t="s">
        <v>2336</v>
      </c>
      <c r="B3" s="248">
        <f ca="1">ROUND(B2*10000/IF(C1="",'数据-汇总表'!E3,INDIRECT("'数据-取费表'!K"&amp;$K$1)),0)</f>
        <v>6244</v>
      </c>
      <c r="C3" s="320" t="s">
        <v>2468</v>
      </c>
      <c r="D3" s="320"/>
      <c r="E3" s="320"/>
      <c r="F3" s="320"/>
      <c r="G3" s="320"/>
      <c r="H3" s="320"/>
      <c r="I3" s="320"/>
      <c r="J3" s="320"/>
      <c r="K3" s="320"/>
    </row>
    <row r="4" spans="1:33" s="959" customFormat="1" ht="16.5" customHeight="1">
      <c r="A4" s="956" t="s">
        <v>2469</v>
      </c>
      <c r="B4" s="957"/>
      <c r="C4" s="999">
        <f ca="1">SUM(C8:K8)</f>
        <v>416087</v>
      </c>
      <c r="D4" s="957"/>
      <c r="E4" s="957"/>
      <c r="F4" s="957"/>
      <c r="G4" s="957"/>
      <c r="H4" s="957"/>
      <c r="I4" s="957"/>
      <c r="J4" s="957"/>
      <c r="K4" s="958"/>
    </row>
    <row r="5" spans="1:33" s="963" customFormat="1" ht="38.25">
      <c r="A5" s="960" t="s">
        <v>2470</v>
      </c>
      <c r="B5" s="961" t="s">
        <v>2471</v>
      </c>
      <c r="C5" s="2554" t="s">
        <v>3114</v>
      </c>
      <c r="D5" s="2554" t="s">
        <v>3116</v>
      </c>
      <c r="E5" s="2554" t="s">
        <v>3140</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2472</v>
      </c>
      <c r="C6" s="965">
        <f>'比较法-住宅'!C49</f>
        <v>17953</v>
      </c>
      <c r="D6" s="965">
        <f ca="1">收益法!B3</f>
        <v>20877</v>
      </c>
      <c r="E6" s="965">
        <f>'比较法-住宅'!C49</f>
        <v>17953</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2473</v>
      </c>
      <c r="B7" s="140" t="s">
        <v>2474</v>
      </c>
      <c r="C7" s="321">
        <f>SUMIF('数据-汇总表'!$C19:$C33,假设开发法!C5,'数据-汇总表'!$E19:$E33)</f>
        <v>3605.4900000000021</v>
      </c>
      <c r="D7" s="321">
        <f>SUMIF('数据-汇总表'!$C19:$C33,假设开发法!D5,'数据-汇总表'!$E19:$E33)</f>
        <v>3483.309999999999</v>
      </c>
      <c r="E7" s="321">
        <f>SUMIF('数据-汇总表'!$C19:$C33,假设开发法!E5,'数据-汇总表'!$E19:$E33)</f>
        <v>224108.75</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2475</v>
      </c>
      <c r="B8" s="177" t="s">
        <v>2476</v>
      </c>
      <c r="C8" s="1000">
        <f>ROUND(C6*C7/10000,0)</f>
        <v>6473</v>
      </c>
      <c r="D8" s="1000">
        <f ca="1">收益法!B2</f>
        <v>7272</v>
      </c>
      <c r="E8" s="1000">
        <f t="shared" ref="E8" si="0">ROUND(E6*E7/10000,0)</f>
        <v>402342</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2477</v>
      </c>
      <c r="B9" s="957"/>
      <c r="C9" s="957"/>
      <c r="D9" s="957"/>
      <c r="E9" s="957"/>
      <c r="F9" s="957"/>
      <c r="G9" s="957"/>
      <c r="H9" s="957"/>
      <c r="I9" s="957"/>
      <c r="J9" s="957"/>
      <c r="K9" s="958"/>
    </row>
    <row r="10" spans="1:33" s="973" customFormat="1" ht="13.5" customHeight="1">
      <c r="A10" s="960" t="s">
        <v>2478</v>
      </c>
      <c r="B10" s="8" t="s">
        <v>2479</v>
      </c>
      <c r="C10" s="969" t="s">
        <v>2480</v>
      </c>
      <c r="D10" s="970" t="s">
        <v>2481</v>
      </c>
      <c r="E10" s="970" t="s">
        <v>2482</v>
      </c>
      <c r="F10" s="970" t="s">
        <v>2483</v>
      </c>
      <c r="G10" s="8"/>
      <c r="H10" s="971"/>
      <c r="I10" s="971"/>
      <c r="J10" s="971"/>
      <c r="K10" s="972"/>
    </row>
    <row r="11" spans="1:33" s="978" customFormat="1" ht="13.5" customHeight="1">
      <c r="A11" s="974" t="s">
        <v>1334</v>
      </c>
      <c r="B11" s="975" t="s">
        <v>2484</v>
      </c>
      <c r="C11" s="323">
        <f ca="1">IF(C1="",'数据-取费表'!P16,INDIRECT("'数据-取费表'!p"&amp;$K$1)+INDIRECT("'数据-取费表'!ar"&amp;$K$1))</f>
        <v>73312</v>
      </c>
      <c r="D11" s="976"/>
      <c r="E11" s="375"/>
      <c r="F11" s="977">
        <f ca="1">1-IF('数据-取费表'!B24=0,1,IF(C1="",'数据-取费表'!N16,INDIRECT("'数据-取费表'!n"&amp;$K$1)))</f>
        <v>0.94599999999999995</v>
      </c>
      <c r="G11" s="8"/>
      <c r="H11" s="971"/>
      <c r="I11" s="971"/>
      <c r="J11" s="971"/>
      <c r="K11" s="972"/>
    </row>
    <row r="12" spans="1:33" s="978" customFormat="1" ht="13.5" customHeight="1">
      <c r="A12" s="974" t="s">
        <v>1335</v>
      </c>
      <c r="B12" s="975" t="s">
        <v>2485</v>
      </c>
      <c r="C12" s="24">
        <f ca="1">ROUND(C11*F12,0)</f>
        <v>3666</v>
      </c>
      <c r="D12" s="976"/>
      <c r="E12" s="375"/>
      <c r="F12" s="979">
        <f>'数据-取费表'!B33</f>
        <v>0.05</v>
      </c>
      <c r="G12" s="8" t="s">
        <v>2486</v>
      </c>
      <c r="H12" s="971"/>
      <c r="I12" s="971"/>
      <c r="J12" s="971"/>
      <c r="K12" s="972"/>
    </row>
    <row r="13" spans="1:33" s="978" customFormat="1" ht="13.5" customHeight="1">
      <c r="A13" s="974" t="s">
        <v>1336</v>
      </c>
      <c r="B13" s="975" t="s">
        <v>2487</v>
      </c>
      <c r="C13" s="24">
        <f ca="1">ROUND(IF(C1="",SUMIF('数据-取费表'!C:C,"住宅",'数据-取费表'!P:P)*F13,IF(INDIRECT("'数据-取费表'!c"&amp;$K$1)="住宅",INDIRECT("'数据-取费表'!P"&amp;$K$1)*F13,0)),0)</f>
        <v>6280</v>
      </c>
      <c r="D13" s="1036"/>
      <c r="E13" s="375"/>
      <c r="F13" s="979">
        <f>'数据-取费表'!B34</f>
        <v>0.1</v>
      </c>
      <c r="G13" s="8" t="s">
        <v>2488</v>
      </c>
      <c r="H13" s="971"/>
      <c r="I13" s="971"/>
      <c r="J13" s="971"/>
      <c r="K13" s="972"/>
    </row>
    <row r="14" spans="1:33" s="980" customFormat="1" ht="13.5" customHeight="1">
      <c r="A14" s="974" t="s">
        <v>1337</v>
      </c>
      <c r="B14" s="975" t="s">
        <v>2489</v>
      </c>
      <c r="C14" s="24">
        <f ca="1">ROUND(D14*E14*F11/10000,0)</f>
        <v>5614</v>
      </c>
      <c r="D14" s="1036">
        <f ca="1">IF(C1="",'数据-汇总表'!E3,INDIRECT("'数据-取费表'!K"&amp;$K$1)+INDIRECT("'数据-取费表'!S"&amp;$K$1))</f>
        <v>296702.55000000005</v>
      </c>
      <c r="E14" s="24">
        <f>'数据-取费表'!B35</f>
        <v>200</v>
      </c>
      <c r="F14" s="979"/>
      <c r="G14" s="8" t="s">
        <v>2490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2491</v>
      </c>
      <c r="C15" s="986">
        <f ca="1">ROUND(C11*F15,0)</f>
        <v>1100</v>
      </c>
      <c r="D15" s="981"/>
      <c r="E15" s="986"/>
      <c r="F15" s="987">
        <f>'数据-取费表'!B36</f>
        <v>1.4999999999999999E-2</v>
      </c>
      <c r="G15" s="140" t="s">
        <v>2492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2493</v>
      </c>
      <c r="C16" s="986">
        <f ca="1">SUM(C11:C15)</f>
        <v>89972</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2494</v>
      </c>
      <c r="C17" s="24">
        <f ca="1">ROUND(D17*E17/10000,0)</f>
        <v>0</v>
      </c>
      <c r="D17" s="1036">
        <f ca="1">D14</f>
        <v>296702.55000000005</v>
      </c>
      <c r="E17" s="24">
        <f>'数据-取费表'!B32</f>
        <v>0</v>
      </c>
      <c r="F17" s="981"/>
      <c r="G17" s="140" t="s">
        <v>2495</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2496</v>
      </c>
      <c r="C18" s="24">
        <f ca="1">C19+C20-IF(C1="",'数据-取费表'!B29,IF(G18="已全部缴纳",C19+C20,H18))</f>
        <v>0</v>
      </c>
      <c r="D18" s="1036"/>
      <c r="E18" s="24"/>
      <c r="F18" s="979"/>
      <c r="G18" s="2556"/>
      <c r="H18" s="1579"/>
      <c r="I18" s="2557" t="s">
        <v>2497</v>
      </c>
      <c r="J18" s="982"/>
      <c r="K18" s="983"/>
    </row>
    <row r="19" spans="1:33" s="978" customFormat="1" ht="13.5" customHeight="1">
      <c r="A19" s="974" t="s">
        <v>805</v>
      </c>
      <c r="B19" s="975" t="s">
        <v>2498</v>
      </c>
      <c r="C19" s="24">
        <f ca="1">ROUND(D19*E19/10000,0)</f>
        <v>3416</v>
      </c>
      <c r="D19" s="1036">
        <f ca="1">IF(C1="",'数据-汇总表'!E5,IF(INDIRECT("'数据-取费表'!c"&amp;$K$1)="住宅",INDIRECT("'数据-取费表'!k"&amp;$K$1),0))</f>
        <v>227714.24</v>
      </c>
      <c r="E19" s="24">
        <f>'数据-取费表'!B27</f>
        <v>150</v>
      </c>
      <c r="F19" s="979"/>
      <c r="G19" s="15"/>
      <c r="H19" s="1581"/>
      <c r="I19" s="984"/>
      <c r="J19" s="984"/>
      <c r="K19" s="985"/>
    </row>
    <row r="20" spans="1:33" s="978" customFormat="1" ht="13.5" customHeight="1">
      <c r="A20" s="974" t="s">
        <v>806</v>
      </c>
      <c r="B20" s="975" t="s">
        <v>2499</v>
      </c>
      <c r="C20" s="24">
        <f ca="1">ROUND(D20*E20/10000,0)</f>
        <v>1035</v>
      </c>
      <c r="D20" s="1036">
        <f ca="1">IF(C1="",'数据-汇总表'!E6,IF(INDIRECT("'数据-取费表'!c"&amp;$K$1)="住宅",INDIRECT("'数据-取费表'!s"&amp;$K$1),INDIRECT("'数据-取费表'!k"&amp;$K$1)+INDIRECT("'数据-取费表'!s"&amp;$K$1)))</f>
        <v>68988.310000000056</v>
      </c>
      <c r="E20" s="24">
        <f>'数据-取费表'!B28</f>
        <v>150</v>
      </c>
      <c r="F20" s="979"/>
      <c r="G20" s="15"/>
      <c r="H20" s="984"/>
      <c r="I20" s="984"/>
      <c r="J20" s="984"/>
      <c r="K20" s="985"/>
    </row>
    <row r="21" spans="1:33" s="978" customFormat="1" ht="13.5" customHeight="1">
      <c r="A21" s="964" t="s">
        <v>802</v>
      </c>
      <c r="B21" s="988" t="s">
        <v>2500</v>
      </c>
      <c r="C21" s="989">
        <f ca="1">C16+C17+C18</f>
        <v>89972</v>
      </c>
      <c r="D21" s="990"/>
      <c r="E21" s="325"/>
      <c r="F21" s="325"/>
      <c r="G21" s="140" t="s">
        <v>2501</v>
      </c>
      <c r="H21" s="982"/>
      <c r="I21" s="982"/>
      <c r="J21" s="982"/>
      <c r="K21" s="983"/>
    </row>
    <row r="22" spans="1:33" s="978" customFormat="1" ht="13.5" customHeight="1">
      <c r="A22" s="964" t="s">
        <v>2473</v>
      </c>
      <c r="B22" s="988" t="s">
        <v>2502</v>
      </c>
      <c r="C22" s="989">
        <f ca="1">ROUND(C21*F22,0)</f>
        <v>1799</v>
      </c>
      <c r="D22" s="325"/>
      <c r="E22" s="325"/>
      <c r="F22" s="991">
        <f>'数据-取费表'!B37</f>
        <v>0.02</v>
      </c>
      <c r="G22" s="8" t="s">
        <v>2503</v>
      </c>
      <c r="H22" s="971"/>
      <c r="I22" s="971"/>
      <c r="J22" s="971"/>
      <c r="K22" s="972"/>
    </row>
    <row r="23" spans="1:33" s="978" customFormat="1" ht="13.5" customHeight="1">
      <c r="A23" s="964" t="s">
        <v>2475</v>
      </c>
      <c r="B23" s="988" t="s">
        <v>2504</v>
      </c>
      <c r="C23" s="989">
        <f ca="1">ROUND(C4*F23*F11,0)</f>
        <v>7872</v>
      </c>
      <c r="D23" s="325"/>
      <c r="E23" s="325"/>
      <c r="F23" s="991">
        <f>'数据-取费表'!B38</f>
        <v>0.02</v>
      </c>
      <c r="G23" s="8" t="s">
        <v>2505</v>
      </c>
      <c r="H23" s="971"/>
      <c r="I23" s="971"/>
      <c r="J23" s="971"/>
      <c r="K23" s="972"/>
    </row>
    <row r="24" spans="1:33" s="978" customFormat="1" ht="13.5" customHeight="1">
      <c r="A24" s="964" t="s">
        <v>2506</v>
      </c>
      <c r="B24" s="988" t="s">
        <v>2507</v>
      </c>
      <c r="C24" s="324">
        <f>ROUND(F24/(1+'数据-取费表'!C42),4)</f>
        <v>2.9000000000000001E-2</v>
      </c>
      <c r="D24" s="325" t="s">
        <v>15</v>
      </c>
      <c r="E24" s="325"/>
      <c r="F24" s="991">
        <f>'数据-取费表'!B48+'数据-取费表'!B49</f>
        <v>3.0499999999999999E-2</v>
      </c>
      <c r="G24" s="8" t="s">
        <v>2508</v>
      </c>
      <c r="H24" s="993"/>
      <c r="I24" s="993"/>
      <c r="J24" s="993"/>
      <c r="K24" s="994"/>
    </row>
    <row r="25" spans="1:33" s="978" customFormat="1" ht="13.5" customHeight="1">
      <c r="A25" s="964" t="s">
        <v>2509</v>
      </c>
      <c r="B25" s="990" t="s">
        <v>2510</v>
      </c>
      <c r="C25" s="1359">
        <f ca="1">C27</f>
        <v>6782</v>
      </c>
      <c r="D25" s="324">
        <f ca="1">C26</f>
        <v>0.14480000000000001</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2511</v>
      </c>
      <c r="C26" s="1360">
        <f ca="1">ROUND(IF('数据-取费表'!B22&lt;=1,(1+C24)*F25*'数据-取费表'!B24,(1+C24)*(POWER((1+F25),'数据-取费表'!B24)-1)),4)</f>
        <v>0.14480000000000001</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2512</v>
      </c>
      <c r="C27" s="1361">
        <f ca="1">ROUND(IF('数据-取费表'!B22&lt;=1,(C21+C22+C23)*F25*'数据-取费表'!B24/2,(C21+C22+C23)*(POWER((1+F25),'数据-取费表'!B24/2)-1)),0)</f>
        <v>6782</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2513</v>
      </c>
      <c r="B28" s="2559" t="s">
        <v>2514</v>
      </c>
      <c r="C28" s="331">
        <f ca="1">C30</f>
        <v>24911</v>
      </c>
      <c r="D28" s="324">
        <f ca="1">C29</f>
        <v>0.24340000000000001</v>
      </c>
      <c r="E28" s="326" t="s">
        <v>15</v>
      </c>
      <c r="F28" s="332">
        <f ca="1">IF(C1="",'数据-取费表'!Q16,INDIRECT("'数据-取费表'!q"&amp;$K$1))</f>
        <v>0.25</v>
      </c>
      <c r="G28" s="992"/>
      <c r="H28" s="993"/>
      <c r="I28" s="993"/>
      <c r="J28" s="993"/>
      <c r="K28" s="994"/>
    </row>
    <row r="29" spans="1:33" s="335" customFormat="1" ht="13.5" customHeight="1">
      <c r="A29" s="974" t="s">
        <v>803</v>
      </c>
      <c r="B29" s="997" t="s">
        <v>2515</v>
      </c>
      <c r="C29" s="328">
        <f ca="1">ROUND((1+C24)*F28*'数据-取费表'!B24/'数据-取费表'!B20,4)</f>
        <v>0.24340000000000001</v>
      </c>
      <c r="D29" s="328"/>
      <c r="E29" s="329"/>
      <c r="F29" s="334"/>
      <c r="G29" s="140" t="s">
        <v>2516</v>
      </c>
      <c r="H29" s="982"/>
      <c r="I29" s="982"/>
      <c r="J29" s="982"/>
      <c r="K29" s="983"/>
    </row>
    <row r="30" spans="1:33" s="335" customFormat="1" ht="13.5" customHeight="1">
      <c r="A30" s="974" t="s">
        <v>804</v>
      </c>
      <c r="B30" s="997" t="s">
        <v>2517</v>
      </c>
      <c r="C30" s="336">
        <f ca="1">ROUND((C21+C22+C23)*F28,0)</f>
        <v>24911</v>
      </c>
      <c r="D30" s="328"/>
      <c r="E30" s="329"/>
      <c r="F30" s="334"/>
      <c r="G30" s="140"/>
      <c r="H30" s="982"/>
      <c r="I30" s="982"/>
      <c r="J30" s="982"/>
      <c r="K30" s="983"/>
    </row>
    <row r="31" spans="1:33" s="978" customFormat="1" ht="13.5" customHeight="1" thickBot="1">
      <c r="A31" s="2560" t="s">
        <v>2518</v>
      </c>
      <c r="B31" s="1008" t="s">
        <v>2519</v>
      </c>
      <c r="C31" s="1009">
        <f ca="1">ROUND(C4*F31/(1+'数据-取费表'!C42),0)</f>
        <v>22191</v>
      </c>
      <c r="D31" s="1010"/>
      <c r="E31" s="1011"/>
      <c r="F31" s="1012">
        <f>'数据-取费表'!B41</f>
        <v>5.6000000000000001E-2</v>
      </c>
      <c r="G31" s="1013" t="s">
        <v>2520</v>
      </c>
      <c r="H31" s="1014"/>
      <c r="I31" s="1014"/>
      <c r="J31" s="1014"/>
      <c r="K31" s="1015"/>
    </row>
    <row r="32" spans="1:33" s="973" customFormat="1" ht="13.5" customHeight="1" thickBot="1">
      <c r="A32" s="1003" t="s">
        <v>2521</v>
      </c>
      <c r="B32" s="1004"/>
      <c r="C32" s="1005">
        <f ca="1">ROUND((C4-C21-C22-C23-C25-C28-C31)/(1+C24+D25+D28),0)</f>
        <v>185267</v>
      </c>
      <c r="D32" s="1004"/>
      <c r="E32" s="1004"/>
      <c r="F32" s="1004"/>
      <c r="G32" s="1006" t="s">
        <v>2522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7" zoomScale="90" zoomScaleNormal="90" zoomScaleSheetLayoutView="90" workbookViewId="0">
      <selection activeCell="B6" sqref="B6:C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6" t="b">
        <f>J53</f>
        <v>0</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5">
        <f ca="1">C6+C10+C12</f>
        <v>0</v>
      </c>
      <c r="D5" s="1824" t="s">
        <v>1602</v>
      </c>
      <c r="E5" s="1296"/>
      <c r="F5" s="1297"/>
      <c r="G5" s="1853"/>
      <c r="H5" s="344">
        <v>1</v>
      </c>
      <c r="I5" s="345" t="s">
        <v>1601</v>
      </c>
      <c r="J5" s="1295">
        <f ca="1">J6+J10+J12</f>
        <v>0</v>
      </c>
      <c r="K5" s="1824" t="s">
        <v>1602</v>
      </c>
      <c r="L5" s="1296"/>
      <c r="M5" s="1297"/>
    </row>
    <row r="6" spans="1:37" ht="18" customHeight="1">
      <c r="A6" s="1294" t="s">
        <v>1035</v>
      </c>
      <c r="B6" s="3220" t="s">
        <v>1403</v>
      </c>
      <c r="C6" s="1299">
        <f ca="1">ROUND(F6*F8*F7*(1-F9),0)</f>
        <v>0</v>
      </c>
      <c r="D6" s="164" t="s">
        <v>3035</v>
      </c>
      <c r="E6" s="347" t="s">
        <v>1405</v>
      </c>
      <c r="F6" s="348">
        <f ca="1">INDIRECT("'数据-取费表'!u"&amp;$G$1)</f>
        <v>0</v>
      </c>
      <c r="G6" s="1853"/>
      <c r="H6" s="1294" t="s">
        <v>1035</v>
      </c>
      <c r="I6" s="3220" t="s">
        <v>1403</v>
      </c>
      <c r="J6" s="346">
        <f ca="1">ROUND(M6*M8*M7*(1-M9),0)</f>
        <v>0</v>
      </c>
      <c r="K6" s="1836" t="s">
        <v>3038</v>
      </c>
      <c r="L6" s="347" t="s">
        <v>1405</v>
      </c>
      <c r="M6" s="348">
        <f ca="1">INDIRECT("'数据-取费表'!z"&amp;$G$1)</f>
        <v>0</v>
      </c>
    </row>
    <row r="7" spans="1:37" ht="18" customHeight="1">
      <c r="A7" s="1298"/>
      <c r="B7" s="3221"/>
      <c r="C7" s="1300"/>
      <c r="D7" s="352"/>
      <c r="E7" s="1301" t="s">
        <v>1406</v>
      </c>
      <c r="F7" s="348">
        <f ca="1">IF(INDIRECT("'数据-取费表'!ah"&amp;$G$1)="",INDIRECT("'数据-取费表'!k"&amp;$G$1),INDIRECT("'数据-取费表'!ah"&amp;$G$1))</f>
        <v>0</v>
      </c>
      <c r="G7" s="1853"/>
      <c r="H7" s="349"/>
      <c r="I7" s="3221"/>
      <c r="J7" s="351"/>
      <c r="K7" s="352"/>
      <c r="L7" s="347" t="s">
        <v>1406</v>
      </c>
      <c r="M7" s="348">
        <f ca="1">F7</f>
        <v>0</v>
      </c>
    </row>
    <row r="8" spans="1:37" ht="18" customHeight="1">
      <c r="A8" s="349"/>
      <c r="B8" s="3221"/>
      <c r="C8" s="351"/>
      <c r="D8" s="352"/>
      <c r="E8" s="347" t="s">
        <v>1407</v>
      </c>
      <c r="F8" s="348">
        <f ca="1">INDIRECT("'数据-取费表'!ai"&amp;$G$1)</f>
        <v>0</v>
      </c>
      <c r="G8" s="1853"/>
      <c r="H8" s="349"/>
      <c r="I8" s="3221"/>
      <c r="J8" s="351"/>
      <c r="K8" s="352"/>
      <c r="L8" s="347" t="s">
        <v>1407</v>
      </c>
      <c r="M8" s="348">
        <f ca="1">INDIRECT("'数据-取费表'!ai"&amp;$G$1)</f>
        <v>0</v>
      </c>
    </row>
    <row r="9" spans="1:37" ht="18" customHeight="1">
      <c r="A9" s="349"/>
      <c r="B9" s="3222"/>
      <c r="C9" s="351"/>
      <c r="D9" s="352"/>
      <c r="E9" s="347" t="s">
        <v>1408</v>
      </c>
      <c r="F9" s="357">
        <f ca="1">INDIRECT("'数据-取费表'!w"&amp;$G$1)</f>
        <v>0</v>
      </c>
      <c r="G9" s="1853"/>
      <c r="H9" s="349"/>
      <c r="I9" s="3222"/>
      <c r="J9" s="351"/>
      <c r="K9" s="352"/>
      <c r="L9" s="358" t="s">
        <v>1408</v>
      </c>
      <c r="M9" s="359">
        <f ca="1">INDIRECT("'数据-取费表'!ab"&amp;$G$1)</f>
        <v>0</v>
      </c>
    </row>
    <row r="10" spans="1:37" ht="18" customHeight="1">
      <c r="A10" s="1294" t="s">
        <v>1039</v>
      </c>
      <c r="B10" s="1825" t="s">
        <v>1409</v>
      </c>
      <c r="C10" s="361">
        <f ca="1">ROUND(IF(F10="押一",F6*F8*F7/12*F11,IF(F10="押二",F6*F8*F7/12*2*F11,IF(F10="押三",F6*F8*F7/12*3*F11,C11*F11))),0)</f>
        <v>0</v>
      </c>
      <c r="D10" s="1826" t="s">
        <v>3036</v>
      </c>
      <c r="E10" s="358" t="s">
        <v>1411</v>
      </c>
      <c r="F10" s="1369"/>
      <c r="G10" s="1853"/>
      <c r="H10" s="1294" t="s">
        <v>1039</v>
      </c>
      <c r="I10" s="1825" t="s">
        <v>1409</v>
      </c>
      <c r="J10" s="346">
        <f ca="1">ROUND(IF(M10="押一",M6*M8*M7/12*M11,IF(M10="押二",M6*M8*M7/12*2*M11,IF(M10="押三",M6*M8*M7/12*3*M11,J11*M11))),0)</f>
        <v>0</v>
      </c>
      <c r="K10" s="1837" t="s">
        <v>3037</v>
      </c>
      <c r="L10" s="358" t="s">
        <v>1411</v>
      </c>
      <c r="M10" s="1369"/>
    </row>
    <row r="11" spans="1:37" ht="18" customHeight="1">
      <c r="A11" s="353"/>
      <c r="B11" s="1827" t="s">
        <v>1603</v>
      </c>
      <c r="C11" s="1181"/>
      <c r="D11" s="352"/>
      <c r="E11" s="358" t="s">
        <v>1413</v>
      </c>
      <c r="F11" s="359">
        <f ca="1">'数据-取费表'!B39</f>
        <v>1.4999999999999999E-2</v>
      </c>
      <c r="G11" s="1853"/>
      <c r="H11" s="1302"/>
      <c r="I11" s="1827" t="s">
        <v>1604</v>
      </c>
      <c r="J11" s="1181"/>
      <c r="K11" s="748"/>
      <c r="L11" s="358" t="s">
        <v>1413</v>
      </c>
      <c r="M11" s="1059">
        <f ca="1">'数据-取费表'!B39</f>
        <v>1.4999999999999999E-2</v>
      </c>
    </row>
    <row r="12" spans="1:37" ht="18" customHeight="1" thickBot="1">
      <c r="A12" s="1336" t="s">
        <v>1075</v>
      </c>
      <c r="B12" s="1829" t="s">
        <v>1414</v>
      </c>
      <c r="C12" s="1337"/>
      <c r="D12" s="1338"/>
      <c r="E12" s="1343"/>
      <c r="F12" s="1339"/>
      <c r="G12" s="1853"/>
      <c r="H12" s="1336" t="s">
        <v>1075</v>
      </c>
      <c r="I12" s="1829"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3"/>
      <c r="H13" s="1332">
        <v>2</v>
      </c>
      <c r="I13" s="1333" t="s">
        <v>1415</v>
      </c>
      <c r="J13" s="1293">
        <f ca="1">ROUND(J14*J15,0)</f>
        <v>0</v>
      </c>
      <c r="K13" s="1340" t="s">
        <v>1416</v>
      </c>
      <c r="L13" s="1854"/>
      <c r="M13" s="1855"/>
    </row>
    <row r="14" spans="1:37" ht="18" customHeight="1">
      <c r="A14" s="1204" t="s">
        <v>1034</v>
      </c>
      <c r="B14" s="347" t="s">
        <v>1418</v>
      </c>
      <c r="C14" s="363">
        <f ca="1">ROUND(INDIRECT("'数据-取费表'!l"&amp;$G$1)*F43+'数据-取费表'!L14*INDIRECT("'数据-取费表'!S"&amp;$G$1),0)</f>
        <v>0</v>
      </c>
      <c r="D14" s="1802" t="s">
        <v>1419</v>
      </c>
      <c r="E14" s="1796"/>
      <c r="F14" s="364"/>
      <c r="G14" s="1853"/>
      <c r="H14" s="1204" t="s">
        <v>1035</v>
      </c>
      <c r="I14" s="347" t="s">
        <v>1420</v>
      </c>
      <c r="J14" s="24">
        <f ca="1">C29</f>
        <v>0</v>
      </c>
      <c r="K14" s="15"/>
      <c r="L14" s="982"/>
      <c r="M14" s="983"/>
    </row>
    <row r="15" spans="1:37" s="1860" customFormat="1" ht="18" customHeight="1" thickBot="1">
      <c r="A15" s="1204" t="s">
        <v>1036</v>
      </c>
      <c r="B15" s="347" t="s">
        <v>1421</v>
      </c>
      <c r="C15" s="24">
        <f ca="1">ROUND(C14*F15,0)</f>
        <v>0</v>
      </c>
      <c r="D15" s="365" t="s">
        <v>1422</v>
      </c>
      <c r="E15" s="365" t="s">
        <v>1423</v>
      </c>
      <c r="F15" s="366">
        <f>'数据-取费表'!B33</f>
        <v>0.05</v>
      </c>
      <c r="G15" s="1856"/>
      <c r="H15" s="1342" t="s">
        <v>1039</v>
      </c>
      <c r="I15" s="1343" t="s">
        <v>1417</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3"/>
      <c r="H16" s="1332" t="s">
        <v>1030</v>
      </c>
      <c r="I16" s="1333" t="s">
        <v>1425</v>
      </c>
      <c r="J16" s="355">
        <f ca="1">ROUND(J17+J22+J23+J24,0)</f>
        <v>0</v>
      </c>
      <c r="K16" s="1340" t="s">
        <v>1426</v>
      </c>
      <c r="L16" s="1341"/>
      <c r="M16" s="1297"/>
    </row>
    <row r="17" spans="1:37" s="1860" customFormat="1" ht="18" customHeight="1">
      <c r="A17" s="1204" t="s">
        <v>1390</v>
      </c>
      <c r="B17" s="347" t="s">
        <v>1427</v>
      </c>
      <c r="C17" s="24">
        <f ca="1">ROUND(F17*(F43+INDIRECT("'数据-取费表'!S"&amp;$G$1)),0)</f>
        <v>0</v>
      </c>
      <c r="D17" s="347" t="s">
        <v>1428</v>
      </c>
      <c r="E17" s="347" t="s">
        <v>1429</v>
      </c>
      <c r="F17" s="26">
        <f>'数据-取费表'!B35</f>
        <v>200</v>
      </c>
      <c r="G17" s="1856"/>
      <c r="H17" s="1204" t="s">
        <v>1035</v>
      </c>
      <c r="I17" s="347" t="s">
        <v>1430</v>
      </c>
      <c r="J17" s="24">
        <f ca="1">ROUND(IF(项目基本情况!B11="自然人",J5*M17,J18+J19+J20),0)</f>
        <v>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0</v>
      </c>
      <c r="D18" s="347" t="s">
        <v>1422</v>
      </c>
      <c r="E18" s="347" t="s">
        <v>1423</v>
      </c>
      <c r="F18" s="367">
        <f>'数据-取费表'!B36</f>
        <v>1.4999999999999999E-2</v>
      </c>
      <c r="G18" s="1856"/>
      <c r="H18" s="1204" t="s">
        <v>1034</v>
      </c>
      <c r="I18" s="347" t="s">
        <v>1434</v>
      </c>
      <c r="J18" s="24">
        <f ca="1">ROUND(J5*M18/(1+'数据-取费表'!C42),0)</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0</v>
      </c>
      <c r="D19" s="140" t="s">
        <v>1437</v>
      </c>
      <c r="E19" s="1820"/>
      <c r="F19" s="26"/>
      <c r="G19" s="1853"/>
      <c r="H19" s="1204"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4" t="s">
        <v>1039</v>
      </c>
      <c r="B20" s="347" t="s">
        <v>1440</v>
      </c>
      <c r="C20" s="24">
        <f ca="1">ROUND(C19*F20,0)</f>
        <v>0</v>
      </c>
      <c r="D20" s="369" t="s">
        <v>1441</v>
      </c>
      <c r="E20" s="347" t="s">
        <v>1423</v>
      </c>
      <c r="F20" s="367">
        <f>'数据-取费表'!B37</f>
        <v>0.02</v>
      </c>
      <c r="G20" s="1856"/>
      <c r="H20" s="1204" t="s">
        <v>1389</v>
      </c>
      <c r="I20" s="164" t="s">
        <v>1442</v>
      </c>
      <c r="J20" s="25">
        <f ca="1">ROUND(M20*M21,0)</f>
        <v>0</v>
      </c>
      <c r="K20" s="370" t="s">
        <v>1443</v>
      </c>
      <c r="L20" s="347" t="s">
        <v>1444</v>
      </c>
      <c r="M20" s="371">
        <f>'数据-取费表'!B52</f>
        <v>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0"/>
      <c r="F22" s="26"/>
      <c r="G22" s="1853"/>
      <c r="H22" s="1204" t="s">
        <v>1039</v>
      </c>
      <c r="I22" s="347" t="s">
        <v>1450</v>
      </c>
      <c r="J22" s="24">
        <f ca="1">ROUND(J14*M22,0)</f>
        <v>0</v>
      </c>
      <c r="K22" s="1800" t="s">
        <v>1451</v>
      </c>
      <c r="L22" s="347" t="s">
        <v>1423</v>
      </c>
      <c r="M22" s="374">
        <f ca="1">INDIRECT("'数据-取费表'!Ak"&amp;$G$1)</f>
        <v>0</v>
      </c>
    </row>
    <row r="23" spans="1:37" s="1860"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3</v>
      </c>
      <c r="G23" s="1856"/>
      <c r="H23" s="1204"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6"/>
      <c r="H24" s="1342" t="s">
        <v>1393</v>
      </c>
      <c r="I24" s="1343" t="s">
        <v>1440</v>
      </c>
      <c r="J24" s="1344">
        <f ca="1">ROUND(J5*M24,0)</f>
        <v>0</v>
      </c>
      <c r="K24" s="1345" t="s">
        <v>1460</v>
      </c>
      <c r="L24" s="1343" t="s">
        <v>1456</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1461</v>
      </c>
      <c r="B25" s="347" t="s">
        <v>1462</v>
      </c>
      <c r="C25" s="24"/>
      <c r="D25" s="140" t="s">
        <v>1463</v>
      </c>
      <c r="E25" s="1820"/>
      <c r="F25" s="26"/>
      <c r="G25" s="1853"/>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1479</v>
      </c>
      <c r="C29" s="1344">
        <f ca="1">ROUND((C19+C20+C23+C26)/(1-F21-C24-C27-C28),0)</f>
        <v>0</v>
      </c>
      <c r="D29" s="1345"/>
      <c r="E29" s="1343"/>
      <c r="F29" s="1346"/>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1425</v>
      </c>
      <c r="C30" s="355">
        <f ca="1">ROUND(C31+C36+C37+C38,0)</f>
        <v>0</v>
      </c>
      <c r="D30" s="1340" t="s">
        <v>1426</v>
      </c>
      <c r="E30" s="1341"/>
      <c r="F30" s="1297"/>
      <c r="G30" s="1853"/>
      <c r="H30" s="745"/>
      <c r="I30" s="746"/>
      <c r="J30" s="747"/>
      <c r="K30" s="748"/>
      <c r="L30" s="749"/>
      <c r="M30" s="750"/>
    </row>
    <row r="31" spans="1:37" ht="18" customHeight="1">
      <c r="A31" s="1204" t="s">
        <v>1035</v>
      </c>
      <c r="B31" s="347" t="s">
        <v>1430</v>
      </c>
      <c r="C31" s="24">
        <f ca="1">ROUND(IF(项目基本情况!B11="自然人",C5*F31,C32+C33+C34),0)</f>
        <v>0</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IF(项目基本情况!B11="自然人","——",ROUND(C5*F32/(1+'数据-取费表'!C42),0))</f>
        <v>0</v>
      </c>
      <c r="D32" s="1800" t="s">
        <v>1435</v>
      </c>
      <c r="E32" s="347" t="s">
        <v>1423</v>
      </c>
      <c r="F32" s="377">
        <f>'数据-取费表'!B41</f>
        <v>5.6000000000000001E-2</v>
      </c>
      <c r="G32" s="1853"/>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4" t="s">
        <v>1389</v>
      </c>
      <c r="B34" s="164" t="s">
        <v>1442</v>
      </c>
      <c r="C34" s="25">
        <f ca="1">IF(项目基本情况!B11="自然人","——",ROUND(F34*F35,))</f>
        <v>0</v>
      </c>
      <c r="D34" s="370" t="s">
        <v>1443</v>
      </c>
      <c r="E34" s="347" t="s">
        <v>1444</v>
      </c>
      <c r="F34" s="371">
        <f>'数据-取费表'!B52</f>
        <v>6</v>
      </c>
      <c r="G34" s="1853"/>
      <c r="H34" s="745"/>
      <c r="I34" s="1862"/>
      <c r="J34" s="1863"/>
      <c r="K34" s="1865"/>
      <c r="L34" s="1866"/>
      <c r="M34" s="1866"/>
    </row>
    <row r="35" spans="1:18" ht="18" customHeight="1">
      <c r="A35" s="1356"/>
      <c r="B35" s="1354"/>
      <c r="C35" s="29"/>
      <c r="D35" s="373"/>
      <c r="E35" s="347" t="s">
        <v>1448</v>
      </c>
      <c r="F35" s="348">
        <f ca="1">INDIRECT("'数据-取费表'!r"&amp;$G$1)</f>
        <v>0</v>
      </c>
      <c r="G35" s="1853"/>
      <c r="H35" s="745"/>
      <c r="I35" s="1862"/>
      <c r="J35" s="1863"/>
      <c r="K35" s="1864"/>
      <c r="L35" s="1861"/>
      <c r="M35" s="1861"/>
    </row>
    <row r="36" spans="1:18" ht="18" customHeight="1">
      <c r="A36" s="1355"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4"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2" t="s">
        <v>1393</v>
      </c>
      <c r="B38" s="1343" t="s">
        <v>1440</v>
      </c>
      <c r="C38" s="1344">
        <f ca="1">ROUND(C5*F38,1)</f>
        <v>0</v>
      </c>
      <c r="D38" s="1345" t="s">
        <v>1460</v>
      </c>
      <c r="E38" s="1343" t="s">
        <v>1456</v>
      </c>
      <c r="F38" s="1339">
        <f ca="1">INDIRECT("'数据-取费表'!Am"&amp;$G$1)</f>
        <v>0</v>
      </c>
      <c r="G38" s="1853"/>
      <c r="H38" s="1861"/>
      <c r="I38" s="1862"/>
      <c r="J38" s="1863"/>
      <c r="K38" s="1867"/>
      <c r="L38" s="1861"/>
      <c r="M38" s="1861"/>
    </row>
    <row r="39" spans="1:18" ht="24.6" customHeight="1" thickTop="1">
      <c r="A39" s="1332" t="s">
        <v>1031</v>
      </c>
      <c r="B39" s="1347" t="s">
        <v>1484</v>
      </c>
      <c r="C39" s="355">
        <f ca="1">C5-C30</f>
        <v>0</v>
      </c>
      <c r="D39" s="1348" t="s">
        <v>1485</v>
      </c>
      <c r="E39" s="1349"/>
      <c r="F39" s="1350"/>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8" t="s">
        <v>1396</v>
      </c>
      <c r="B47" s="1200" t="s">
        <v>1397</v>
      </c>
      <c r="C47" s="1200" t="s">
        <v>1398</v>
      </c>
      <c r="D47" s="1200" t="s">
        <v>1399</v>
      </c>
      <c r="E47" s="1282" t="s">
        <v>1400</v>
      </c>
      <c r="F47" s="1283"/>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3" t="s">
        <v>1135</v>
      </c>
      <c r="B48" s="345" t="s">
        <v>1401</v>
      </c>
      <c r="C48" s="1819">
        <f ca="1">C49+C53+C55</f>
        <v>0</v>
      </c>
      <c r="D48" s="1365"/>
      <c r="E48" s="1366"/>
      <c r="F48" s="1184"/>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7" t="s">
        <v>1136</v>
      </c>
      <c r="B49" s="1831" t="s">
        <v>1491</v>
      </c>
      <c r="C49" s="1367">
        <f ca="1">ROUND(F49*F51*F50*(1-F52),0)</f>
        <v>0</v>
      </c>
      <c r="D49" s="1279" t="s">
        <v>1404</v>
      </c>
      <c r="E49" s="1832" t="s">
        <v>1492</v>
      </c>
      <c r="F49" s="1284"/>
      <c r="G49" s="1893"/>
      <c r="H49" s="793"/>
      <c r="I49" s="1889" t="s">
        <v>1535</v>
      </c>
      <c r="J49" s="1894"/>
      <c r="K49" s="1891" t="s">
        <v>1536</v>
      </c>
      <c r="L49" s="1895"/>
      <c r="O49" s="1896" t="s">
        <v>1042</v>
      </c>
      <c r="P49" s="1887" t="s">
        <v>1537</v>
      </c>
      <c r="Q49" s="1888">
        <f ca="1">C29</f>
        <v>0</v>
      </c>
      <c r="R49" s="1888" t="s">
        <v>1530</v>
      </c>
    </row>
    <row r="50" spans="1:18" s="1844" customFormat="1" ht="13.5" thickBot="1">
      <c r="A50" s="1198"/>
      <c r="B50" s="1201"/>
      <c r="C50" s="1202"/>
      <c r="D50" s="1175"/>
      <c r="E50" s="1280" t="s">
        <v>1406</v>
      </c>
      <c r="F50" s="1281">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9"/>
      <c r="B51" s="1201"/>
      <c r="C51" s="1202"/>
      <c r="D51" s="1175"/>
      <c r="E51" s="1203"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9"/>
      <c r="B52" s="1201"/>
      <c r="C52" s="1202"/>
      <c r="D52" s="1175"/>
      <c r="E52" s="1203" t="s">
        <v>1408</v>
      </c>
      <c r="F52" s="1278"/>
      <c r="I52" s="1905" t="s">
        <v>1544</v>
      </c>
      <c r="J52" s="1906"/>
      <c r="K52" s="1905" t="s">
        <v>1545</v>
      </c>
      <c r="L52" s="1906"/>
      <c r="O52" s="1896" t="s">
        <v>1045</v>
      </c>
      <c r="P52" s="1887" t="s">
        <v>1546</v>
      </c>
      <c r="Q52" s="1888" t="b">
        <f>J53</f>
        <v>0</v>
      </c>
      <c r="R52" s="1888" t="s">
        <v>1547</v>
      </c>
    </row>
    <row r="53" spans="1:18" s="1844" customFormat="1" ht="30.75" customHeight="1" thickBot="1">
      <c r="A53" s="1364" t="s">
        <v>1137</v>
      </c>
      <c r="B53" s="369" t="s">
        <v>1409</v>
      </c>
      <c r="C53" s="361">
        <f ca="1">ROUND(IF(F53="押一",F49*F51*F50/12*F11,IF(F53="押二",F49*F51*F50/12*2*F11,IF(F53="押三",F49*F51*F50/12*3*F11,C54*F11))),0)</f>
        <v>0</v>
      </c>
      <c r="D53" s="1826" t="s">
        <v>1410</v>
      </c>
      <c r="E53" s="358" t="s">
        <v>1411</v>
      </c>
      <c r="F53" s="1369"/>
      <c r="I53" s="1907" t="s">
        <v>1548</v>
      </c>
      <c r="J53" s="1908" t="b">
        <f>IF(M47="住宅",J51,IF(D1="——",MIN(J51,L48),IF(D1="在建（套用方法）",MIN(J51,L48-'数据-取费表'!B24),IF(D1="土地（套用方法）",MIN(J51,L48-'数据-取费表'!B20)))))</f>
        <v>0</v>
      </c>
      <c r="K53" s="3223" t="s">
        <v>1549</v>
      </c>
      <c r="L53" s="3224"/>
      <c r="O53" s="1886" t="s">
        <v>1046</v>
      </c>
      <c r="P53" s="1887" t="s">
        <v>1550</v>
      </c>
      <c r="Q53" s="1888" t="e">
        <f ca="1">Q47+Q48</f>
        <v>#DIV/0!</v>
      </c>
      <c r="R53" s="1888" t="s">
        <v>1047</v>
      </c>
    </row>
    <row r="54" spans="1:18" s="1844" customFormat="1" ht="13.5" thickBot="1">
      <c r="A54" s="1197"/>
      <c r="B54" s="1943" t="s">
        <v>1604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6" t="s">
        <v>1075</v>
      </c>
      <c r="B55" s="1829" t="s">
        <v>1414</v>
      </c>
      <c r="C55" s="1337"/>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9">
        <v>2</v>
      </c>
      <c r="B56" s="1180"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2"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80" t="s">
        <v>1425</v>
      </c>
      <c r="C58" s="361">
        <f ca="1">ROUND(C59+C64+C65+C66,0)</f>
        <v>0</v>
      </c>
      <c r="D58" s="1182" t="s">
        <v>1426</v>
      </c>
      <c r="E58" s="1183"/>
      <c r="F58" s="1184"/>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IF(项目基本情况!B11="自然人","——",IF(D61="按租金收入计税",ROUND(C48*F61,0),IF(D61="按房产原值计税",ROUND(C57*F61*0.7,0),INDIRECT("'数据-取费表'!Aj"&amp;$G$1))))</f>
        <v>0</v>
      </c>
      <c r="D61" s="1830" t="s">
        <v>1439</v>
      </c>
      <c r="E61" s="1172"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4" t="s">
        <v>1496</v>
      </c>
      <c r="B62" s="1171" t="s">
        <v>1497</v>
      </c>
      <c r="C62" s="25">
        <f ca="1">IF(项目基本情况!B11="自然人","——",ROUND(F62*F63,0))</f>
        <v>0</v>
      </c>
      <c r="D62" s="1187" t="s">
        <v>1498</v>
      </c>
      <c r="E62" s="1172" t="s">
        <v>1499</v>
      </c>
      <c r="F62" s="371">
        <f t="shared" si="0"/>
        <v>6</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8"/>
      <c r="C63" s="29"/>
      <c r="D63" s="1188"/>
      <c r="E63" s="1172"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ROUND(C57*F64,0)</f>
        <v>0</v>
      </c>
      <c r="D64" s="1186" t="s">
        <v>1503</v>
      </c>
      <c r="E64" s="1172"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ROUND(C56*F65,0)</f>
        <v>0</v>
      </c>
      <c r="D65" s="1186" t="s">
        <v>1455</v>
      </c>
      <c r="E65" s="1172"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4" t="s">
        <v>1505</v>
      </c>
      <c r="B66" s="1172" t="s">
        <v>1440</v>
      </c>
      <c r="C66" s="24">
        <f ca="1">ROUND(C48*F66,0)</f>
        <v>0</v>
      </c>
      <c r="D66" s="1186" t="s">
        <v>1506</v>
      </c>
      <c r="E66" s="1172" t="s">
        <v>1423</v>
      </c>
      <c r="F66" s="357">
        <f t="shared" ca="1" si="0"/>
        <v>0</v>
      </c>
      <c r="O66" s="1886" t="s">
        <v>1041</v>
      </c>
      <c r="P66" s="1887" t="s">
        <v>1559</v>
      </c>
      <c r="Q66" s="1888" t="e">
        <f ca="1">L60</f>
        <v>#DIV/0!</v>
      </c>
      <c r="R66" s="1888" t="s">
        <v>1582</v>
      </c>
    </row>
    <row r="67" spans="1:18" s="1844" customFormat="1" ht="16.5" thickBot="1">
      <c r="A67" s="1179" t="s">
        <v>1031</v>
      </c>
      <c r="B67" s="1189" t="s">
        <v>1464</v>
      </c>
      <c r="C67" s="361">
        <f ca="1">C48-C58</f>
        <v>0</v>
      </c>
      <c r="D67" s="1185" t="s">
        <v>1465</v>
      </c>
      <c r="E67" s="1190"/>
      <c r="F67" s="1191"/>
      <c r="O67" s="1896" t="s">
        <v>1042</v>
      </c>
      <c r="P67" s="1887" t="s">
        <v>1563</v>
      </c>
      <c r="Q67" s="1935">
        <f ca="1">L51</f>
        <v>0</v>
      </c>
      <c r="R67" s="1888" t="s">
        <v>1583</v>
      </c>
    </row>
    <row r="68" spans="1:18" s="1844" customFormat="1" ht="16.5" thickBot="1">
      <c r="A68" s="1169" t="s">
        <v>1032</v>
      </c>
      <c r="B68" s="1170" t="s">
        <v>1486</v>
      </c>
      <c r="C68" s="346" t="e">
        <f ca="1">ROUND(C67*(1-((1+F70)/(1+F68))^F69)/(F68-F70),0)</f>
        <v>#DIV/0!</v>
      </c>
      <c r="D68" s="1187" t="s">
        <v>1470</v>
      </c>
      <c r="E68" s="1172" t="s">
        <v>1471</v>
      </c>
      <c r="F68" s="357">
        <f ca="1">F40</f>
        <v>0</v>
      </c>
      <c r="O68" s="1896" t="s">
        <v>1043</v>
      </c>
      <c r="P68" s="1936" t="s">
        <v>1584</v>
      </c>
      <c r="Q68" s="1888">
        <f ca="1">ROUND(Q69-Q70*Q71,0)</f>
        <v>0</v>
      </c>
      <c r="R68" s="1888" t="s">
        <v>1051</v>
      </c>
    </row>
    <row r="69" spans="1:18" s="1844" customFormat="1" ht="13.5" thickBot="1">
      <c r="A69" s="1173"/>
      <c r="B69" s="1174"/>
      <c r="C69" s="351"/>
      <c r="D69" s="1192" t="s">
        <v>1474</v>
      </c>
      <c r="E69" s="1172" t="s">
        <v>1475</v>
      </c>
      <c r="F69" s="379">
        <f ca="1">F41</f>
        <v>0</v>
      </c>
      <c r="O69" s="1896" t="s">
        <v>1048</v>
      </c>
      <c r="P69" s="1936" t="s">
        <v>1585</v>
      </c>
      <c r="Q69" s="1888">
        <f ca="1">C39</f>
        <v>0</v>
      </c>
      <c r="R69" s="1888" t="s">
        <v>1530</v>
      </c>
    </row>
    <row r="70" spans="1:18" s="1844" customFormat="1" ht="13.5" thickBot="1">
      <c r="A70" s="1176"/>
      <c r="B70" s="1177"/>
      <c r="C70" s="355"/>
      <c r="D70" s="1188"/>
      <c r="E70" s="1172" t="s">
        <v>1478</v>
      </c>
      <c r="F70" s="1278">
        <f ca="1">F42</f>
        <v>0</v>
      </c>
      <c r="O70" s="1896" t="s">
        <v>1049</v>
      </c>
      <c r="P70" s="1936" t="s">
        <v>1586</v>
      </c>
      <c r="Q70" s="1888">
        <f ca="1">C13</f>
        <v>0</v>
      </c>
      <c r="R70" s="1888" t="s">
        <v>1530</v>
      </c>
    </row>
    <row r="71" spans="1:18" s="1844" customFormat="1" ht="13.5" thickBot="1">
      <c r="A71" s="1193" t="s">
        <v>1033</v>
      </c>
      <c r="B71" s="1194" t="s">
        <v>1488</v>
      </c>
      <c r="C71" s="382" t="e">
        <f ca="1">ROUND(C68/F71,0)</f>
        <v>#DIV/0!</v>
      </c>
      <c r="D71" s="1195" t="s">
        <v>1489</v>
      </c>
      <c r="E71" s="1196"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B6" sqref="B6:C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2530</v>
      </c>
      <c r="B1" s="2562"/>
      <c r="C1" s="2562"/>
      <c r="D1" s="2562"/>
      <c r="E1" s="2563"/>
    </row>
    <row r="2" spans="1:6" ht="15.75">
      <c r="A2" s="2564" t="s">
        <v>2334</v>
      </c>
      <c r="B2" s="2565">
        <f ca="1">SUMIF(B6:B13,"&lt;&gt;#ref!",B6:B13)</f>
        <v>7272</v>
      </c>
      <c r="C2" s="2566" t="s">
        <v>2523</v>
      </c>
      <c r="D2" s="2567" t="s">
        <v>2524</v>
      </c>
      <c r="E2" s="2568">
        <f>SUM(E6:E13)</f>
        <v>4470.2299999999987</v>
      </c>
    </row>
    <row r="3" spans="1:6" ht="15.75">
      <c r="A3" s="2564" t="s">
        <v>1395</v>
      </c>
      <c r="B3" s="2565">
        <f ca="1">ROUND(B2*10000/E2,0)</f>
        <v>16268</v>
      </c>
      <c r="C3" s="2566" t="s">
        <v>2531</v>
      </c>
      <c r="D3" s="2569"/>
      <c r="E3" s="2570"/>
    </row>
    <row r="4" spans="1:6" ht="15.75">
      <c r="A4" s="2571"/>
      <c r="B4" s="2569"/>
      <c r="C4" s="2569"/>
      <c r="D4" s="2569"/>
      <c r="E4" s="2570"/>
    </row>
    <row r="5" spans="1:6" ht="15">
      <c r="A5" s="2572" t="s">
        <v>2525</v>
      </c>
      <c r="B5" s="3225" t="s">
        <v>2526</v>
      </c>
      <c r="C5" s="3225"/>
      <c r="D5" s="2573"/>
      <c r="E5" s="2574" t="s">
        <v>2527</v>
      </c>
      <c r="F5" s="2575" t="s">
        <v>2528</v>
      </c>
    </row>
    <row r="6" spans="1:6">
      <c r="A6" s="2576">
        <f>'数据-取费表'!AN6</f>
        <v>0</v>
      </c>
      <c r="B6" s="2575" t="e">
        <f ca="1">IF(F6="是",'数据-取费表'!AO6,0)</f>
        <v>#REF!</v>
      </c>
      <c r="C6" s="2566" t="s">
        <v>2523</v>
      </c>
      <c r="D6" s="2569"/>
      <c r="E6" s="2577">
        <f>IF(OR(A6=0,F6="否"),0,'数据-取费表'!K6+'数据-取费表'!S6)</f>
        <v>0</v>
      </c>
      <c r="F6" s="2578" t="s">
        <v>2529</v>
      </c>
    </row>
    <row r="7" spans="1:6">
      <c r="A7" s="2576" t="str">
        <f>'数据-取费表'!AN7</f>
        <v>收益法</v>
      </c>
      <c r="B7" s="2575">
        <f ca="1">IF(F7="是",'数据-取费表'!AO7,0)</f>
        <v>7272</v>
      </c>
      <c r="C7" s="2566" t="s">
        <v>2523</v>
      </c>
      <c r="D7" s="2569"/>
      <c r="E7" s="2577">
        <f>IF(OR(A7=0,F7="否"),0,'数据-取费表'!K7+'数据-取费表'!S7)</f>
        <v>4470.2299999999987</v>
      </c>
      <c r="F7" s="2578" t="s">
        <v>2529</v>
      </c>
    </row>
    <row r="8" spans="1:6">
      <c r="A8" s="2576">
        <f>'数据-取费表'!AN8</f>
        <v>0</v>
      </c>
      <c r="B8" s="2575" t="e">
        <f ca="1">IF(F8="是",'数据-取费表'!AO8,0)</f>
        <v>#REF!</v>
      </c>
      <c r="C8" s="2566" t="s">
        <v>2523</v>
      </c>
      <c r="D8" s="2569"/>
      <c r="E8" s="2577">
        <f>IF(OR(A8=0,F8="否"),0,'数据-取费表'!K8+'数据-取费表'!S8)</f>
        <v>0</v>
      </c>
      <c r="F8" s="2578" t="s">
        <v>2529</v>
      </c>
    </row>
    <row r="9" spans="1:6">
      <c r="A9" s="2576">
        <f>'数据-取费表'!AN9</f>
        <v>0</v>
      </c>
      <c r="B9" s="2575" t="e">
        <f ca="1">IF(F9="是",'数据-取费表'!AO9,0)</f>
        <v>#REF!</v>
      </c>
      <c r="C9" s="2566" t="s">
        <v>2523</v>
      </c>
      <c r="D9" s="2569"/>
      <c r="E9" s="2577">
        <f>IF(OR(A9=0,F9="否"),0,'数据-取费表'!K9+'数据-取费表'!S9)</f>
        <v>0</v>
      </c>
      <c r="F9" s="2578" t="s">
        <v>2529</v>
      </c>
    </row>
    <row r="10" spans="1:6">
      <c r="A10" s="2576">
        <f>'数据-取费表'!AN10</f>
        <v>0</v>
      </c>
      <c r="B10" s="2575" t="e">
        <f ca="1">IF(F10="是",'数据-取费表'!AO10,0)</f>
        <v>#REF!</v>
      </c>
      <c r="C10" s="2566" t="s">
        <v>2523</v>
      </c>
      <c r="D10" s="2569"/>
      <c r="E10" s="2577">
        <f>IF(OR(A10=0,F10="否"),0,'数据-取费表'!K10+'数据-取费表'!S10)</f>
        <v>0</v>
      </c>
      <c r="F10" s="2578" t="s">
        <v>2529</v>
      </c>
    </row>
    <row r="11" spans="1:6">
      <c r="A11" s="2576">
        <f>'数据-取费表'!AN11</f>
        <v>0</v>
      </c>
      <c r="B11" s="2575" t="e">
        <f ca="1">IF(F11="是",'数据-取费表'!AO11,0)</f>
        <v>#REF!</v>
      </c>
      <c r="C11" s="2566" t="s">
        <v>2523</v>
      </c>
      <c r="D11" s="2569"/>
      <c r="E11" s="2577">
        <f>IF(OR(A11=0,F11="否"),0,'数据-取费表'!K11+'数据-取费表'!S11)</f>
        <v>0</v>
      </c>
      <c r="F11" s="2578" t="s">
        <v>2529</v>
      </c>
    </row>
    <row r="12" spans="1:6">
      <c r="A12" s="2576">
        <f>'数据-取费表'!AN12</f>
        <v>0</v>
      </c>
      <c r="B12" s="2575" t="e">
        <f ca="1">IF(F12="是",'数据-取费表'!AO12,0)</f>
        <v>#REF!</v>
      </c>
      <c r="C12" s="2566" t="s">
        <v>2523</v>
      </c>
      <c r="D12" s="2569"/>
      <c r="E12" s="2577">
        <f>IF(OR(A12=0,F12="否"),0,'数据-取费表'!K12+'数据-取费表'!S12)</f>
        <v>0</v>
      </c>
      <c r="F12" s="2578" t="s">
        <v>2529</v>
      </c>
    </row>
    <row r="13" spans="1:6" ht="15" thickBot="1">
      <c r="A13" s="2579">
        <f>'数据-取费表'!AN13</f>
        <v>0</v>
      </c>
      <c r="B13" s="2575" t="e">
        <f ca="1">IF(F13="是",'数据-取费表'!AO13,0)</f>
        <v>#REF!</v>
      </c>
      <c r="C13" s="2580" t="s">
        <v>2523</v>
      </c>
      <c r="D13" s="2581"/>
      <c r="E13" s="2577">
        <f>IF(OR(A13=0,F13="否"),0,'数据-取费表'!K13+'数据-取费表'!S13)</f>
        <v>0</v>
      </c>
      <c r="F13" s="2578"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226" t="s">
        <v>1076</v>
      </c>
      <c r="B1" s="3227"/>
      <c r="C1" s="3228"/>
      <c r="D1" s="3229">
        <f>SUM(I10,I15,I20,I21,I23)</f>
        <v>0</v>
      </c>
      <c r="E1" s="3229"/>
      <c r="F1" s="3229"/>
      <c r="G1" s="3229"/>
      <c r="H1" s="3229"/>
      <c r="I1" s="3230"/>
    </row>
    <row r="2" spans="1:9">
      <c r="A2" s="3231" t="s">
        <v>1077</v>
      </c>
      <c r="B2" s="3232" t="s">
        <v>1078</v>
      </c>
      <c r="C2" s="3232"/>
      <c r="D2" s="1304" t="s">
        <v>1079</v>
      </c>
      <c r="E2" s="1304" t="s">
        <v>1080</v>
      </c>
      <c r="F2" s="1304" t="s">
        <v>1081</v>
      </c>
      <c r="G2" s="1304" t="s">
        <v>1082</v>
      </c>
      <c r="H2" s="1304" t="s">
        <v>1083</v>
      </c>
      <c r="I2" s="1305" t="s">
        <v>1084</v>
      </c>
    </row>
    <row r="3" spans="1:9">
      <c r="A3" s="3231"/>
      <c r="B3" s="3232" t="s">
        <v>1085</v>
      </c>
      <c r="C3" s="3232"/>
      <c r="D3" s="1306"/>
      <c r="E3" s="1304"/>
      <c r="F3" s="1307"/>
      <c r="G3" s="1307"/>
      <c r="H3" s="1308"/>
      <c r="I3" s="1309">
        <f>ROUND(D3*E3*F3*G3*H3/10000,0)</f>
        <v>0</v>
      </c>
    </row>
    <row r="4" spans="1:9">
      <c r="A4" s="3231"/>
      <c r="B4" s="3232" t="s">
        <v>1086</v>
      </c>
      <c r="C4" s="3232"/>
      <c r="D4" s="1306"/>
      <c r="E4" s="1304"/>
      <c r="F4" s="1307"/>
      <c r="G4" s="1307"/>
      <c r="H4" s="1308"/>
      <c r="I4" s="1309">
        <f t="shared" ref="I4:I9" si="0">ROUND(D4*E4*F4*G4*H4/10000,0)</f>
        <v>0</v>
      </c>
    </row>
    <row r="5" spans="1:9">
      <c r="A5" s="3231"/>
      <c r="B5" s="3232" t="s">
        <v>1087</v>
      </c>
      <c r="C5" s="3232"/>
      <c r="D5" s="1306"/>
      <c r="E5" s="1304"/>
      <c r="F5" s="1307"/>
      <c r="G5" s="1307"/>
      <c r="H5" s="1308"/>
      <c r="I5" s="1309">
        <f t="shared" si="0"/>
        <v>0</v>
      </c>
    </row>
    <row r="6" spans="1:9">
      <c r="A6" s="3231"/>
      <c r="B6" s="3232" t="s">
        <v>1088</v>
      </c>
      <c r="C6" s="3232"/>
      <c r="D6" s="1306"/>
      <c r="E6" s="1304"/>
      <c r="F6" s="1307"/>
      <c r="G6" s="1307"/>
      <c r="H6" s="1308"/>
      <c r="I6" s="1309">
        <f t="shared" si="0"/>
        <v>0</v>
      </c>
    </row>
    <row r="7" spans="1:9">
      <c r="A7" s="3231"/>
      <c r="B7" s="3232" t="s">
        <v>1089</v>
      </c>
      <c r="C7" s="3232"/>
      <c r="D7" s="1306"/>
      <c r="E7" s="1304"/>
      <c r="F7" s="1307"/>
      <c r="G7" s="1307"/>
      <c r="H7" s="1308"/>
      <c r="I7" s="1309">
        <f t="shared" si="0"/>
        <v>0</v>
      </c>
    </row>
    <row r="8" spans="1:9">
      <c r="A8" s="3231"/>
      <c r="B8" s="3232" t="s">
        <v>1090</v>
      </c>
      <c r="C8" s="3232"/>
      <c r="D8" s="1306"/>
      <c r="E8" s="1304"/>
      <c r="F8" s="1307"/>
      <c r="G8" s="1307"/>
      <c r="H8" s="1308"/>
      <c r="I8" s="1309">
        <f t="shared" si="0"/>
        <v>0</v>
      </c>
    </row>
    <row r="9" spans="1:9">
      <c r="A9" s="3231"/>
      <c r="B9" s="3232" t="s">
        <v>1091</v>
      </c>
      <c r="C9" s="3232"/>
      <c r="D9" s="1306"/>
      <c r="E9" s="1304"/>
      <c r="F9" s="1307"/>
      <c r="G9" s="1307"/>
      <c r="H9" s="1308"/>
      <c r="I9" s="1309">
        <f t="shared" si="0"/>
        <v>0</v>
      </c>
    </row>
    <row r="10" spans="1:9">
      <c r="A10" s="3231"/>
      <c r="B10" s="3233" t="s">
        <v>1092</v>
      </c>
      <c r="C10" s="3233"/>
      <c r="D10" s="1310"/>
      <c r="E10" s="1310" t="e">
        <f>ROUND(D1*10000/D10/H9,0)</f>
        <v>#DIV/0!</v>
      </c>
      <c r="F10" s="1311"/>
      <c r="G10" s="1311"/>
      <c r="H10" s="1312"/>
      <c r="I10" s="1313">
        <f>SUM(I3:I9)</f>
        <v>0</v>
      </c>
    </row>
    <row r="11" spans="1:9" ht="14.25">
      <c r="A11" s="3231" t="s">
        <v>1093</v>
      </c>
      <c r="B11" s="3232" t="s">
        <v>1094</v>
      </c>
      <c r="C11" s="3232"/>
      <c r="D11" s="1306" t="s">
        <v>1095</v>
      </c>
      <c r="E11" s="1306" t="s">
        <v>1096</v>
      </c>
      <c r="F11" s="1307" t="s">
        <v>1097</v>
      </c>
      <c r="G11" s="1307" t="s">
        <v>1083</v>
      </c>
      <c r="H11" s="1314" t="s">
        <v>1098</v>
      </c>
      <c r="I11" s="1305" t="s">
        <v>1084</v>
      </c>
    </row>
    <row r="12" spans="1:9">
      <c r="A12" s="3231"/>
      <c r="B12" s="3232" t="s">
        <v>1099</v>
      </c>
      <c r="C12" s="3232"/>
      <c r="D12" s="1306"/>
      <c r="E12" s="1306"/>
      <c r="F12" s="1307"/>
      <c r="G12" s="1308"/>
      <c r="H12" s="1315"/>
      <c r="I12" s="1305">
        <f>ROUND(D12*E12*F12*G12/10000,0)</f>
        <v>0</v>
      </c>
    </row>
    <row r="13" spans="1:9">
      <c r="A13" s="3231"/>
      <c r="B13" s="3232" t="s">
        <v>1100</v>
      </c>
      <c r="C13" s="3232"/>
      <c r="D13" s="1306"/>
      <c r="E13" s="1306"/>
      <c r="F13" s="1307"/>
      <c r="G13" s="1308"/>
      <c r="H13" s="1315"/>
      <c r="I13" s="1305">
        <f>ROUND(D13*E13*F13*G13/10000,0)</f>
        <v>0</v>
      </c>
    </row>
    <row r="14" spans="1:9">
      <c r="A14" s="3231"/>
      <c r="B14" s="3232" t="s">
        <v>1101</v>
      </c>
      <c r="C14" s="3232"/>
      <c r="D14" s="1306"/>
      <c r="E14" s="1306"/>
      <c r="F14" s="1307"/>
      <c r="G14" s="1308"/>
      <c r="H14" s="1315"/>
      <c r="I14" s="1305">
        <f>ROUND(D14*E14*F14*G14/10000,0)</f>
        <v>0</v>
      </c>
    </row>
    <row r="15" spans="1:9">
      <c r="A15" s="3231"/>
      <c r="B15" s="3233" t="s">
        <v>1092</v>
      </c>
      <c r="C15" s="3233"/>
      <c r="D15" s="1310"/>
      <c r="E15" s="1310">
        <f>SUM(E12:E14)</f>
        <v>0</v>
      </c>
      <c r="F15" s="1311"/>
      <c r="G15" s="1308"/>
      <c r="H15" s="1315"/>
      <c r="I15" s="1316">
        <f>SUM(I12:I14)</f>
        <v>0</v>
      </c>
    </row>
    <row r="16" spans="1:9" ht="24">
      <c r="A16" s="3231" t="s">
        <v>1102</v>
      </c>
      <c r="B16" s="3232" t="s">
        <v>1103</v>
      </c>
      <c r="C16" s="3232"/>
      <c r="D16" s="1306" t="s">
        <v>1079</v>
      </c>
      <c r="E16" s="1317" t="s">
        <v>1104</v>
      </c>
      <c r="F16" s="1307" t="s">
        <v>1105</v>
      </c>
      <c r="G16" s="1308" t="s">
        <v>1083</v>
      </c>
      <c r="H16" s="1314" t="s">
        <v>1098</v>
      </c>
      <c r="I16" s="1305" t="s">
        <v>1084</v>
      </c>
    </row>
    <row r="17" spans="1:9" ht="14.25">
      <c r="A17" s="3231"/>
      <c r="B17" s="3232" t="s">
        <v>1106</v>
      </c>
      <c r="C17" s="3232"/>
      <c r="D17" s="1306"/>
      <c r="E17" s="1306"/>
      <c r="F17" s="1307"/>
      <c r="G17" s="1308"/>
      <c r="H17" s="1318"/>
      <c r="I17" s="1319">
        <f>ROUND(D17*E17*F17*G17/10000,0)</f>
        <v>0</v>
      </c>
    </row>
    <row r="18" spans="1:9" ht="14.25">
      <c r="A18" s="3231"/>
      <c r="B18" s="3232" t="s">
        <v>1107</v>
      </c>
      <c r="C18" s="3232"/>
      <c r="D18" s="1306"/>
      <c r="E18" s="1306"/>
      <c r="F18" s="1307"/>
      <c r="G18" s="1308"/>
      <c r="H18" s="1318"/>
      <c r="I18" s="1319">
        <f>ROUND(D18*E18*F18*G18/10000,0)</f>
        <v>0</v>
      </c>
    </row>
    <row r="19" spans="1:9" ht="14.25">
      <c r="A19" s="3231"/>
      <c r="B19" s="3232" t="s">
        <v>1108</v>
      </c>
      <c r="C19" s="3232"/>
      <c r="D19" s="1306"/>
      <c r="E19" s="1306"/>
      <c r="F19" s="1307"/>
      <c r="G19" s="1308"/>
      <c r="H19" s="1318"/>
      <c r="I19" s="1319">
        <f>ROUND(D19*E19*F19*G19/10000,0)</f>
        <v>0</v>
      </c>
    </row>
    <row r="20" spans="1:9">
      <c r="A20" s="3231"/>
      <c r="B20" s="3233" t="s">
        <v>1092</v>
      </c>
      <c r="C20" s="3233"/>
      <c r="D20" s="1310">
        <f>SUM(D17:D19)</f>
        <v>0</v>
      </c>
      <c r="E20" s="1310"/>
      <c r="F20" s="1311"/>
      <c r="G20" s="1308"/>
      <c r="H20" s="1315"/>
      <c r="I20" s="1316">
        <f>SUM(I17:I19)</f>
        <v>0</v>
      </c>
    </row>
    <row r="21" spans="1:9">
      <c r="A21" s="3231" t="s">
        <v>1109</v>
      </c>
      <c r="B21" s="3235"/>
      <c r="C21" s="3235"/>
      <c r="D21" s="3235"/>
      <c r="E21" s="3235"/>
      <c r="F21" s="3235"/>
      <c r="G21" s="3235"/>
      <c r="H21" s="1767">
        <v>0.1</v>
      </c>
      <c r="I21" s="1313">
        <f>ROUND(I10*H21,0)</f>
        <v>0</v>
      </c>
    </row>
    <row r="22" spans="1:9" ht="14.25">
      <c r="A22" s="3236" t="s">
        <v>1110</v>
      </c>
      <c r="B22" s="3237"/>
      <c r="C22" s="3238"/>
      <c r="D22" s="1320" t="s">
        <v>1111</v>
      </c>
      <c r="E22" s="1320" t="s">
        <v>1112</v>
      </c>
      <c r="F22" s="1321" t="s">
        <v>1113</v>
      </c>
      <c r="G22" s="1321" t="s">
        <v>1114</v>
      </c>
      <c r="H22" s="1314" t="s">
        <v>1115</v>
      </c>
      <c r="I22" s="1305" t="s">
        <v>1116</v>
      </c>
    </row>
    <row r="23" spans="1:9" ht="14.25" thickBot="1">
      <c r="A23" s="3239"/>
      <c r="B23" s="3240"/>
      <c r="C23" s="3241"/>
      <c r="D23" s="1322"/>
      <c r="E23" s="1322"/>
      <c r="F23" s="1322"/>
      <c r="G23" s="1323"/>
      <c r="H23" s="1324"/>
      <c r="I23" s="1325">
        <f>ROUND(E23*D23*F23*(1-G23)/10000,0)</f>
        <v>0</v>
      </c>
    </row>
    <row r="26" spans="1:9">
      <c r="A26" s="1326" t="s">
        <v>1117</v>
      </c>
      <c r="B26" s="1326"/>
      <c r="C26" s="1326"/>
      <c r="D26" s="1326"/>
      <c r="E26" s="3242">
        <f>C27-C30-C31-C32</f>
        <v>0</v>
      </c>
      <c r="F26" s="3242"/>
      <c r="G26" s="3242"/>
      <c r="H26" s="1739" t="s">
        <v>1340</v>
      </c>
    </row>
    <row r="27" spans="1:9">
      <c r="A27" s="1327">
        <v>1</v>
      </c>
      <c r="B27" s="1328" t="s">
        <v>1118</v>
      </c>
      <c r="C27" s="1328">
        <f>C28+C29</f>
        <v>0</v>
      </c>
      <c r="D27" s="1328"/>
      <c r="E27" s="3243"/>
      <c r="F27" s="3243"/>
      <c r="G27" s="3243"/>
    </row>
    <row r="28" spans="1:9">
      <c r="A28" s="1329" t="s">
        <v>1119</v>
      </c>
      <c r="B28" s="1328" t="s">
        <v>1120</v>
      </c>
      <c r="C28" s="1328"/>
      <c r="D28" s="1328"/>
      <c r="E28" s="3243"/>
      <c r="F28" s="3243"/>
      <c r="G28" s="324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4"/>
      <c r="F32" s="3234"/>
      <c r="G32" s="3234"/>
    </row>
    <row r="33" spans="1:7" hidden="1">
      <c r="A33" s="3244" t="s">
        <v>1129</v>
      </c>
      <c r="B33" s="3245"/>
      <c r="C33" s="3245"/>
      <c r="D33" s="3246"/>
      <c r="E33" s="3242"/>
      <c r="F33" s="3242"/>
      <c r="G33" s="3242"/>
    </row>
    <row r="34" spans="1:7" hidden="1">
      <c r="A34" s="1331">
        <v>1</v>
      </c>
      <c r="B34" s="1328" t="s">
        <v>1130</v>
      </c>
      <c r="C34" s="1328"/>
      <c r="D34" s="1328"/>
      <c r="E34" s="3243"/>
      <c r="F34" s="3243"/>
      <c r="G34" s="3243"/>
    </row>
    <row r="35" spans="1:7" hidden="1">
      <c r="A35" s="1331">
        <v>2</v>
      </c>
      <c r="B35" s="1328" t="s">
        <v>1131</v>
      </c>
      <c r="C35" s="1328"/>
      <c r="D35" s="1328"/>
      <c r="E35" s="3243"/>
      <c r="F35" s="3243"/>
      <c r="G35" s="3243"/>
    </row>
    <row r="36" spans="1:7" hidden="1">
      <c r="A36" s="1331">
        <v>3</v>
      </c>
      <c r="B36" s="1328" t="s">
        <v>1132</v>
      </c>
      <c r="C36" s="1328"/>
      <c r="D36" s="1328"/>
      <c r="E36" s="3243"/>
      <c r="F36" s="3243"/>
      <c r="G36" s="3243"/>
    </row>
    <row r="37" spans="1:7" hidden="1">
      <c r="A37" s="1331">
        <v>4</v>
      </c>
      <c r="B37" s="1328" t="s">
        <v>1133</v>
      </c>
      <c r="C37" s="1328"/>
      <c r="D37" s="1328"/>
      <c r="E37" s="3243"/>
      <c r="F37" s="3243"/>
      <c r="G37" s="3243"/>
    </row>
    <row r="38" spans="1:7" hidden="1">
      <c r="A38" s="3244" t="s">
        <v>1134</v>
      </c>
      <c r="B38" s="3245"/>
      <c r="C38" s="3245"/>
      <c r="D38" s="3246"/>
      <c r="E38" s="3242"/>
      <c r="F38" s="3242"/>
      <c r="G38" s="32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35" zoomScale="90" zoomScaleNormal="90" workbookViewId="0">
      <selection activeCell="K51" sqref="K5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582" t="s">
        <v>2533</v>
      </c>
      <c r="C1" s="1636" t="s">
        <v>2534</v>
      </c>
      <c r="D1" s="1623"/>
      <c r="E1" s="2583"/>
      <c r="F1" s="2584" t="s">
        <v>2535</v>
      </c>
      <c r="G1" s="1633" t="s">
        <v>2536</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#REF!</v>
      </c>
      <c r="C2" s="2586"/>
      <c r="D2" s="1368" t="e">
        <f ca="1">SUMIF(INDIRECT("'"&amp;F2&amp;"'"&amp;"!A:A"),"承租人权益价值",INDIRECT("'"&amp;F2&amp;"'"&amp;"!c:c"))</f>
        <v>#REF!</v>
      </c>
      <c r="E2" s="2587" t="s">
        <v>2537</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#REF!</v>
      </c>
      <c r="C3" s="400" t="s">
        <v>2538</v>
      </c>
      <c r="D3" s="399">
        <f>IF(D1="",'数据-汇总表'!E3,SUMIF('数据-汇总表'!$C19:$C33,D1,'数据-汇总表'!$E19:$E33))</f>
        <v>296702.55000000005</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2539</v>
      </c>
      <c r="B4" s="402"/>
      <c r="C4" s="3195" t="s">
        <v>2540</v>
      </c>
      <c r="D4" s="3196"/>
      <c r="E4" s="3197" t="s">
        <v>2541</v>
      </c>
      <c r="F4" s="3198"/>
      <c r="G4" s="3195" t="s">
        <v>2542</v>
      </c>
      <c r="H4" s="3196"/>
      <c r="I4" s="3195" t="s">
        <v>2543</v>
      </c>
      <c r="J4" s="3196"/>
      <c r="K4" s="2596" t="s">
        <v>2544</v>
      </c>
      <c r="L4" s="1133"/>
      <c r="M4" s="1134"/>
      <c r="N4" s="1134"/>
      <c r="O4" s="1134"/>
      <c r="P4" s="3199" t="s">
        <v>2545</v>
      </c>
      <c r="Q4" s="3200"/>
      <c r="R4" s="3182" t="s">
        <v>2541</v>
      </c>
      <c r="S4" s="3183"/>
      <c r="T4" s="3182" t="s">
        <v>2542</v>
      </c>
      <c r="U4" s="3183"/>
      <c r="V4" s="3207" t="s">
        <v>2543</v>
      </c>
      <c r="W4" s="3207"/>
      <c r="X4" s="1815"/>
      <c r="Y4" s="3182" t="s">
        <v>2545</v>
      </c>
      <c r="Z4" s="3183"/>
      <c r="AA4" s="3177" t="s">
        <v>2541</v>
      </c>
      <c r="AB4" s="3177" t="s">
        <v>2542</v>
      </c>
      <c r="AC4" s="3177" t="s">
        <v>2543</v>
      </c>
    </row>
    <row r="5" spans="1:29" ht="15">
      <c r="A5" s="404"/>
      <c r="B5" s="405"/>
      <c r="C5" s="3188" t="s">
        <v>2546</v>
      </c>
      <c r="D5" s="3189"/>
      <c r="E5" s="3247" t="s">
        <v>3227</v>
      </c>
      <c r="F5" s="3187"/>
      <c r="G5" s="3248" t="s">
        <v>3229</v>
      </c>
      <c r="H5" s="3189"/>
      <c r="I5" s="3248" t="s">
        <v>3230</v>
      </c>
      <c r="J5" s="3189"/>
      <c r="K5" s="2597"/>
      <c r="L5" s="1133"/>
      <c r="M5" s="1134"/>
      <c r="N5" s="1134"/>
      <c r="O5" s="1134"/>
      <c r="P5" s="3201"/>
      <c r="Q5" s="3202"/>
      <c r="R5" s="3184"/>
      <c r="S5" s="3185"/>
      <c r="T5" s="3184"/>
      <c r="U5" s="3185"/>
      <c r="V5" s="3207"/>
      <c r="W5" s="3207"/>
      <c r="X5" s="1815"/>
      <c r="Y5" s="3184"/>
      <c r="Z5" s="3185"/>
      <c r="AA5" s="3178"/>
      <c r="AB5" s="3178"/>
      <c r="AC5" s="3178"/>
    </row>
    <row r="6" spans="1:29" ht="15.75" thickBot="1">
      <c r="A6" s="406"/>
      <c r="B6" s="407"/>
      <c r="C6" s="3190" t="s">
        <v>2550</v>
      </c>
      <c r="D6" s="3191"/>
      <c r="E6" s="3192" t="s">
        <v>2550</v>
      </c>
      <c r="F6" s="3193"/>
      <c r="G6" s="3249" t="s">
        <v>3228</v>
      </c>
      <c r="H6" s="3191"/>
      <c r="I6" s="3190" t="s">
        <v>2550</v>
      </c>
      <c r="J6" s="3191"/>
      <c r="K6" s="2597" t="s">
        <v>2551</v>
      </c>
      <c r="L6" s="1133"/>
      <c r="M6" s="1134"/>
      <c r="N6" s="1134"/>
      <c r="O6" s="1134"/>
      <c r="P6" s="3203"/>
      <c r="Q6" s="3204"/>
      <c r="R6" s="3184"/>
      <c r="S6" s="3185"/>
      <c r="T6" s="3205"/>
      <c r="U6" s="3206"/>
      <c r="V6" s="3207"/>
      <c r="W6" s="3207"/>
      <c r="X6" s="1815"/>
      <c r="Y6" s="3205"/>
      <c r="Z6" s="3206"/>
      <c r="AA6" s="3179"/>
      <c r="AB6" s="3179"/>
      <c r="AC6" s="3179"/>
    </row>
    <row r="7" spans="1:29" s="117" customFormat="1" ht="15.75" thickBot="1">
      <c r="A7" s="408" t="s">
        <v>2552</v>
      </c>
      <c r="B7" s="409"/>
      <c r="C7" s="410">
        <f>'数据-取费表'!B2</f>
        <v>43186</v>
      </c>
      <c r="D7" s="411">
        <v>100</v>
      </c>
      <c r="E7" s="412">
        <v>43186</v>
      </c>
      <c r="F7" s="413">
        <f>SUMIF(58:58,YEAR(E7)&amp;"-"&amp;MONTH(E7),59:59)</f>
        <v>100</v>
      </c>
      <c r="G7" s="412">
        <v>43186</v>
      </c>
      <c r="H7" s="411">
        <f>SUMIF(58:58,YEAR(G7)&amp;"-"&amp;MONTH(G7),59:59)</f>
        <v>100</v>
      </c>
      <c r="I7" s="412">
        <v>43186</v>
      </c>
      <c r="J7" s="411">
        <f>SUMIF(58:58,YEAR(I7)&amp;"-"&amp;MONTH(I7),59:59)</f>
        <v>100</v>
      </c>
      <c r="K7" s="2598"/>
      <c r="L7" s="1135"/>
      <c r="M7" s="1136"/>
      <c r="N7" s="1136"/>
      <c r="O7" s="1136"/>
      <c r="P7" s="3180" t="s">
        <v>2553</v>
      </c>
      <c r="Q7" s="3208"/>
      <c r="R7" s="770" t="s">
        <v>23</v>
      </c>
      <c r="S7" s="771">
        <f t="shared" ref="S7:S15" si="0">F7</f>
        <v>100</v>
      </c>
      <c r="T7" s="770" t="s">
        <v>23</v>
      </c>
      <c r="U7" s="771">
        <f t="shared" ref="U7:U15" si="1">H7</f>
        <v>100</v>
      </c>
      <c r="V7" s="770" t="s">
        <v>23</v>
      </c>
      <c r="W7" s="771">
        <f t="shared" ref="W7:W15" si="2">J7</f>
        <v>100</v>
      </c>
      <c r="X7" s="772"/>
      <c r="Y7" s="3180" t="s">
        <v>2553</v>
      </c>
      <c r="Z7" s="3181"/>
      <c r="AA7" s="773">
        <f>D7/F7</f>
        <v>1</v>
      </c>
      <c r="AB7" s="773">
        <f>D7/H7</f>
        <v>1</v>
      </c>
      <c r="AC7" s="773">
        <f>D7/J7</f>
        <v>1</v>
      </c>
    </row>
    <row r="8" spans="1:29" s="117" customFormat="1" ht="15.75" thickBot="1">
      <c r="A8" s="408" t="s">
        <v>2554</v>
      </c>
      <c r="B8" s="409"/>
      <c r="C8" s="414" t="s">
        <v>2555</v>
      </c>
      <c r="D8" s="411">
        <v>100</v>
      </c>
      <c r="E8" s="414" t="s">
        <v>2555</v>
      </c>
      <c r="F8" s="413">
        <f>SUMIF(61:61,E8,62:62)-SUMIF(61:61,C8,62:62)+100</f>
        <v>100</v>
      </c>
      <c r="G8" s="414" t="s">
        <v>2555</v>
      </c>
      <c r="H8" s="411">
        <f>SUMIF(61:61,G8,62:62)-SUMIF(61:61,C8,62:62)+100</f>
        <v>100</v>
      </c>
      <c r="I8" s="414" t="s">
        <v>2555</v>
      </c>
      <c r="J8" s="411">
        <f>SUMIF(61:61,I8,62:62)-SUMIF(61:61,C8,62:62)+100</f>
        <v>100</v>
      </c>
      <c r="K8" s="2598"/>
      <c r="L8" s="1135"/>
      <c r="M8" s="1136"/>
      <c r="N8" s="1136"/>
      <c r="O8" s="1136"/>
      <c r="P8" s="3180" t="s">
        <v>2556</v>
      </c>
      <c r="Q8" s="3181"/>
      <c r="R8" s="770" t="s">
        <v>23</v>
      </c>
      <c r="S8" s="771">
        <f t="shared" si="0"/>
        <v>100</v>
      </c>
      <c r="T8" s="770" t="s">
        <v>23</v>
      </c>
      <c r="U8" s="771">
        <f t="shared" si="1"/>
        <v>100</v>
      </c>
      <c r="V8" s="770" t="s">
        <v>23</v>
      </c>
      <c r="W8" s="771">
        <f t="shared" si="2"/>
        <v>100</v>
      </c>
      <c r="X8" s="772"/>
      <c r="Y8" s="3180" t="s">
        <v>2556</v>
      </c>
      <c r="Z8" s="3181"/>
      <c r="AA8" s="773">
        <f t="shared" ref="AA8:AA19" si="3">D8/F8</f>
        <v>1</v>
      </c>
      <c r="AB8" s="773">
        <f t="shared" ref="AB8:AB19" si="4">D8/H8</f>
        <v>1</v>
      </c>
      <c r="AC8" s="773">
        <f t="shared" ref="AC8:AC19" si="5">D8/J8</f>
        <v>1</v>
      </c>
    </row>
    <row r="9" spans="1:29" s="117" customFormat="1">
      <c r="A9" s="415" t="s">
        <v>2557</v>
      </c>
      <c r="B9" s="71" t="s">
        <v>2558</v>
      </c>
      <c r="C9" s="2973" t="s">
        <v>3226</v>
      </c>
      <c r="D9" s="135">
        <v>100</v>
      </c>
      <c r="E9" s="2973" t="s">
        <v>3226</v>
      </c>
      <c r="F9" s="418">
        <f>SUMIF(63:63,E9,64:64)-SUMIF(63:63,C9,64:64)+100</f>
        <v>100</v>
      </c>
      <c r="G9" s="2973" t="s">
        <v>3226</v>
      </c>
      <c r="H9" s="135">
        <f>SUMIF(63:63,G9,64:64)-SUMIF(63:63,C9,64:64)+100</f>
        <v>100</v>
      </c>
      <c r="I9" s="2973" t="s">
        <v>3226</v>
      </c>
      <c r="J9" s="135">
        <f>SUMIF(63:63,I9,64:64)-SUMIF(63:63,C9,64:64)+100</f>
        <v>100</v>
      </c>
      <c r="K9" s="2598"/>
      <c r="L9" s="1135"/>
      <c r="M9" s="1136"/>
      <c r="N9" s="1136"/>
      <c r="O9" s="1136"/>
      <c r="P9" s="3218" t="s">
        <v>2559</v>
      </c>
      <c r="Q9" s="1797" t="str">
        <f t="shared" ref="Q9:Q15" si="6">B9</f>
        <v>用途</v>
      </c>
      <c r="R9" s="770" t="s">
        <v>17</v>
      </c>
      <c r="S9" s="771">
        <f t="shared" si="0"/>
        <v>100</v>
      </c>
      <c r="T9" s="770" t="s">
        <v>17</v>
      </c>
      <c r="U9" s="771">
        <f t="shared" si="1"/>
        <v>100</v>
      </c>
      <c r="V9" s="770" t="s">
        <v>17</v>
      </c>
      <c r="W9" s="771">
        <f t="shared" si="2"/>
        <v>100</v>
      </c>
      <c r="X9" s="772"/>
      <c r="Y9" s="3040" t="s">
        <v>2560</v>
      </c>
      <c r="Z9" s="55" t="str">
        <f t="shared" ref="Z9:Z15" si="7">Q9</f>
        <v>用途</v>
      </c>
      <c r="AA9" s="773">
        <f t="shared" si="3"/>
        <v>1</v>
      </c>
      <c r="AB9" s="773">
        <f t="shared" si="4"/>
        <v>1</v>
      </c>
      <c r="AC9" s="773">
        <f t="shared" si="5"/>
        <v>1</v>
      </c>
    </row>
    <row r="10" spans="1:29" s="427" customFormat="1" ht="27">
      <c r="A10" s="421"/>
      <c r="B10" s="422" t="s">
        <v>2561</v>
      </c>
      <c r="C10" s="423" t="s">
        <v>3224</v>
      </c>
      <c r="D10" s="136">
        <v>100</v>
      </c>
      <c r="E10" s="424" t="s">
        <v>3225</v>
      </c>
      <c r="F10" s="425">
        <f>SUMIF(65:65,E10,66:66)-SUMIF(65:65,C10,66:66)+100</f>
        <v>102</v>
      </c>
      <c r="G10" s="424" t="s">
        <v>3225</v>
      </c>
      <c r="H10" s="136">
        <f>SUMIF(65:65,G10,66:66)-SUMIF(65:65,C10,66:66)+100</f>
        <v>102</v>
      </c>
      <c r="I10" s="424" t="s">
        <v>3225</v>
      </c>
      <c r="J10" s="136">
        <f>SUMIF(65:65,I10,66:66)-SUMIF(65:65,C10,66:66)+100</f>
        <v>102</v>
      </c>
      <c r="K10" s="426">
        <v>2</v>
      </c>
      <c r="L10" s="1138"/>
      <c r="M10" s="1139"/>
      <c r="N10" s="1139"/>
      <c r="O10" s="1139"/>
      <c r="P10" s="3218"/>
      <c r="Q10" s="1797" t="str">
        <f t="shared" si="6"/>
        <v>土地使用年限（年）</v>
      </c>
      <c r="R10" s="770" t="s">
        <v>17</v>
      </c>
      <c r="S10" s="771">
        <f t="shared" si="0"/>
        <v>102</v>
      </c>
      <c r="T10" s="770" t="s">
        <v>17</v>
      </c>
      <c r="U10" s="771">
        <f t="shared" si="1"/>
        <v>102</v>
      </c>
      <c r="V10" s="770" t="s">
        <v>17</v>
      </c>
      <c r="W10" s="771">
        <f t="shared" si="2"/>
        <v>102</v>
      </c>
      <c r="X10" s="772"/>
      <c r="Y10" s="3040"/>
      <c r="Z10" s="55" t="str">
        <f t="shared" si="7"/>
        <v>土地使用年限（年）</v>
      </c>
      <c r="AA10" s="773">
        <f t="shared" si="3"/>
        <v>0.98039215686274506</v>
      </c>
      <c r="AB10" s="773">
        <f t="shared" si="4"/>
        <v>0.98039215686274506</v>
      </c>
      <c r="AC10" s="773">
        <f t="shared" si="5"/>
        <v>0.98039215686274506</v>
      </c>
    </row>
    <row r="11" spans="1:29" ht="15.75" thickBot="1">
      <c r="A11" s="428"/>
      <c r="B11" s="422" t="s">
        <v>2562</v>
      </c>
      <c r="C11" s="429">
        <f>'数据-汇总表'!I7</f>
        <v>1.49</v>
      </c>
      <c r="D11" s="136">
        <v>100</v>
      </c>
      <c r="E11" s="430">
        <v>1.65</v>
      </c>
      <c r="F11" s="425">
        <f>LOOKUP(E11,68:68,69:69)-LOOKUP(C11,68:68,69:69)+100</f>
        <v>95</v>
      </c>
      <c r="G11" s="429">
        <v>1.2</v>
      </c>
      <c r="H11" s="136">
        <f>LOOKUP(G11,68:68,69:69)-LOOKUP(C11,68:68,69:69)+100</f>
        <v>100</v>
      </c>
      <c r="I11" s="429">
        <v>1.5</v>
      </c>
      <c r="J11" s="136">
        <f>LOOKUP(I11,68:68,69:69)-LOOKUP(C11,68:68,69:69)+100</f>
        <v>95</v>
      </c>
      <c r="K11" s="426">
        <f>'土地比较法-住宅'!K11</f>
        <v>5</v>
      </c>
      <c r="L11" s="1141"/>
      <c r="M11" s="1134"/>
      <c r="N11" s="1134"/>
      <c r="O11" s="1134"/>
      <c r="P11" s="3218"/>
      <c r="Q11" s="1797" t="str">
        <f t="shared" si="6"/>
        <v>容积率</v>
      </c>
      <c r="R11" s="770" t="s">
        <v>21</v>
      </c>
      <c r="S11" s="771">
        <f t="shared" si="0"/>
        <v>95</v>
      </c>
      <c r="T11" s="770" t="s">
        <v>21</v>
      </c>
      <c r="U11" s="771">
        <f t="shared" si="1"/>
        <v>100</v>
      </c>
      <c r="V11" s="770" t="s">
        <v>21</v>
      </c>
      <c r="W11" s="771">
        <f t="shared" si="2"/>
        <v>95</v>
      </c>
      <c r="X11" s="772"/>
      <c r="Y11" s="3040"/>
      <c r="Z11" s="55" t="str">
        <f t="shared" si="7"/>
        <v>容积率</v>
      </c>
      <c r="AA11" s="773">
        <f t="shared" si="3"/>
        <v>1.0526315789473684</v>
      </c>
      <c r="AB11" s="773">
        <f t="shared" si="4"/>
        <v>1</v>
      </c>
      <c r="AC11" s="773">
        <f t="shared" si="5"/>
        <v>1.0526315789473684</v>
      </c>
    </row>
    <row r="12" spans="1:29" s="117" customFormat="1" ht="15" hidden="1">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218"/>
      <c r="Q12" s="1797">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218"/>
      <c r="Q13" s="1797">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75" hidden="1"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218"/>
      <c r="Q14" s="1797">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99.75">
      <c r="A15" s="440" t="s">
        <v>2563</v>
      </c>
      <c r="B15" s="69" t="s">
        <v>2090</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f>'土地比较法-住宅'!K15</f>
        <v>2</v>
      </c>
      <c r="L15" s="1143"/>
      <c r="M15" s="1134"/>
      <c r="N15" s="1134"/>
      <c r="O15" s="1134"/>
      <c r="P15" s="3256" t="s">
        <v>2564</v>
      </c>
      <c r="Q15" s="1812" t="str">
        <f t="shared" si="6"/>
        <v>居住社区成熟度</v>
      </c>
      <c r="R15" s="774" t="s">
        <v>21</v>
      </c>
      <c r="S15" s="775">
        <f t="shared" si="0"/>
        <v>100</v>
      </c>
      <c r="T15" s="774" t="s">
        <v>21</v>
      </c>
      <c r="U15" s="775">
        <f t="shared" si="1"/>
        <v>100</v>
      </c>
      <c r="V15" s="774" t="s">
        <v>21</v>
      </c>
      <c r="W15" s="775">
        <f t="shared" si="2"/>
        <v>100</v>
      </c>
      <c r="X15" s="1815"/>
      <c r="Y15" s="3209" t="s">
        <v>2564</v>
      </c>
      <c r="Z15" s="1816" t="str">
        <f t="shared" si="7"/>
        <v>居住社区成熟度</v>
      </c>
      <c r="AA15" s="1813">
        <f t="shared" si="3"/>
        <v>1</v>
      </c>
      <c r="AB15" s="1813">
        <f t="shared" si="4"/>
        <v>1</v>
      </c>
      <c r="AC15" s="1813">
        <f t="shared" si="5"/>
        <v>1</v>
      </c>
    </row>
    <row r="16" spans="1:29" ht="15">
      <c r="A16" s="428"/>
      <c r="B16" s="446"/>
      <c r="C16" s="447" t="s">
        <v>3204</v>
      </c>
      <c r="D16" s="448"/>
      <c r="E16" s="447" t="s">
        <v>3204</v>
      </c>
      <c r="F16" s="448"/>
      <c r="G16" s="447" t="s">
        <v>3204</v>
      </c>
      <c r="H16" s="450"/>
      <c r="I16" s="447" t="s">
        <v>3204</v>
      </c>
      <c r="J16" s="448"/>
      <c r="K16" s="2605"/>
      <c r="L16" s="1143"/>
      <c r="M16" s="1134"/>
      <c r="N16" s="1134"/>
      <c r="O16" s="1134"/>
      <c r="P16" s="3257"/>
      <c r="Q16" s="1812"/>
      <c r="R16" s="774"/>
      <c r="S16" s="775"/>
      <c r="T16" s="774"/>
      <c r="U16" s="775"/>
      <c r="V16" s="774"/>
      <c r="W16" s="775"/>
      <c r="X16" s="1815"/>
      <c r="Y16" s="3210"/>
      <c r="Z16" s="1816"/>
      <c r="AA16" s="1813">
        <v>1</v>
      </c>
      <c r="AB16" s="1813">
        <v>1</v>
      </c>
      <c r="AC16" s="1813">
        <v>1</v>
      </c>
    </row>
    <row r="17" spans="1:29" ht="85.5">
      <c r="A17" s="428"/>
      <c r="B17" s="451" t="s">
        <v>2102</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f>'土地比较法-住宅'!K21</f>
        <v>3</v>
      </c>
      <c r="L17" s="1143"/>
      <c r="M17" s="1134"/>
      <c r="N17" s="1134"/>
      <c r="O17" s="1134"/>
      <c r="P17" s="3257"/>
      <c r="Q17" s="1812" t="str">
        <f>B17</f>
        <v>交通便捷度</v>
      </c>
      <c r="R17" s="774" t="s">
        <v>21</v>
      </c>
      <c r="S17" s="775">
        <f>F17</f>
        <v>100</v>
      </c>
      <c r="T17" s="774" t="s">
        <v>21</v>
      </c>
      <c r="U17" s="775">
        <f>H17</f>
        <v>100</v>
      </c>
      <c r="V17" s="774" t="s">
        <v>21</v>
      </c>
      <c r="W17" s="775">
        <f>J17</f>
        <v>100</v>
      </c>
      <c r="X17" s="1815"/>
      <c r="Y17" s="3210"/>
      <c r="Z17" s="1816" t="str">
        <f>Q17</f>
        <v>交通便捷度</v>
      </c>
      <c r="AA17" s="1813">
        <f t="shared" si="3"/>
        <v>1</v>
      </c>
      <c r="AB17" s="1813">
        <f t="shared" si="4"/>
        <v>1</v>
      </c>
      <c r="AC17" s="1813">
        <f t="shared" si="5"/>
        <v>1</v>
      </c>
    </row>
    <row r="18" spans="1:29" ht="15">
      <c r="A18" s="428"/>
      <c r="B18" s="456"/>
      <c r="C18" s="2607" t="s">
        <v>3205</v>
      </c>
      <c r="D18" s="450"/>
      <c r="E18" s="2607" t="s">
        <v>3205</v>
      </c>
      <c r="F18" s="450"/>
      <c r="G18" s="2607" t="s">
        <v>3205</v>
      </c>
      <c r="H18" s="448"/>
      <c r="I18" s="2607" t="s">
        <v>3205</v>
      </c>
      <c r="J18" s="448"/>
      <c r="K18" s="2605"/>
      <c r="L18" s="1143"/>
      <c r="M18" s="1134"/>
      <c r="N18" s="1134"/>
      <c r="O18" s="1134"/>
      <c r="P18" s="3257"/>
      <c r="Q18" s="1812"/>
      <c r="R18" s="774"/>
      <c r="S18" s="775"/>
      <c r="T18" s="774"/>
      <c r="U18" s="775"/>
      <c r="V18" s="774"/>
      <c r="W18" s="775"/>
      <c r="X18" s="1815"/>
      <c r="Y18" s="3210"/>
      <c r="Z18" s="1816"/>
      <c r="AA18" s="1813">
        <v>1</v>
      </c>
      <c r="AB18" s="1813">
        <v>1</v>
      </c>
      <c r="AC18" s="1813">
        <v>1</v>
      </c>
    </row>
    <row r="19" spans="1:29" ht="42.75">
      <c r="A19" s="428"/>
      <c r="B19" s="451" t="s">
        <v>2100</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f>'土地比较法-住宅'!K27</f>
        <v>3</v>
      </c>
      <c r="L19" s="1143"/>
      <c r="M19" s="1134"/>
      <c r="N19" s="1134"/>
      <c r="O19" s="1134"/>
      <c r="P19" s="3257"/>
      <c r="Q19" s="1812" t="str">
        <f>B19</f>
        <v>公共配套设施</v>
      </c>
      <c r="R19" s="774" t="s">
        <v>21</v>
      </c>
      <c r="S19" s="775">
        <f>F19</f>
        <v>100</v>
      </c>
      <c r="T19" s="774" t="s">
        <v>21</v>
      </c>
      <c r="U19" s="775">
        <f>H19</f>
        <v>100</v>
      </c>
      <c r="V19" s="774" t="s">
        <v>21</v>
      </c>
      <c r="W19" s="775">
        <f>J19</f>
        <v>100</v>
      </c>
      <c r="X19" s="1815"/>
      <c r="Y19" s="3210"/>
      <c r="Z19" s="1816" t="str">
        <f>Q19</f>
        <v>公共配套设施</v>
      </c>
      <c r="AA19" s="1813">
        <f t="shared" si="3"/>
        <v>1</v>
      </c>
      <c r="AB19" s="1813">
        <f t="shared" si="4"/>
        <v>1</v>
      </c>
      <c r="AC19" s="1813">
        <f t="shared" si="5"/>
        <v>1</v>
      </c>
    </row>
    <row r="20" spans="1:29" ht="15">
      <c r="A20" s="428"/>
      <c r="B20" s="456"/>
      <c r="C20" s="447" t="s">
        <v>3205</v>
      </c>
      <c r="D20" s="448"/>
      <c r="E20" s="447" t="s">
        <v>3205</v>
      </c>
      <c r="F20" s="448"/>
      <c r="G20" s="447" t="s">
        <v>3205</v>
      </c>
      <c r="H20" s="448"/>
      <c r="I20" s="447" t="s">
        <v>3205</v>
      </c>
      <c r="J20" s="448"/>
      <c r="K20" s="2605"/>
      <c r="L20" s="1143"/>
      <c r="M20" s="1134"/>
      <c r="N20" s="1134"/>
      <c r="O20" s="1134"/>
      <c r="P20" s="3257"/>
      <c r="Q20" s="1812"/>
      <c r="R20" s="774"/>
      <c r="S20" s="775"/>
      <c r="T20" s="774"/>
      <c r="U20" s="775"/>
      <c r="V20" s="774"/>
      <c r="W20" s="775"/>
      <c r="X20" s="1815"/>
      <c r="Y20" s="3210"/>
      <c r="Z20" s="1816"/>
      <c r="AA20" s="1813">
        <v>1</v>
      </c>
      <c r="AB20" s="1813">
        <v>1</v>
      </c>
      <c r="AC20" s="1813">
        <v>1</v>
      </c>
    </row>
    <row r="21" spans="1:29" ht="28.5">
      <c r="A21" s="428"/>
      <c r="B21" s="1387" t="s">
        <v>2103</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f>'土地比较法-住宅'!K29</f>
        <v>5</v>
      </c>
      <c r="L21" s="1143"/>
      <c r="M21" s="1134"/>
      <c r="N21" s="1134"/>
      <c r="O21" s="1134"/>
      <c r="P21" s="3257"/>
      <c r="Q21" s="1812" t="str">
        <f>B21</f>
        <v>基础设施水平</v>
      </c>
      <c r="R21" s="774" t="s">
        <v>17</v>
      </c>
      <c r="S21" s="775">
        <f>F21</f>
        <v>100</v>
      </c>
      <c r="T21" s="774" t="s">
        <v>17</v>
      </c>
      <c r="U21" s="775">
        <f>H21</f>
        <v>100</v>
      </c>
      <c r="V21" s="774" t="s">
        <v>17</v>
      </c>
      <c r="W21" s="775">
        <f>J21</f>
        <v>100</v>
      </c>
      <c r="X21" s="1815"/>
      <c r="Y21" s="3210"/>
      <c r="Z21" s="1816" t="str">
        <f>Q21</f>
        <v>基础设施水平</v>
      </c>
      <c r="AA21" s="1813">
        <f t="shared" ref="AA21" si="8">D21/F21</f>
        <v>1</v>
      </c>
      <c r="AB21" s="1813">
        <f t="shared" ref="AB21" si="9">D21/H21</f>
        <v>1</v>
      </c>
      <c r="AC21" s="1813">
        <f t="shared" ref="AC21" si="10">D21/J21</f>
        <v>1</v>
      </c>
    </row>
    <row r="22" spans="1:29" ht="15">
      <c r="A22" s="428"/>
      <c r="B22" s="1387"/>
      <c r="C22" s="2607" t="s">
        <v>3211</v>
      </c>
      <c r="D22" s="448"/>
      <c r="E22" s="2607" t="s">
        <v>3211</v>
      </c>
      <c r="F22" s="448"/>
      <c r="G22" s="2607" t="s">
        <v>3211</v>
      </c>
      <c r="H22" s="448"/>
      <c r="I22" s="2607" t="s">
        <v>3211</v>
      </c>
      <c r="J22" s="448"/>
      <c r="K22" s="2611"/>
      <c r="L22" s="1143"/>
      <c r="M22" s="1134"/>
      <c r="N22" s="1134"/>
      <c r="O22" s="1134"/>
      <c r="P22" s="3257"/>
      <c r="Q22" s="1812"/>
      <c r="R22" s="774"/>
      <c r="S22" s="775"/>
      <c r="T22" s="774"/>
      <c r="U22" s="775"/>
      <c r="V22" s="774"/>
      <c r="W22" s="775"/>
      <c r="X22" s="1815"/>
      <c r="Y22" s="3210"/>
      <c r="Z22" s="1816"/>
      <c r="AA22" s="1813">
        <v>1</v>
      </c>
      <c r="AB22" s="1813">
        <v>1</v>
      </c>
      <c r="AC22" s="1813">
        <v>1</v>
      </c>
    </row>
    <row r="23" spans="1:29" ht="57">
      <c r="A23" s="428"/>
      <c r="B23" s="451" t="s">
        <v>2107</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f>'土地比较法-住宅'!K25</f>
        <v>15</v>
      </c>
      <c r="L23" s="1143"/>
      <c r="M23" s="1134"/>
      <c r="N23" s="1134"/>
      <c r="O23" s="1134"/>
      <c r="P23" s="3257"/>
      <c r="Q23" s="1812" t="str">
        <f>B23</f>
        <v>自然及人文环境</v>
      </c>
      <c r="R23" s="774" t="s">
        <v>21</v>
      </c>
      <c r="S23" s="775">
        <f>F23</f>
        <v>100</v>
      </c>
      <c r="T23" s="774" t="s">
        <v>21</v>
      </c>
      <c r="U23" s="775">
        <f>H23</f>
        <v>100</v>
      </c>
      <c r="V23" s="774" t="s">
        <v>21</v>
      </c>
      <c r="W23" s="775">
        <f>J23</f>
        <v>100</v>
      </c>
      <c r="X23" s="1815"/>
      <c r="Y23" s="3210"/>
      <c r="Z23" s="1816" t="str">
        <f>Q23</f>
        <v>自然及人文环境</v>
      </c>
      <c r="AA23" s="1813">
        <f>D23/F23</f>
        <v>1</v>
      </c>
      <c r="AB23" s="1813">
        <f>D23/H23</f>
        <v>1</v>
      </c>
      <c r="AC23" s="1813">
        <f>D23/J23</f>
        <v>1</v>
      </c>
    </row>
    <row r="24" spans="1:29" ht="15.75" thickBot="1">
      <c r="A24" s="428"/>
      <c r="B24" s="456"/>
      <c r="C24" s="447" t="s">
        <v>3204</v>
      </c>
      <c r="D24" s="448"/>
      <c r="E24" s="447" t="s">
        <v>3204</v>
      </c>
      <c r="F24" s="448"/>
      <c r="G24" s="447" t="s">
        <v>3204</v>
      </c>
      <c r="H24" s="448"/>
      <c r="I24" s="447" t="s">
        <v>3204</v>
      </c>
      <c r="J24" s="448"/>
      <c r="K24" s="2605"/>
      <c r="L24" s="1143"/>
      <c r="M24" s="1134"/>
      <c r="N24" s="1134"/>
      <c r="O24" s="1134"/>
      <c r="P24" s="3257"/>
      <c r="Q24" s="1812"/>
      <c r="R24" s="774"/>
      <c r="S24" s="775"/>
      <c r="T24" s="774"/>
      <c r="U24" s="775"/>
      <c r="V24" s="774"/>
      <c r="W24" s="775"/>
      <c r="X24" s="1815"/>
      <c r="Y24" s="3210"/>
      <c r="Z24" s="1816"/>
      <c r="AA24" s="1813">
        <v>1</v>
      </c>
      <c r="AB24" s="1813">
        <v>1</v>
      </c>
      <c r="AC24" s="1813">
        <v>1</v>
      </c>
    </row>
    <row r="25" spans="1:29" ht="15" hidden="1">
      <c r="A25" s="428"/>
      <c r="B25" s="422" t="s">
        <v>2565</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257"/>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10"/>
      <c r="Z25" s="1816" t="str">
        <f>Q25</f>
        <v>楼层-1</v>
      </c>
      <c r="AA25" s="1813">
        <f t="shared" ref="AA25:AA46" si="15">D25/F25</f>
        <v>1</v>
      </c>
      <c r="AB25" s="1813">
        <f t="shared" ref="AB25:AB46" si="16">D25/H25</f>
        <v>1</v>
      </c>
      <c r="AC25" s="1813">
        <f t="shared" ref="AC25:AC46" si="17">D25/J25</f>
        <v>1</v>
      </c>
    </row>
    <row r="26" spans="1:29" ht="15" hidden="1">
      <c r="A26" s="428"/>
      <c r="B26" s="422" t="s">
        <v>2566</v>
      </c>
      <c r="C26" s="460"/>
      <c r="D26" s="435">
        <v>100</v>
      </c>
      <c r="E26" s="2612"/>
      <c r="F26" s="435">
        <f>SUMIF(88:88,E26,89:89)-SUMIF(88:88,C26,89:89)+100</f>
        <v>100</v>
      </c>
      <c r="G26" s="2613"/>
      <c r="H26" s="435">
        <f>SUMIF(88:88,G26,89:89)-SUMIF(88:88,C26,89:89)+100</f>
        <v>100</v>
      </c>
      <c r="I26" s="2613"/>
      <c r="J26" s="435">
        <f>SUMIF(88:88,I26,89:89)-SUMIF(88:88,C26,89:89)+100</f>
        <v>100</v>
      </c>
      <c r="K26" s="426"/>
      <c r="L26" s="1143"/>
      <c r="M26" s="1134"/>
      <c r="N26" s="1134"/>
      <c r="O26" s="1134"/>
      <c r="P26" s="3257"/>
      <c r="Q26" s="1812" t="str">
        <f t="shared" si="11"/>
        <v>朝向</v>
      </c>
      <c r="R26" s="774" t="s">
        <v>21</v>
      </c>
      <c r="S26" s="775">
        <f t="shared" si="12"/>
        <v>100</v>
      </c>
      <c r="T26" s="774" t="s">
        <v>21</v>
      </c>
      <c r="U26" s="775">
        <f t="shared" si="13"/>
        <v>100</v>
      </c>
      <c r="V26" s="774" t="s">
        <v>21</v>
      </c>
      <c r="W26" s="775">
        <f t="shared" si="14"/>
        <v>100</v>
      </c>
      <c r="X26" s="1815"/>
      <c r="Y26" s="3210"/>
      <c r="Z26" s="1816" t="str">
        <f>Q26</f>
        <v>朝向</v>
      </c>
      <c r="AA26" s="1813">
        <f t="shared" si="15"/>
        <v>1</v>
      </c>
      <c r="AB26" s="1813">
        <f t="shared" si="16"/>
        <v>1</v>
      </c>
      <c r="AC26" s="1813">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0"/>
      <c r="L27" s="1135"/>
      <c r="M27" s="1136"/>
      <c r="N27" s="1136"/>
      <c r="O27" s="1136"/>
      <c r="P27" s="3257"/>
      <c r="Q27" s="1797">
        <f t="shared" si="11"/>
        <v>111</v>
      </c>
      <c r="R27" s="770" t="s">
        <v>21</v>
      </c>
      <c r="S27" s="771">
        <f t="shared" si="12"/>
        <v>100</v>
      </c>
      <c r="T27" s="770" t="s">
        <v>21</v>
      </c>
      <c r="U27" s="771">
        <f t="shared" si="13"/>
        <v>100</v>
      </c>
      <c r="V27" s="770" t="s">
        <v>21</v>
      </c>
      <c r="W27" s="771">
        <f t="shared" si="14"/>
        <v>100</v>
      </c>
      <c r="X27" s="772"/>
      <c r="Y27" s="3210"/>
      <c r="Z27" s="55">
        <f>Q27</f>
        <v>111</v>
      </c>
      <c r="AA27" s="1813">
        <f t="shared" si="15"/>
        <v>1</v>
      </c>
      <c r="AB27" s="1813">
        <f t="shared" si="16"/>
        <v>1</v>
      </c>
      <c r="AC27" s="1813">
        <f t="shared" si="17"/>
        <v>1</v>
      </c>
    </row>
    <row r="28" spans="1:29" ht="15" hidden="1">
      <c r="A28" s="428"/>
      <c r="B28" s="1389">
        <v>111</v>
      </c>
      <c r="C28" s="434"/>
      <c r="D28" s="435">
        <v>100</v>
      </c>
      <c r="E28" s="434"/>
      <c r="F28" s="435">
        <f>SUMIF(92:92,E28,93:93)-SUMIF(92:92,C28,93:93)+100</f>
        <v>100</v>
      </c>
      <c r="G28" s="2614"/>
      <c r="H28" s="435">
        <f>SUMIF(92:92,G28,93:93)-SUMIF(92:92,C28,93:93)+100</f>
        <v>100</v>
      </c>
      <c r="I28" s="434"/>
      <c r="J28" s="435">
        <f>SUMIF(92:92,I28,93:93)-SUMIF(92:92,C28,93:93)+100</f>
        <v>100</v>
      </c>
      <c r="K28" s="2600"/>
      <c r="L28" s="1143"/>
      <c r="M28" s="1134"/>
      <c r="N28" s="1134"/>
      <c r="O28" s="1134"/>
      <c r="P28" s="3257"/>
      <c r="Q28" s="1812">
        <f t="shared" si="11"/>
        <v>111</v>
      </c>
      <c r="R28" s="774" t="s">
        <v>21</v>
      </c>
      <c r="S28" s="775">
        <f t="shared" si="12"/>
        <v>100</v>
      </c>
      <c r="T28" s="774" t="s">
        <v>21</v>
      </c>
      <c r="U28" s="775">
        <f t="shared" si="13"/>
        <v>100</v>
      </c>
      <c r="V28" s="774" t="s">
        <v>21</v>
      </c>
      <c r="W28" s="775">
        <f t="shared" si="14"/>
        <v>100</v>
      </c>
      <c r="X28" s="1815"/>
      <c r="Y28" s="3210"/>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257"/>
      <c r="Q29" s="1812">
        <f t="shared" si="11"/>
        <v>111</v>
      </c>
      <c r="R29" s="774" t="s">
        <v>21</v>
      </c>
      <c r="S29" s="775">
        <f t="shared" si="12"/>
        <v>100</v>
      </c>
      <c r="T29" s="774" t="s">
        <v>21</v>
      </c>
      <c r="U29" s="775">
        <f t="shared" si="13"/>
        <v>100</v>
      </c>
      <c r="V29" s="774" t="s">
        <v>21</v>
      </c>
      <c r="W29" s="775">
        <f t="shared" si="14"/>
        <v>100</v>
      </c>
      <c r="X29" s="1815"/>
      <c r="Y29" s="3210"/>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257"/>
      <c r="Q30" s="1812">
        <f t="shared" si="11"/>
        <v>111</v>
      </c>
      <c r="R30" s="774" t="s">
        <v>21</v>
      </c>
      <c r="S30" s="775">
        <f t="shared" si="12"/>
        <v>100</v>
      </c>
      <c r="T30" s="774" t="s">
        <v>21</v>
      </c>
      <c r="U30" s="775">
        <f t="shared" si="13"/>
        <v>100</v>
      </c>
      <c r="V30" s="774" t="s">
        <v>21</v>
      </c>
      <c r="W30" s="775">
        <f t="shared" si="14"/>
        <v>100</v>
      </c>
      <c r="X30" s="1815"/>
      <c r="Y30" s="3210"/>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257"/>
      <c r="Q31" s="1812">
        <f t="shared" si="11"/>
        <v>111</v>
      </c>
      <c r="R31" s="774" t="s">
        <v>21</v>
      </c>
      <c r="S31" s="775">
        <f t="shared" si="12"/>
        <v>100</v>
      </c>
      <c r="T31" s="774" t="s">
        <v>21</v>
      </c>
      <c r="U31" s="775">
        <f t="shared" si="13"/>
        <v>100</v>
      </c>
      <c r="V31" s="774" t="s">
        <v>21</v>
      </c>
      <c r="W31" s="775">
        <f t="shared" si="14"/>
        <v>100</v>
      </c>
      <c r="X31" s="1815"/>
      <c r="Y31" s="3210"/>
      <c r="Z31" s="1816">
        <f t="shared" si="18"/>
        <v>111</v>
      </c>
      <c r="AA31" s="1813">
        <f t="shared" si="15"/>
        <v>1</v>
      </c>
      <c r="AB31" s="1813">
        <f t="shared" si="16"/>
        <v>1</v>
      </c>
      <c r="AC31" s="1813">
        <f t="shared" si="17"/>
        <v>1</v>
      </c>
    </row>
    <row r="32" spans="1:29" ht="15">
      <c r="A32" s="440" t="s">
        <v>2567</v>
      </c>
      <c r="B32" s="71" t="s">
        <v>2568</v>
      </c>
      <c r="C32" s="2616" t="s">
        <v>3215</v>
      </c>
      <c r="D32" s="467">
        <v>100</v>
      </c>
      <c r="E32" s="2616" t="s">
        <v>3215</v>
      </c>
      <c r="F32" s="461">
        <f>SUMIF(100:100,E32,101:101)-SUMIF(100:100,C32,101:101)+100</f>
        <v>100</v>
      </c>
      <c r="G32" s="2616" t="s">
        <v>3215</v>
      </c>
      <c r="H32" s="467">
        <f>SUMIF(100:100,G32,101:101)-SUMIF(100:100,C32,101:101)+100</f>
        <v>100</v>
      </c>
      <c r="I32" s="2616" t="s">
        <v>3215</v>
      </c>
      <c r="J32" s="435">
        <f>SUMIF(100:100,I32,101:101)-SUMIF(100:100,C32,101:101)+100</f>
        <v>100</v>
      </c>
      <c r="K32" s="426">
        <v>20</v>
      </c>
      <c r="L32" s="1143"/>
      <c r="M32" s="1134"/>
      <c r="N32" s="1134"/>
      <c r="O32" s="1134"/>
      <c r="P32" s="3252" t="s">
        <v>2569</v>
      </c>
      <c r="Q32" s="1812" t="str">
        <f t="shared" si="11"/>
        <v>建筑类型</v>
      </c>
      <c r="R32" s="774" t="s">
        <v>21</v>
      </c>
      <c r="S32" s="775">
        <f t="shared" si="12"/>
        <v>100</v>
      </c>
      <c r="T32" s="774" t="s">
        <v>21</v>
      </c>
      <c r="U32" s="775">
        <f t="shared" si="13"/>
        <v>100</v>
      </c>
      <c r="V32" s="774" t="s">
        <v>21</v>
      </c>
      <c r="W32" s="775">
        <f t="shared" si="14"/>
        <v>100</v>
      </c>
      <c r="X32" s="1815"/>
      <c r="Y32" s="3212" t="s">
        <v>2569</v>
      </c>
      <c r="Z32" s="1816" t="str">
        <f t="shared" si="18"/>
        <v>建筑类型</v>
      </c>
      <c r="AA32" s="1813">
        <f t="shared" si="15"/>
        <v>1</v>
      </c>
      <c r="AB32" s="1813">
        <f t="shared" si="16"/>
        <v>1</v>
      </c>
      <c r="AC32" s="1813">
        <f t="shared" si="17"/>
        <v>1</v>
      </c>
    </row>
    <row r="33" spans="1:29" s="471" customFormat="1" ht="15">
      <c r="A33" s="468"/>
      <c r="B33" s="422" t="s">
        <v>2570</v>
      </c>
      <c r="C33" s="469">
        <f>范围!M2</f>
        <v>412633.29</v>
      </c>
      <c r="D33" s="136">
        <v>100</v>
      </c>
      <c r="E33" s="469">
        <v>148372</v>
      </c>
      <c r="F33" s="425">
        <f>LOOKUP(E33,103:103,104:104)-LOOKUP(C33,103:103,104:104)+100</f>
        <v>97</v>
      </c>
      <c r="G33" s="469">
        <v>170000</v>
      </c>
      <c r="H33" s="136">
        <f>LOOKUP(G33,103:103,104:104)-LOOKUP(C33,103:103,104:104)+100</f>
        <v>97</v>
      </c>
      <c r="I33" s="469">
        <v>115160</v>
      </c>
      <c r="J33" s="136">
        <f>LOOKUP(I33,103:103,104:104)-LOOKUP(C33,103:103,104:104)+100</f>
        <v>97</v>
      </c>
      <c r="K33" s="2600"/>
      <c r="L33" s="1141"/>
      <c r="M33" s="1144"/>
      <c r="N33" s="1144"/>
      <c r="O33" s="1144"/>
      <c r="P33" s="3253"/>
      <c r="Q33" s="776" t="str">
        <f t="shared" si="11"/>
        <v>项目建筑规模</v>
      </c>
      <c r="R33" s="777" t="s">
        <v>21</v>
      </c>
      <c r="S33" s="778">
        <f t="shared" si="12"/>
        <v>97</v>
      </c>
      <c r="T33" s="777" t="s">
        <v>21</v>
      </c>
      <c r="U33" s="778">
        <f t="shared" si="13"/>
        <v>97</v>
      </c>
      <c r="V33" s="777" t="s">
        <v>21</v>
      </c>
      <c r="W33" s="778">
        <f t="shared" si="14"/>
        <v>97</v>
      </c>
      <c r="X33" s="779"/>
      <c r="Y33" s="3212"/>
      <c r="Z33" s="780" t="str">
        <f t="shared" si="18"/>
        <v>项目建筑规模</v>
      </c>
      <c r="AA33" s="1813">
        <f t="shared" si="15"/>
        <v>1.0309278350515463</v>
      </c>
      <c r="AB33" s="1813">
        <f t="shared" si="16"/>
        <v>1.0309278350515463</v>
      </c>
      <c r="AC33" s="1813">
        <f t="shared" si="17"/>
        <v>1.0309278350515463</v>
      </c>
    </row>
    <row r="34" spans="1:29" ht="15">
      <c r="A34" s="472"/>
      <c r="B34" s="422" t="s">
        <v>2571</v>
      </c>
      <c r="C34" s="2617" t="s">
        <v>3156</v>
      </c>
      <c r="D34" s="435">
        <v>100</v>
      </c>
      <c r="E34" s="2617" t="s">
        <v>3156</v>
      </c>
      <c r="F34" s="461">
        <f>SUMIF(105:105,E34,106:106)-SUMIF(105:105,C34,106:106)+100</f>
        <v>100</v>
      </c>
      <c r="G34" s="2617" t="s">
        <v>3156</v>
      </c>
      <c r="H34" s="435">
        <f>SUMIF(105:105,G34,106:106)-SUMIF(105:105,C34,106:106)+100</f>
        <v>100</v>
      </c>
      <c r="I34" s="2617" t="s">
        <v>3156</v>
      </c>
      <c r="J34" s="435">
        <f>SUMIF(105:105,I34,106:106)-SUMIF(105:105,C34,106:106)+100</f>
        <v>100</v>
      </c>
      <c r="K34" s="426">
        <v>2</v>
      </c>
      <c r="L34" s="1143"/>
      <c r="M34" s="1134"/>
      <c r="N34" s="1134"/>
      <c r="O34" s="1134"/>
      <c r="P34" s="3253"/>
      <c r="Q34" s="1812" t="str">
        <f t="shared" si="11"/>
        <v>建筑结构</v>
      </c>
      <c r="R34" s="774" t="s">
        <v>21</v>
      </c>
      <c r="S34" s="775">
        <f t="shared" si="12"/>
        <v>100</v>
      </c>
      <c r="T34" s="774" t="s">
        <v>21</v>
      </c>
      <c r="U34" s="775">
        <f t="shared" si="13"/>
        <v>100</v>
      </c>
      <c r="V34" s="774" t="s">
        <v>21</v>
      </c>
      <c r="W34" s="775">
        <f t="shared" si="14"/>
        <v>100</v>
      </c>
      <c r="X34" s="1815"/>
      <c r="Y34" s="3212"/>
      <c r="Z34" s="1816" t="str">
        <f t="shared" si="18"/>
        <v>建筑结构</v>
      </c>
      <c r="AA34" s="1813">
        <f t="shared" si="15"/>
        <v>1</v>
      </c>
      <c r="AB34" s="1813">
        <f t="shared" si="16"/>
        <v>1</v>
      </c>
      <c r="AC34" s="1813">
        <f t="shared" si="17"/>
        <v>1</v>
      </c>
    </row>
    <row r="35" spans="1:29" ht="15">
      <c r="A35" s="472"/>
      <c r="B35" s="422" t="s">
        <v>2572</v>
      </c>
      <c r="C35" s="2612" t="s">
        <v>3218</v>
      </c>
      <c r="D35" s="435">
        <v>100</v>
      </c>
      <c r="E35" s="2612" t="s">
        <v>3218</v>
      </c>
      <c r="F35" s="461">
        <f>SUMIF(107:107,E35,108:108)-SUMIF(107:107,C35,108:108)+100</f>
        <v>100</v>
      </c>
      <c r="G35" s="2612" t="s">
        <v>3218</v>
      </c>
      <c r="H35" s="435">
        <f>SUMIF(107:107,G35,108:108)-SUMIF(107:107,C35,108:108)+100</f>
        <v>100</v>
      </c>
      <c r="I35" s="2612" t="s">
        <v>3218</v>
      </c>
      <c r="J35" s="435">
        <f>SUMIF(107:107,I35,108:108)-SUMIF(107:107,C35,108:108)+100</f>
        <v>100</v>
      </c>
      <c r="K35" s="426">
        <v>2</v>
      </c>
      <c r="L35" s="1143"/>
      <c r="M35" s="1134"/>
      <c r="N35" s="1134"/>
      <c r="O35" s="1134"/>
      <c r="P35" s="3253"/>
      <c r="Q35" s="1812" t="str">
        <f t="shared" si="11"/>
        <v>建筑品质</v>
      </c>
      <c r="R35" s="774" t="s">
        <v>21</v>
      </c>
      <c r="S35" s="775">
        <f t="shared" si="12"/>
        <v>100</v>
      </c>
      <c r="T35" s="774" t="s">
        <v>21</v>
      </c>
      <c r="U35" s="775">
        <f t="shared" si="13"/>
        <v>100</v>
      </c>
      <c r="V35" s="774" t="s">
        <v>21</v>
      </c>
      <c r="W35" s="775">
        <f t="shared" si="14"/>
        <v>100</v>
      </c>
      <c r="X35" s="1815"/>
      <c r="Y35" s="3212"/>
      <c r="Z35" s="1816" t="str">
        <f t="shared" si="18"/>
        <v>建筑品质</v>
      </c>
      <c r="AA35" s="1813">
        <f t="shared" si="15"/>
        <v>1</v>
      </c>
      <c r="AB35" s="1813">
        <f t="shared" si="16"/>
        <v>1</v>
      </c>
      <c r="AC35" s="1813">
        <f t="shared" si="17"/>
        <v>1</v>
      </c>
    </row>
    <row r="36" spans="1:29" ht="15">
      <c r="A36" s="472"/>
      <c r="B36" s="422" t="s">
        <v>2573</v>
      </c>
      <c r="C36" s="2612" t="s">
        <v>3220</v>
      </c>
      <c r="D36" s="435">
        <v>100</v>
      </c>
      <c r="E36" s="2612" t="s">
        <v>3220</v>
      </c>
      <c r="F36" s="461">
        <f>SUMIF(109:109,E36,110:110)-SUMIF(109:109,C36,110:110)+100</f>
        <v>100</v>
      </c>
      <c r="G36" s="2612" t="s">
        <v>3220</v>
      </c>
      <c r="H36" s="435">
        <f>SUMIF(109:109,G36,110:110)-SUMIF(109:109,C36,110:110)+100</f>
        <v>100</v>
      </c>
      <c r="I36" s="2612" t="s">
        <v>3220</v>
      </c>
      <c r="J36" s="435">
        <f>SUMIF(109:109,I36,110:110)-SUMIF(109:109,C36,110:110)+100</f>
        <v>100</v>
      </c>
      <c r="K36" s="426">
        <v>2</v>
      </c>
      <c r="L36" s="1143"/>
      <c r="M36" s="1134"/>
      <c r="N36" s="1134"/>
      <c r="O36" s="1134"/>
      <c r="P36" s="3253"/>
      <c r="Q36" s="1812" t="str">
        <f t="shared" si="11"/>
        <v>公共部分装修</v>
      </c>
      <c r="R36" s="774" t="s">
        <v>21</v>
      </c>
      <c r="S36" s="775">
        <f t="shared" si="12"/>
        <v>100</v>
      </c>
      <c r="T36" s="774" t="s">
        <v>21</v>
      </c>
      <c r="U36" s="775">
        <f t="shared" si="13"/>
        <v>100</v>
      </c>
      <c r="V36" s="774" t="s">
        <v>21</v>
      </c>
      <c r="W36" s="775">
        <f t="shared" si="14"/>
        <v>100</v>
      </c>
      <c r="X36" s="1815"/>
      <c r="Y36" s="3212"/>
      <c r="Z36" s="1816" t="str">
        <f t="shared" si="18"/>
        <v>公共部分装修</v>
      </c>
      <c r="AA36" s="1813">
        <f t="shared" si="15"/>
        <v>1</v>
      </c>
      <c r="AB36" s="1813">
        <f t="shared" si="16"/>
        <v>1</v>
      </c>
      <c r="AC36" s="1813">
        <f t="shared" si="17"/>
        <v>1</v>
      </c>
    </row>
    <row r="37" spans="1:29" s="117" customFormat="1" ht="15">
      <c r="A37" s="473"/>
      <c r="B37" s="422" t="s">
        <v>2574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2</v>
      </c>
      <c r="L37" s="1135"/>
      <c r="M37" s="1136"/>
      <c r="N37" s="1136"/>
      <c r="O37" s="1136"/>
      <c r="P37" s="3253"/>
      <c r="Q37" s="1797" t="str">
        <f t="shared" si="11"/>
        <v>成新度</v>
      </c>
      <c r="R37" s="770" t="s">
        <v>21</v>
      </c>
      <c r="S37" s="771">
        <f t="shared" si="12"/>
        <v>100</v>
      </c>
      <c r="T37" s="770" t="s">
        <v>21</v>
      </c>
      <c r="U37" s="771">
        <f t="shared" si="13"/>
        <v>100</v>
      </c>
      <c r="V37" s="770" t="s">
        <v>21</v>
      </c>
      <c r="W37" s="771">
        <f t="shared" si="14"/>
        <v>100</v>
      </c>
      <c r="X37" s="772"/>
      <c r="Y37" s="3212"/>
      <c r="Z37" s="55" t="str">
        <f t="shared" si="18"/>
        <v>成新度</v>
      </c>
      <c r="AA37" s="773">
        <f t="shared" si="15"/>
        <v>1</v>
      </c>
      <c r="AB37" s="773">
        <f t="shared" si="16"/>
        <v>1</v>
      </c>
      <c r="AC37" s="773">
        <f t="shared" si="17"/>
        <v>1</v>
      </c>
    </row>
    <row r="38" spans="1:29" ht="15">
      <c r="A38" s="472"/>
      <c r="B38" s="422" t="s">
        <v>2575</v>
      </c>
      <c r="C38" s="2612" t="s">
        <v>3222</v>
      </c>
      <c r="D38" s="435">
        <v>100</v>
      </c>
      <c r="E38" s="2612" t="s">
        <v>3222</v>
      </c>
      <c r="F38" s="461">
        <f>SUMIF(114:114,E38,115:115)-SUMIF(114:114,C38,115:115)+100</f>
        <v>100</v>
      </c>
      <c r="G38" s="2612" t="s">
        <v>3222</v>
      </c>
      <c r="H38" s="435">
        <f>SUMIF(114:114,G38,115:115)-SUMIF(114:114,C38,115:115)+100</f>
        <v>100</v>
      </c>
      <c r="I38" s="2612" t="s">
        <v>3222</v>
      </c>
      <c r="J38" s="435">
        <f>SUMIF(114:114,I38,115:115)-SUMIF(114:114,C38,115:115)+100</f>
        <v>100</v>
      </c>
      <c r="K38" s="426">
        <v>2</v>
      </c>
      <c r="L38" s="1143"/>
      <c r="M38" s="1134"/>
      <c r="N38" s="1134"/>
      <c r="O38" s="1134"/>
      <c r="P38" s="3253" t="s">
        <v>2569</v>
      </c>
      <c r="Q38" s="1812" t="str">
        <f t="shared" si="11"/>
        <v>物业管理</v>
      </c>
      <c r="R38" s="774" t="s">
        <v>21</v>
      </c>
      <c r="S38" s="775">
        <f t="shared" si="12"/>
        <v>100</v>
      </c>
      <c r="T38" s="774" t="s">
        <v>21</v>
      </c>
      <c r="U38" s="775">
        <f t="shared" si="13"/>
        <v>100</v>
      </c>
      <c r="V38" s="774" t="s">
        <v>21</v>
      </c>
      <c r="W38" s="775">
        <f t="shared" si="14"/>
        <v>100</v>
      </c>
      <c r="X38" s="1815"/>
      <c r="Y38" s="3212" t="s">
        <v>2569</v>
      </c>
      <c r="Z38" s="1816" t="str">
        <f t="shared" si="18"/>
        <v>物业管理</v>
      </c>
      <c r="AA38" s="1813">
        <f t="shared" si="15"/>
        <v>1</v>
      </c>
      <c r="AB38" s="1813">
        <f t="shared" si="16"/>
        <v>1</v>
      </c>
      <c r="AC38" s="1813">
        <f t="shared" si="17"/>
        <v>1</v>
      </c>
    </row>
    <row r="39" spans="1:29" ht="15" hidden="1">
      <c r="A39" s="472"/>
      <c r="B39" s="422" t="s">
        <v>2576</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426"/>
      <c r="L39" s="1143"/>
      <c r="M39" s="1134"/>
      <c r="N39" s="1134"/>
      <c r="O39" s="1134"/>
      <c r="P39" s="3253"/>
      <c r="Q39" s="1812" t="str">
        <f t="shared" si="11"/>
        <v>市政基础设施</v>
      </c>
      <c r="R39" s="774" t="s">
        <v>21</v>
      </c>
      <c r="S39" s="775">
        <f t="shared" si="12"/>
        <v>100</v>
      </c>
      <c r="T39" s="774" t="s">
        <v>21</v>
      </c>
      <c r="U39" s="775">
        <f t="shared" si="13"/>
        <v>100</v>
      </c>
      <c r="V39" s="774" t="s">
        <v>21</v>
      </c>
      <c r="W39" s="775">
        <f t="shared" si="14"/>
        <v>100</v>
      </c>
      <c r="X39" s="1815"/>
      <c r="Y39" s="3212"/>
      <c r="Z39" s="1816" t="str">
        <f t="shared" si="18"/>
        <v>市政基础设施</v>
      </c>
      <c r="AA39" s="1813">
        <f t="shared" si="15"/>
        <v>1</v>
      </c>
      <c r="AB39" s="1813">
        <f t="shared" si="16"/>
        <v>1</v>
      </c>
      <c r="AC39" s="1813">
        <f t="shared" si="17"/>
        <v>1</v>
      </c>
    </row>
    <row r="40" spans="1:29" ht="15" hidden="1">
      <c r="A40" s="472"/>
      <c r="B40" s="422" t="s">
        <v>2577</v>
      </c>
      <c r="C40" s="2612"/>
      <c r="D40" s="435">
        <v>100</v>
      </c>
      <c r="E40" s="2612"/>
      <c r="F40" s="461">
        <f>SUMIF(118:118,E40,119:119)-SUMIF(118:118,C40,119:119)+100</f>
        <v>100</v>
      </c>
      <c r="G40" s="2612"/>
      <c r="H40" s="435">
        <f>SUMIF(118:118,G40,119:119)-SUMIF(118:118,C40,119:119)+100</f>
        <v>100</v>
      </c>
      <c r="I40" s="2612"/>
      <c r="J40" s="435">
        <f>SUMIF(118:118,I40,119:119)-SUMIF(118:118,C40,119:119)+100</f>
        <v>100</v>
      </c>
      <c r="K40" s="426"/>
      <c r="L40" s="1143"/>
      <c r="M40" s="1134"/>
      <c r="N40" s="1134"/>
      <c r="O40" s="1134"/>
      <c r="P40" s="3253"/>
      <c r="Q40" s="1812" t="str">
        <f t="shared" si="11"/>
        <v>房型</v>
      </c>
      <c r="R40" s="774" t="s">
        <v>21</v>
      </c>
      <c r="S40" s="775">
        <f t="shared" si="12"/>
        <v>100</v>
      </c>
      <c r="T40" s="774" t="s">
        <v>21</v>
      </c>
      <c r="U40" s="775">
        <f t="shared" si="13"/>
        <v>100</v>
      </c>
      <c r="V40" s="774" t="s">
        <v>21</v>
      </c>
      <c r="W40" s="775">
        <f t="shared" si="14"/>
        <v>100</v>
      </c>
      <c r="X40" s="1815"/>
      <c r="Y40" s="3212"/>
      <c r="Z40" s="1816" t="str">
        <f t="shared" si="18"/>
        <v>房型</v>
      </c>
      <c r="AA40" s="1813">
        <f t="shared" si="15"/>
        <v>1</v>
      </c>
      <c r="AB40" s="1813">
        <f t="shared" si="16"/>
        <v>1</v>
      </c>
      <c r="AC40" s="1813">
        <f t="shared" si="17"/>
        <v>1</v>
      </c>
    </row>
    <row r="41" spans="1:29" s="471" customFormat="1" ht="28.5" hidden="1">
      <c r="A41" s="468"/>
      <c r="B41" s="422" t="s">
        <v>2578</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0"/>
      <c r="L41" s="1141"/>
      <c r="M41" s="1144"/>
      <c r="N41" s="1144"/>
      <c r="O41" s="1144"/>
      <c r="P41" s="3253"/>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13">
        <f t="shared" si="15"/>
        <v>1</v>
      </c>
      <c r="AB41" s="1813">
        <f t="shared" si="16"/>
        <v>1</v>
      </c>
      <c r="AC41" s="1813">
        <f t="shared" si="17"/>
        <v>1</v>
      </c>
    </row>
    <row r="42" spans="1:29" ht="15">
      <c r="A42" s="472"/>
      <c r="B42" s="422" t="s">
        <v>2579</v>
      </c>
      <c r="C42" s="2612" t="s">
        <v>3220</v>
      </c>
      <c r="D42" s="435">
        <v>100</v>
      </c>
      <c r="E42" s="2612" t="s">
        <v>3220</v>
      </c>
      <c r="F42" s="461">
        <f>SUMIF(122:122,E42,123:123)-SUMIF(122:122,C42,123:123)+100</f>
        <v>100</v>
      </c>
      <c r="G42" s="2612" t="s">
        <v>3220</v>
      </c>
      <c r="H42" s="435">
        <f>SUMIF(122:122,G42,123:123)-SUMIF(122:122,C42,123:123)+100</f>
        <v>100</v>
      </c>
      <c r="I42" s="2612" t="s">
        <v>3220</v>
      </c>
      <c r="J42" s="435">
        <f>SUMIF(122:122,I42,123:123)-SUMIF(122:122,C42,123:123)+100</f>
        <v>100</v>
      </c>
      <c r="K42" s="426">
        <v>2</v>
      </c>
      <c r="L42" s="1143"/>
      <c r="M42" s="1134"/>
      <c r="N42" s="1134"/>
      <c r="O42" s="1134"/>
      <c r="P42" s="3253"/>
      <c r="Q42" s="1812" t="str">
        <f t="shared" si="11"/>
        <v>内部装修</v>
      </c>
      <c r="R42" s="774" t="s">
        <v>21</v>
      </c>
      <c r="S42" s="775">
        <f t="shared" si="12"/>
        <v>100</v>
      </c>
      <c r="T42" s="774" t="s">
        <v>21</v>
      </c>
      <c r="U42" s="775">
        <f t="shared" si="13"/>
        <v>100</v>
      </c>
      <c r="V42" s="774" t="s">
        <v>21</v>
      </c>
      <c r="W42" s="775">
        <f t="shared" si="14"/>
        <v>100</v>
      </c>
      <c r="X42" s="1815"/>
      <c r="Y42" s="3212"/>
      <c r="Z42" s="1816" t="str">
        <f t="shared" si="18"/>
        <v>内部装修</v>
      </c>
      <c r="AA42" s="1813">
        <f t="shared" si="15"/>
        <v>1</v>
      </c>
      <c r="AB42" s="1813">
        <f t="shared" si="16"/>
        <v>1</v>
      </c>
      <c r="AC42" s="1813">
        <f t="shared" si="17"/>
        <v>1</v>
      </c>
    </row>
    <row r="43" spans="1:29" ht="15.75" thickBot="1">
      <c r="A43" s="472"/>
      <c r="B43" s="422" t="s">
        <v>2580</v>
      </c>
      <c r="C43" s="2612" t="s">
        <v>3204</v>
      </c>
      <c r="D43" s="435">
        <v>100</v>
      </c>
      <c r="E43" s="2612" t="s">
        <v>3204</v>
      </c>
      <c r="F43" s="461">
        <f>SUMIF(124:124,E43,125:125)-SUMIF(124:124,C43,125:125)+100</f>
        <v>100</v>
      </c>
      <c r="G43" s="2612" t="s">
        <v>3204</v>
      </c>
      <c r="H43" s="435">
        <f>SUMIF(124:124,G43,125:125)-SUMIF(124:124,C43,125:125)+100</f>
        <v>100</v>
      </c>
      <c r="I43" s="2612" t="s">
        <v>3204</v>
      </c>
      <c r="J43" s="435">
        <f>SUMIF(124:124,I43,125:125)-SUMIF(124:124,C43,125:125)+100</f>
        <v>100</v>
      </c>
      <c r="K43" s="426">
        <v>2</v>
      </c>
      <c r="L43" s="1143"/>
      <c r="M43" s="1134"/>
      <c r="N43" s="1134"/>
      <c r="O43" s="1134"/>
      <c r="P43" s="3253"/>
      <c r="Q43" s="1812" t="str">
        <f t="shared" si="11"/>
        <v>内部装修维护情况</v>
      </c>
      <c r="R43" s="774" t="s">
        <v>21</v>
      </c>
      <c r="S43" s="775">
        <f t="shared" si="12"/>
        <v>100</v>
      </c>
      <c r="T43" s="774" t="s">
        <v>21</v>
      </c>
      <c r="U43" s="775">
        <f t="shared" si="13"/>
        <v>100</v>
      </c>
      <c r="V43" s="774" t="s">
        <v>21</v>
      </c>
      <c r="W43" s="775">
        <f t="shared" si="14"/>
        <v>100</v>
      </c>
      <c r="X43" s="1815"/>
      <c r="Y43" s="3212"/>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253"/>
      <c r="Q44" s="1797">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253"/>
      <c r="Q45" s="1812">
        <f t="shared" si="11"/>
        <v>111</v>
      </c>
      <c r="R45" s="774" t="s">
        <v>21</v>
      </c>
      <c r="S45" s="775">
        <f t="shared" si="12"/>
        <v>100</v>
      </c>
      <c r="T45" s="774" t="s">
        <v>21</v>
      </c>
      <c r="U45" s="775">
        <f t="shared" si="13"/>
        <v>100</v>
      </c>
      <c r="V45" s="774" t="s">
        <v>21</v>
      </c>
      <c r="W45" s="775">
        <f t="shared" si="14"/>
        <v>100</v>
      </c>
      <c r="X45" s="1815"/>
      <c r="Y45" s="3212"/>
      <c r="Z45" s="1816">
        <f t="shared" si="18"/>
        <v>111</v>
      </c>
      <c r="AA45" s="1813">
        <f t="shared" si="15"/>
        <v>1</v>
      </c>
      <c r="AB45" s="1813">
        <f t="shared" si="16"/>
        <v>1</v>
      </c>
      <c r="AC45" s="1813">
        <f t="shared" si="17"/>
        <v>1</v>
      </c>
    </row>
    <row r="46" spans="1:29" ht="15.75" hidden="1"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254"/>
      <c r="Q46" s="1812">
        <f t="shared" si="11"/>
        <v>111</v>
      </c>
      <c r="R46" s="774" t="s">
        <v>20</v>
      </c>
      <c r="S46" s="775">
        <f t="shared" si="12"/>
        <v>100</v>
      </c>
      <c r="T46" s="774" t="s">
        <v>20</v>
      </c>
      <c r="U46" s="775">
        <f t="shared" si="13"/>
        <v>100</v>
      </c>
      <c r="V46" s="774" t="s">
        <v>20</v>
      </c>
      <c r="W46" s="775">
        <f t="shared" si="14"/>
        <v>100</v>
      </c>
      <c r="X46" s="1815"/>
      <c r="Y46" s="3255"/>
      <c r="Z46" s="1816">
        <f t="shared" si="18"/>
        <v>111</v>
      </c>
      <c r="AA46" s="1813">
        <f t="shared" si="15"/>
        <v>1</v>
      </c>
      <c r="AB46" s="1813">
        <f t="shared" si="16"/>
        <v>1</v>
      </c>
      <c r="AC46" s="1813">
        <f t="shared" si="17"/>
        <v>1</v>
      </c>
    </row>
    <row r="47" spans="1:29" ht="15">
      <c r="A47" s="479" t="s">
        <v>2581</v>
      </c>
      <c r="B47" s="480"/>
      <c r="C47" s="1410" t="s">
        <v>19</v>
      </c>
      <c r="D47" s="1411"/>
      <c r="E47" s="1412">
        <v>17500</v>
      </c>
      <c r="F47" s="1413"/>
      <c r="G47" s="1414">
        <v>17500</v>
      </c>
      <c r="H47" s="1415"/>
      <c r="I47" s="1412">
        <v>16500</v>
      </c>
      <c r="J47" s="1415"/>
      <c r="K47" s="2618"/>
      <c r="L47" s="1146"/>
      <c r="M47" s="1147"/>
      <c r="N47" s="1134"/>
      <c r="O47" s="1147"/>
      <c r="P47" s="3194" t="str">
        <f>A47</f>
        <v>成交单价（元/平方米）</v>
      </c>
      <c r="Q47" s="3194"/>
      <c r="R47" s="3251">
        <f>E47</f>
        <v>17500</v>
      </c>
      <c r="S47" s="3251"/>
      <c r="T47" s="3251">
        <f>G47</f>
        <v>17500</v>
      </c>
      <c r="U47" s="3251"/>
      <c r="V47" s="3251">
        <f>I47</f>
        <v>16500</v>
      </c>
      <c r="W47" s="3251"/>
      <c r="X47" s="759"/>
      <c r="Y47" s="781"/>
      <c r="Z47" s="759"/>
      <c r="AA47" s="759"/>
      <c r="AB47" s="759"/>
      <c r="AC47" s="759"/>
    </row>
    <row r="48" spans="1:29" ht="15.75" thickBot="1">
      <c r="A48" s="486" t="s">
        <v>2582</v>
      </c>
      <c r="B48" s="487"/>
      <c r="C48" s="1416">
        <f>R49</f>
        <v>17953</v>
      </c>
      <c r="D48" s="1417"/>
      <c r="E48" s="1418">
        <f>R48</f>
        <v>18618</v>
      </c>
      <c r="F48" s="1418"/>
      <c r="G48" s="1416">
        <f>T48</f>
        <v>17687</v>
      </c>
      <c r="H48" s="1417"/>
      <c r="I48" s="1418">
        <f>V48</f>
        <v>17554</v>
      </c>
      <c r="J48" s="1417"/>
      <c r="K48" s="2619"/>
      <c r="L48" s="1146"/>
      <c r="M48" s="1147"/>
      <c r="N48" s="1147"/>
      <c r="O48" s="1147"/>
      <c r="P48" s="3194" t="str">
        <f>A48</f>
        <v>比较价值（元/平方米）</v>
      </c>
      <c r="Q48" s="3194"/>
      <c r="R48" s="3251">
        <f>IF(F1="售价",ROUND(PRODUCT(R47,AA7:AA46),0),ROUND(PRODUCT(R47,AA7:AA46),1))</f>
        <v>18618</v>
      </c>
      <c r="S48" s="3251"/>
      <c r="T48" s="3251">
        <f>IF(F1="售价",ROUND(PRODUCT(T47,AB7:AB46),0),ROUND(PRODUCT(T47,AB7:AB46),1))</f>
        <v>17687</v>
      </c>
      <c r="U48" s="3251"/>
      <c r="V48" s="3251">
        <f>IF(F1="售价",ROUND(PRODUCT(V47,AC7:AC46),0),ROUND(PRODUCT(V47,AC7:AC46),1))</f>
        <v>17554</v>
      </c>
      <c r="W48" s="3251"/>
      <c r="X48" s="759"/>
      <c r="Y48" s="759"/>
      <c r="Z48" s="759"/>
      <c r="AA48" s="759"/>
      <c r="AB48" s="759"/>
      <c r="AC48" s="759"/>
    </row>
    <row r="49" spans="1:29" ht="15.75" thickBot="1">
      <c r="A49" s="492" t="s">
        <v>2583</v>
      </c>
      <c r="B49" s="493"/>
      <c r="C49" s="1419">
        <f>R49</f>
        <v>17953</v>
      </c>
      <c r="D49" s="1420"/>
      <c r="E49" s="1420"/>
      <c r="F49" s="1420"/>
      <c r="G49" s="1420"/>
      <c r="H49" s="1420"/>
      <c r="I49" s="1420"/>
      <c r="J49" s="1420"/>
      <c r="K49" s="2620"/>
      <c r="L49" s="1146"/>
      <c r="M49" s="1147"/>
      <c r="N49" s="1147"/>
      <c r="O49" s="1147"/>
      <c r="P49" s="3214" t="str">
        <f>A49</f>
        <v>估价对象XX用房的比较价值（楼面单价，元/平方米）</v>
      </c>
      <c r="Q49" s="3215"/>
      <c r="R49" s="3250">
        <f>IF(F1="售价",ROUND(AVERAGE(R48:V48),0),ROUND(AVERAGE(R48:V48),1))</f>
        <v>17953</v>
      </c>
      <c r="S49" s="3250"/>
      <c r="T49" s="3250"/>
      <c r="U49" s="3250"/>
      <c r="V49" s="3250"/>
      <c r="W49" s="325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2584</v>
      </c>
      <c r="D52" s="498"/>
      <c r="E52" s="499">
        <f>IF(E47&lt;E48,E48/E47-1,E47/E48-1)</f>
        <v>6.3885714285714323E-2</v>
      </c>
      <c r="F52" s="500" t="str">
        <f>IF(OR(E52&gt;=0.3,E52&lt;=-0.3),"超过30%","")</f>
        <v/>
      </c>
      <c r="G52" s="499">
        <f>IF(G47&lt;G48,G48/G47-1,G47/G48-1)</f>
        <v>1.0685714285714187E-2</v>
      </c>
      <c r="H52" s="500" t="str">
        <f>IF(OR(G52&gt;=0.3,G52&lt;=-0.3),"超过30%","")</f>
        <v/>
      </c>
      <c r="I52" s="499">
        <f>IF(I47&lt;I48,I48/I47-1,I47/I48-1)</f>
        <v>6.3878787878787868E-2</v>
      </c>
      <c r="J52" s="500" t="str">
        <f>IF(OR(I52&gt;=0.3,I52&lt;=-0.3),"超过30%","")</f>
        <v/>
      </c>
      <c r="K52" s="1108"/>
      <c r="L52" s="1109"/>
      <c r="M52" s="1147"/>
      <c r="N52" s="1147"/>
      <c r="O52" s="1147"/>
    </row>
    <row r="53" spans="1:29" ht="13.5" customHeight="1">
      <c r="A53" s="1147"/>
      <c r="B53" s="1147"/>
      <c r="C53" s="497" t="s">
        <v>2585</v>
      </c>
      <c r="D53" s="501"/>
      <c r="E53" s="499">
        <f>IF(E48&lt;G48,G48/E48-1,E48/G48-1)</f>
        <v>5.2637530389551657E-2</v>
      </c>
      <c r="F53" s="500" t="str">
        <f>IF(OR(E53&gt;=0.2,E53&lt;=-0.2),"超过20%","")</f>
        <v/>
      </c>
      <c r="G53" s="499">
        <f>IF(G48&lt;I48,I48/G48-1,G48/I48-1)</f>
        <v>7.576620713227733E-3</v>
      </c>
      <c r="H53" s="500" t="str">
        <f>IF(OR(G53&gt;=0.2,G53&lt;=-0.2),"超过20%","")</f>
        <v/>
      </c>
      <c r="I53" s="499">
        <f>IF(I48&lt;E48,E48/I48-1,I48/E48-1)</f>
        <v>6.0612965705822086E-2</v>
      </c>
      <c r="J53" s="500" t="str">
        <f>IF(OR(I53&gt;=0.2,I53&lt;=-0.2),"超过20%","")</f>
        <v/>
      </c>
      <c r="K53" s="1108"/>
      <c r="L53" s="1109"/>
      <c r="M53" s="1147"/>
      <c r="N53" s="1147"/>
      <c r="O53" s="1147"/>
    </row>
    <row r="54" spans="1:29" s="502" customFormat="1" ht="13.5" customHeight="1">
      <c r="A54" s="1148"/>
      <c r="B54" s="1148"/>
      <c r="C54" s="497" t="s">
        <v>2586</v>
      </c>
      <c r="D54" s="501"/>
      <c r="E54" s="499">
        <f>IF(E47&lt;G47,G47/E47-1,E47/G47-1)</f>
        <v>0</v>
      </c>
      <c r="F54" s="500" t="str">
        <f>IF(OR(E54&gt;=0.3,E54&lt;=-0.3),"超过30%","")</f>
        <v/>
      </c>
      <c r="G54" s="499">
        <f>IF(G47&lt;I47,I47/G47-1,G47/I47-1)</f>
        <v>6.0606060606060552E-2</v>
      </c>
      <c r="H54" s="500" t="str">
        <f>IF(OR(G54&gt;=0.3,G54&lt;=-0.3),"超过30%","")</f>
        <v/>
      </c>
      <c r="I54" s="499">
        <f>IF(I47&lt;E47,E47/I47-1,I47/E47-1)</f>
        <v>6.0606060606060552E-2</v>
      </c>
      <c r="J54" s="500" t="str">
        <f>IF(OR(I54&gt;=0.3,I54&lt;=-0.3),"超过30%","")</f>
        <v/>
      </c>
      <c r="K54" s="1151"/>
      <c r="L54" s="1152"/>
      <c r="M54" s="1148"/>
      <c r="N54" s="1148"/>
      <c r="O54" s="1148"/>
      <c r="P54" s="2622"/>
    </row>
    <row r="55" spans="1:29" s="502" customFormat="1">
      <c r="A55" s="1148"/>
      <c r="B55" s="1149"/>
      <c r="C55" s="1153"/>
      <c r="D55" s="1148"/>
      <c r="E55" s="1148"/>
      <c r="F55" s="1148"/>
      <c r="G55" s="1148"/>
      <c r="H55" s="1148"/>
      <c r="I55" s="1148"/>
      <c r="J55" s="1148"/>
      <c r="K55" s="1151"/>
      <c r="L55" s="1152"/>
      <c r="M55" s="1148"/>
      <c r="N55" s="1148"/>
      <c r="O55" s="1148"/>
      <c r="P55" s="2622"/>
    </row>
    <row r="56" spans="1:29">
      <c r="A56" s="1147"/>
      <c r="B56" s="1149"/>
      <c r="C56" s="1153"/>
      <c r="D56" s="1147"/>
      <c r="E56" s="1147"/>
      <c r="F56" s="1147"/>
      <c r="G56" s="1147"/>
      <c r="H56" s="1147"/>
      <c r="I56" s="1147"/>
      <c r="J56" s="1147"/>
      <c r="K56" s="1108"/>
      <c r="L56" s="1109"/>
      <c r="M56" s="1147"/>
      <c r="N56" s="1147"/>
      <c r="O56" s="1147"/>
    </row>
    <row r="57" spans="1:29" ht="21.75" thickBot="1">
      <c r="A57" s="763" t="s">
        <v>2587</v>
      </c>
      <c r="B57" s="759"/>
      <c r="C57" s="764"/>
      <c r="D57" s="764"/>
      <c r="E57" s="764"/>
      <c r="F57" s="765"/>
      <c r="G57" s="765"/>
      <c r="H57" s="764"/>
      <c r="I57" s="764"/>
      <c r="J57" s="764"/>
      <c r="K57" s="1163"/>
      <c r="L57" s="1164"/>
      <c r="M57" s="1162"/>
      <c r="N57" s="1162"/>
      <c r="O57" s="1162"/>
      <c r="P57" s="2623"/>
      <c r="Q57" s="504"/>
    </row>
    <row r="58" spans="1:29" s="508" customFormat="1" ht="15">
      <c r="A58" s="505" t="s">
        <v>2588</v>
      </c>
      <c r="B58" s="506"/>
      <c r="C58" s="1578" t="str">
        <f>YEAR(C7)&amp;"-"&amp;MONTH(C7)</f>
        <v>2018-3</v>
      </c>
      <c r="D58" s="1577">
        <f>EDATE(C58,-1)</f>
        <v>43132</v>
      </c>
      <c r="E58" s="1577">
        <f>EDATE(D58,-1)</f>
        <v>43101</v>
      </c>
      <c r="F58" s="1577">
        <f t="shared" ref="F58:O58" si="19">EDATE(E58,-1)</f>
        <v>43070</v>
      </c>
      <c r="G58" s="1577">
        <f t="shared" si="19"/>
        <v>43040</v>
      </c>
      <c r="H58" s="1577">
        <f t="shared" si="19"/>
        <v>43009</v>
      </c>
      <c r="I58" s="1577">
        <f t="shared" si="19"/>
        <v>42979</v>
      </c>
      <c r="J58" s="1577">
        <f t="shared" si="19"/>
        <v>42948</v>
      </c>
      <c r="K58" s="1577">
        <f t="shared" si="19"/>
        <v>42917</v>
      </c>
      <c r="L58" s="1577">
        <f t="shared" si="19"/>
        <v>42887</v>
      </c>
      <c r="M58" s="1577">
        <f t="shared" si="19"/>
        <v>42856</v>
      </c>
      <c r="N58" s="1577">
        <f t="shared" si="19"/>
        <v>42826</v>
      </c>
      <c r="O58" s="1577">
        <f t="shared" si="19"/>
        <v>42795</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2589</v>
      </c>
      <c r="B60" s="516"/>
      <c r="C60" s="517"/>
      <c r="D60" s="518"/>
      <c r="E60" s="518"/>
      <c r="F60" s="518"/>
      <c r="G60" s="518"/>
      <c r="H60" s="518"/>
      <c r="I60" s="518"/>
      <c r="J60" s="518"/>
      <c r="K60" s="518"/>
      <c r="L60" s="518"/>
      <c r="M60" s="519"/>
      <c r="N60" s="518"/>
      <c r="O60" s="519"/>
      <c r="P60" s="2625"/>
      <c r="Q60" s="504"/>
    </row>
    <row r="61" spans="1:29" s="117" customFormat="1" ht="15">
      <c r="A61" s="521" t="s">
        <v>2590</v>
      </c>
      <c r="B61" s="510"/>
      <c r="C61" s="522" t="s">
        <v>2591</v>
      </c>
      <c r="D61" s="523"/>
      <c r="E61" s="523"/>
      <c r="F61" s="523"/>
      <c r="G61" s="523"/>
      <c r="H61" s="523"/>
      <c r="I61" s="523"/>
      <c r="J61" s="523"/>
      <c r="K61" s="523"/>
      <c r="L61" s="524"/>
      <c r="M61" s="525"/>
      <c r="N61" s="1154"/>
      <c r="O61" s="1154"/>
      <c r="P61" s="2626"/>
      <c r="Q61" s="504"/>
    </row>
    <row r="62" spans="1:29" s="117" customFormat="1" ht="15.75" thickBot="1">
      <c r="A62" s="521"/>
      <c r="B62" s="510"/>
      <c r="C62" s="511">
        <v>100</v>
      </c>
      <c r="D62" s="512"/>
      <c r="E62" s="512"/>
      <c r="F62" s="512"/>
      <c r="G62" s="512"/>
      <c r="H62" s="512"/>
      <c r="I62" s="512"/>
      <c r="J62" s="512"/>
      <c r="K62" s="512"/>
      <c r="L62" s="512"/>
      <c r="M62" s="514"/>
      <c r="N62" s="1154"/>
      <c r="O62" s="1154"/>
      <c r="P62" s="2625"/>
      <c r="Q62" s="504"/>
    </row>
    <row r="63" spans="1:29">
      <c r="A63" s="527" t="s">
        <v>2592</v>
      </c>
      <c r="B63" s="528" t="s">
        <v>2558</v>
      </c>
      <c r="C63" s="529" t="str">
        <f>C9</f>
        <v>住宅</v>
      </c>
      <c r="D63" s="530"/>
      <c r="E63" s="530"/>
      <c r="F63" s="530"/>
      <c r="G63" s="530"/>
      <c r="H63" s="530"/>
      <c r="I63" s="530"/>
      <c r="J63" s="530"/>
      <c r="K63" s="531"/>
      <c r="L63" s="532"/>
      <c r="M63" s="533"/>
      <c r="N63" s="1155"/>
      <c r="O63" s="1155"/>
      <c r="P63" s="2627"/>
      <c r="Q63" s="504"/>
    </row>
    <row r="64" spans="1:29" ht="15.75" thickBot="1">
      <c r="A64" s="534"/>
      <c r="B64" s="535"/>
      <c r="C64" s="536">
        <v>100</v>
      </c>
      <c r="D64" s="536"/>
      <c r="E64" s="536"/>
      <c r="F64" s="536"/>
      <c r="G64" s="536"/>
      <c r="H64" s="536"/>
      <c r="I64" s="536"/>
      <c r="J64" s="536"/>
      <c r="K64" s="536"/>
      <c r="L64" s="536"/>
      <c r="M64" s="537"/>
      <c r="N64" s="1156"/>
      <c r="O64" s="1156"/>
      <c r="P64" s="262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27"/>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27"/>
      <c r="Q66" s="504"/>
    </row>
    <row r="67" spans="1:17" ht="15.75" thickTop="1">
      <c r="A67" s="534"/>
      <c r="B67" s="546" t="s">
        <v>2562</v>
      </c>
      <c r="C67" s="547" t="str">
        <f>C68&amp;"（含）"&amp;"-"&amp;D68</f>
        <v>0（含）-0.5</v>
      </c>
      <c r="D67" s="547" t="str">
        <f t="shared" ref="D67:L67" si="21">D68&amp;"（含）"&amp;"-"&amp;E68</f>
        <v>0.5（含）-1</v>
      </c>
      <c r="E67" s="547" t="str">
        <f t="shared" si="21"/>
        <v>1（含）-1.5</v>
      </c>
      <c r="F67" s="547" t="str">
        <f t="shared" si="21"/>
        <v>1.5（含）-2</v>
      </c>
      <c r="G67" s="547" t="str">
        <f t="shared" si="21"/>
        <v>2（含）-2.5</v>
      </c>
      <c r="H67" s="547" t="str">
        <f t="shared" si="21"/>
        <v>2.5（含）-3</v>
      </c>
      <c r="I67" s="547" t="str">
        <f t="shared" si="21"/>
        <v>3（含）-3.5</v>
      </c>
      <c r="J67" s="547" t="str">
        <f t="shared" si="21"/>
        <v>3.5（含）-4</v>
      </c>
      <c r="K67" s="547" t="str">
        <f>K68&amp;"（含）"&amp;"-"&amp;L68</f>
        <v>4（含）-4.5</v>
      </c>
      <c r="L67" s="547" t="str">
        <f t="shared" si="21"/>
        <v>4.5（含）-5</v>
      </c>
      <c r="M67" s="448" t="str">
        <f>M68&amp;"（含）"&amp;"-"&amp;P68</f>
        <v>5（含）-</v>
      </c>
      <c r="N67" s="1156"/>
      <c r="O67" s="1156"/>
      <c r="P67" s="2627"/>
      <c r="Q67" s="504"/>
    </row>
    <row r="68" spans="1:17" ht="15">
      <c r="A68" s="534"/>
      <c r="B68" s="548"/>
      <c r="C68" s="549">
        <v>0</v>
      </c>
      <c r="D68" s="549">
        <f>C68+0.5</f>
        <v>0.5</v>
      </c>
      <c r="E68" s="549">
        <f t="shared" ref="E68:M68" si="22">D68+0.5</f>
        <v>1</v>
      </c>
      <c r="F68" s="549">
        <f t="shared" si="22"/>
        <v>1.5</v>
      </c>
      <c r="G68" s="549">
        <f t="shared" si="22"/>
        <v>2</v>
      </c>
      <c r="H68" s="549">
        <f t="shared" si="22"/>
        <v>2.5</v>
      </c>
      <c r="I68" s="549">
        <f t="shared" si="22"/>
        <v>3</v>
      </c>
      <c r="J68" s="549">
        <f t="shared" si="22"/>
        <v>3.5</v>
      </c>
      <c r="K68" s="549">
        <f t="shared" si="22"/>
        <v>4</v>
      </c>
      <c r="L68" s="549">
        <f t="shared" si="22"/>
        <v>4.5</v>
      </c>
      <c r="M68" s="549">
        <f t="shared" si="22"/>
        <v>5</v>
      </c>
      <c r="N68" s="1155"/>
      <c r="O68" s="1155"/>
      <c r="P68" s="2627"/>
      <c r="Q68" s="504"/>
    </row>
    <row r="69" spans="1:17" ht="15.75" thickBot="1">
      <c r="A69" s="534"/>
      <c r="B69" s="535"/>
      <c r="C69" s="544">
        <v>100</v>
      </c>
      <c r="D69" s="544">
        <f t="shared" ref="D69:M69" si="23">C69-$K11</f>
        <v>95</v>
      </c>
      <c r="E69" s="544">
        <f t="shared" si="23"/>
        <v>90</v>
      </c>
      <c r="F69" s="544">
        <f t="shared" si="23"/>
        <v>85</v>
      </c>
      <c r="G69" s="544">
        <f t="shared" si="23"/>
        <v>80</v>
      </c>
      <c r="H69" s="544">
        <f t="shared" si="23"/>
        <v>75</v>
      </c>
      <c r="I69" s="544">
        <f t="shared" si="23"/>
        <v>70</v>
      </c>
      <c r="J69" s="544">
        <f t="shared" si="23"/>
        <v>65</v>
      </c>
      <c r="K69" s="544">
        <f t="shared" si="23"/>
        <v>60</v>
      </c>
      <c r="L69" s="544">
        <f t="shared" si="23"/>
        <v>55</v>
      </c>
      <c r="M69" s="545">
        <f t="shared" si="23"/>
        <v>50</v>
      </c>
      <c r="N69" s="1156"/>
      <c r="O69" s="1156"/>
      <c r="P69" s="2627"/>
      <c r="Q69" s="504"/>
    </row>
    <row r="70" spans="1:17" s="471" customFormat="1" ht="15.75" thickTop="1">
      <c r="A70" s="553"/>
      <c r="B70" s="538">
        <f>B12</f>
        <v>111</v>
      </c>
      <c r="C70" s="554"/>
      <c r="D70" s="554"/>
      <c r="E70" s="554"/>
      <c r="F70" s="554"/>
      <c r="G70" s="554"/>
      <c r="H70" s="555"/>
      <c r="I70" s="555"/>
      <c r="J70" s="555"/>
      <c r="K70" s="555"/>
      <c r="L70" s="556"/>
      <c r="M70" s="557"/>
      <c r="N70" s="1157"/>
      <c r="O70" s="1157"/>
      <c r="P70" s="2628"/>
      <c r="Q70" s="559"/>
    </row>
    <row r="71" spans="1:17" s="471" customFormat="1" ht="15.75" thickBot="1">
      <c r="A71" s="553"/>
      <c r="B71" s="543"/>
      <c r="C71" s="560"/>
      <c r="D71" s="536"/>
      <c r="E71" s="536"/>
      <c r="F71" s="536"/>
      <c r="G71" s="536"/>
      <c r="H71" s="536"/>
      <c r="I71" s="536"/>
      <c r="J71" s="536"/>
      <c r="K71" s="536"/>
      <c r="L71" s="536"/>
      <c r="M71" s="537"/>
      <c r="N71" s="1156"/>
      <c r="O71" s="1156"/>
      <c r="P71" s="2628"/>
      <c r="Q71" s="559"/>
    </row>
    <row r="72" spans="1:17" s="471" customFormat="1" ht="15.75" thickTop="1">
      <c r="A72" s="553"/>
      <c r="B72" s="538">
        <f>B13</f>
        <v>111</v>
      </c>
      <c r="C72" s="554"/>
      <c r="D72" s="554"/>
      <c r="E72" s="554"/>
      <c r="F72" s="554"/>
      <c r="G72" s="554"/>
      <c r="H72" s="555"/>
      <c r="I72" s="555"/>
      <c r="J72" s="555"/>
      <c r="K72" s="555"/>
      <c r="L72" s="556"/>
      <c r="M72" s="557"/>
      <c r="N72" s="1157"/>
      <c r="O72" s="1157"/>
      <c r="P72" s="2629"/>
      <c r="Q72" s="561"/>
    </row>
    <row r="73" spans="1:17" s="471" customFormat="1" ht="15.75" thickBot="1">
      <c r="A73" s="553"/>
      <c r="B73" s="543"/>
      <c r="C73" s="560"/>
      <c r="D73" s="560"/>
      <c r="E73" s="560"/>
      <c r="F73" s="560"/>
      <c r="G73" s="560"/>
      <c r="H73" s="562"/>
      <c r="I73" s="562"/>
      <c r="J73" s="562"/>
      <c r="K73" s="562"/>
      <c r="L73" s="562"/>
      <c r="M73" s="563"/>
      <c r="N73" s="1157"/>
      <c r="O73" s="1157"/>
      <c r="P73" s="2628"/>
      <c r="Q73" s="559"/>
    </row>
    <row r="74" spans="1:17" s="471" customFormat="1" ht="15.75" thickTop="1">
      <c r="A74" s="553"/>
      <c r="B74" s="546">
        <f>B14</f>
        <v>111</v>
      </c>
      <c r="C74" s="554"/>
      <c r="D74" s="554"/>
      <c r="E74" s="554"/>
      <c r="F74" s="554"/>
      <c r="G74" s="523"/>
      <c r="H74" s="564"/>
      <c r="I74" s="564"/>
      <c r="J74" s="564"/>
      <c r="K74" s="564"/>
      <c r="L74" s="565"/>
      <c r="M74" s="566"/>
      <c r="N74" s="1157"/>
      <c r="O74" s="1157"/>
      <c r="P74" s="2630"/>
      <c r="Q74" s="559"/>
    </row>
    <row r="75" spans="1:17" s="471" customFormat="1" ht="15.75" thickBot="1">
      <c r="A75" s="568"/>
      <c r="B75" s="569"/>
      <c r="C75" s="570"/>
      <c r="D75" s="570"/>
      <c r="E75" s="570"/>
      <c r="F75" s="570"/>
      <c r="G75" s="570"/>
      <c r="H75" s="571"/>
      <c r="I75" s="571"/>
      <c r="J75" s="571"/>
      <c r="K75" s="571"/>
      <c r="L75" s="571"/>
      <c r="M75" s="572"/>
      <c r="N75" s="1157"/>
      <c r="O75" s="1157"/>
      <c r="P75" s="262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27"/>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6"/>
      <c r="O79" s="1156"/>
      <c r="P79" s="262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27"/>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27"/>
      <c r="Q81" s="504"/>
    </row>
    <row r="82" spans="1:17" ht="15.75" thickTop="1">
      <c r="A82" s="534"/>
      <c r="B82" s="546" t="s">
        <v>2103</v>
      </c>
      <c r="C82" s="539" t="s">
        <v>2608</v>
      </c>
      <c r="D82" s="539" t="s">
        <v>2609</v>
      </c>
      <c r="E82" s="539" t="s">
        <v>2610</v>
      </c>
      <c r="F82" s="539" t="s">
        <v>2611</v>
      </c>
      <c r="G82" s="539" t="s">
        <v>2612</v>
      </c>
      <c r="H82" s="539"/>
      <c r="I82" s="539"/>
      <c r="J82" s="539"/>
      <c r="K82" s="539"/>
      <c r="L82" s="539"/>
      <c r="M82" s="1385"/>
      <c r="N82" s="1156"/>
      <c r="O82" s="1156"/>
      <c r="P82" s="2627"/>
      <c r="Q82" s="504"/>
    </row>
    <row r="83" spans="1:17" ht="15.75" thickBot="1">
      <c r="A83" s="534"/>
      <c r="B83" s="546"/>
      <c r="C83" s="660">
        <v>100</v>
      </c>
      <c r="D83" s="660">
        <f>C83-$K21</f>
        <v>95</v>
      </c>
      <c r="E83" s="660">
        <f t="shared" ref="E83:G83" si="24">D83-$K21</f>
        <v>90</v>
      </c>
      <c r="F83" s="660">
        <f t="shared" si="24"/>
        <v>85</v>
      </c>
      <c r="G83" s="660">
        <f t="shared" si="24"/>
        <v>80</v>
      </c>
      <c r="H83" s="660"/>
      <c r="I83" s="660"/>
      <c r="J83" s="660"/>
      <c r="K83" s="660"/>
      <c r="L83" s="660"/>
      <c r="M83" s="450"/>
      <c r="N83" s="1156"/>
      <c r="O83" s="1156"/>
      <c r="P83" s="262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27"/>
      <c r="Q84" s="504"/>
    </row>
    <row r="85" spans="1:17" ht="15.75" thickBot="1">
      <c r="A85" s="534"/>
      <c r="B85" s="543"/>
      <c r="C85" s="544">
        <v>100</v>
      </c>
      <c r="D85" s="544">
        <f>C85-$K23</f>
        <v>85</v>
      </c>
      <c r="E85" s="544">
        <f>D85-$K23</f>
        <v>70</v>
      </c>
      <c r="F85" s="544">
        <f>E85-$K23</f>
        <v>55</v>
      </c>
      <c r="G85" s="544">
        <f>F85-$K23</f>
        <v>40</v>
      </c>
      <c r="H85" s="544"/>
      <c r="I85" s="544"/>
      <c r="J85" s="544"/>
      <c r="K85" s="544"/>
      <c r="L85" s="544"/>
      <c r="M85" s="545"/>
      <c r="N85" s="1156"/>
      <c r="O85" s="1156"/>
      <c r="P85" s="2627"/>
      <c r="Q85" s="504"/>
    </row>
    <row r="86" spans="1:17" s="117" customFormat="1" ht="15.75" thickTop="1">
      <c r="A86" s="579"/>
      <c r="B86" s="538" t="s">
        <v>2614</v>
      </c>
      <c r="C86" s="554"/>
      <c r="D86" s="554"/>
      <c r="E86" s="554"/>
      <c r="F86" s="554"/>
      <c r="G86" s="554"/>
      <c r="H86" s="554"/>
      <c r="I86" s="554"/>
      <c r="J86" s="554"/>
      <c r="K86" s="554"/>
      <c r="L86" s="580"/>
      <c r="M86" s="581"/>
      <c r="N86" s="1154"/>
      <c r="O86" s="1154"/>
      <c r="P86" s="2627"/>
      <c r="Q86" s="504"/>
    </row>
    <row r="87" spans="1:17" s="117" customFormat="1" ht="15.75" thickBot="1">
      <c r="A87" s="579"/>
      <c r="B87" s="543"/>
      <c r="C87" s="582">
        <v>100</v>
      </c>
      <c r="D87" s="544">
        <f t="shared" ref="D87:M87" si="25">$C$87-($C$86-D86)*$K$25</f>
        <v>100</v>
      </c>
      <c r="E87" s="544">
        <f t="shared" si="25"/>
        <v>100</v>
      </c>
      <c r="F87" s="544">
        <f t="shared" si="25"/>
        <v>100</v>
      </c>
      <c r="G87" s="544">
        <f t="shared" si="25"/>
        <v>100</v>
      </c>
      <c r="H87" s="544">
        <f t="shared" si="25"/>
        <v>100</v>
      </c>
      <c r="I87" s="544">
        <f t="shared" si="25"/>
        <v>100</v>
      </c>
      <c r="J87" s="544">
        <f t="shared" si="25"/>
        <v>100</v>
      </c>
      <c r="K87" s="544">
        <f t="shared" si="25"/>
        <v>100</v>
      </c>
      <c r="L87" s="544">
        <f t="shared" si="25"/>
        <v>100</v>
      </c>
      <c r="M87" s="544">
        <f t="shared" si="25"/>
        <v>100</v>
      </c>
      <c r="N87" s="1156"/>
      <c r="O87" s="1156"/>
      <c r="P87" s="2627"/>
      <c r="Q87" s="504"/>
    </row>
    <row r="88" spans="1:17" s="117" customFormat="1" ht="15.75" thickTop="1">
      <c r="A88" s="579"/>
      <c r="B88" s="538" t="s">
        <v>2615</v>
      </c>
      <c r="C88" s="554"/>
      <c r="D88" s="554"/>
      <c r="E88" s="554"/>
      <c r="F88" s="2632"/>
      <c r="G88" s="554"/>
      <c r="H88" s="554"/>
      <c r="I88" s="554"/>
      <c r="J88" s="554"/>
      <c r="K88" s="554"/>
      <c r="L88" s="554"/>
      <c r="M88" s="581"/>
      <c r="N88" s="1154"/>
      <c r="O88" s="1154"/>
      <c r="P88" s="2627"/>
      <c r="Q88" s="504"/>
    </row>
    <row r="89" spans="1:17" s="117" customFormat="1" ht="15.75" thickBot="1">
      <c r="A89" s="579"/>
      <c r="B89" s="543"/>
      <c r="C89" s="582">
        <v>100</v>
      </c>
      <c r="D89" s="544">
        <f t="shared" ref="D89:M89" si="26">C89-$K26</f>
        <v>100</v>
      </c>
      <c r="E89" s="544">
        <f t="shared" si="26"/>
        <v>100</v>
      </c>
      <c r="F89" s="544">
        <f t="shared" si="26"/>
        <v>100</v>
      </c>
      <c r="G89" s="544">
        <f t="shared" si="26"/>
        <v>100</v>
      </c>
      <c r="H89" s="544">
        <f t="shared" si="26"/>
        <v>100</v>
      </c>
      <c r="I89" s="544">
        <f t="shared" si="26"/>
        <v>100</v>
      </c>
      <c r="J89" s="544">
        <f t="shared" si="26"/>
        <v>100</v>
      </c>
      <c r="K89" s="544">
        <f t="shared" si="26"/>
        <v>100</v>
      </c>
      <c r="L89" s="544">
        <f t="shared" si="26"/>
        <v>100</v>
      </c>
      <c r="M89" s="544">
        <f t="shared" si="26"/>
        <v>100</v>
      </c>
      <c r="N89" s="1156"/>
      <c r="O89" s="1156"/>
      <c r="P89" s="2627"/>
      <c r="Q89" s="504"/>
    </row>
    <row r="90" spans="1:17" s="471" customFormat="1" ht="15.75" thickTop="1">
      <c r="A90" s="553"/>
      <c r="B90" s="538">
        <f>B27</f>
        <v>111</v>
      </c>
      <c r="C90" s="554"/>
      <c r="D90" s="554"/>
      <c r="E90" s="554"/>
      <c r="F90" s="554"/>
      <c r="G90" s="554"/>
      <c r="H90" s="555"/>
      <c r="I90" s="555"/>
      <c r="J90" s="555"/>
      <c r="K90" s="555"/>
      <c r="L90" s="556"/>
      <c r="M90" s="557"/>
      <c r="N90" s="1157"/>
      <c r="O90" s="1157"/>
      <c r="P90" s="2628"/>
      <c r="Q90" s="559"/>
    </row>
    <row r="91" spans="1:17" s="471" customFormat="1" ht="15.75" thickBot="1">
      <c r="A91" s="553"/>
      <c r="B91" s="543"/>
      <c r="C91" s="560"/>
      <c r="D91" s="560"/>
      <c r="E91" s="560"/>
      <c r="F91" s="560"/>
      <c r="G91" s="560"/>
      <c r="H91" s="562"/>
      <c r="I91" s="562"/>
      <c r="J91" s="562"/>
      <c r="K91" s="562"/>
      <c r="L91" s="562"/>
      <c r="M91" s="563"/>
      <c r="N91" s="1157"/>
      <c r="O91" s="1157"/>
      <c r="P91" s="2628"/>
      <c r="Q91" s="559"/>
    </row>
    <row r="92" spans="1:17" ht="15.75" thickTop="1">
      <c r="A92" s="534"/>
      <c r="B92" s="538">
        <f>B28</f>
        <v>111</v>
      </c>
      <c r="C92" s="554"/>
      <c r="D92" s="554"/>
      <c r="E92" s="554"/>
      <c r="F92" s="554"/>
      <c r="G92" s="583"/>
      <c r="H92" s="583"/>
      <c r="I92" s="583"/>
      <c r="J92" s="583"/>
      <c r="K92" s="584"/>
      <c r="L92" s="585"/>
      <c r="M92" s="586"/>
      <c r="N92" s="1155"/>
      <c r="O92" s="1155"/>
      <c r="P92" s="2627"/>
      <c r="Q92" s="504"/>
    </row>
    <row r="93" spans="1:17" ht="15.75" thickBot="1">
      <c r="A93" s="534"/>
      <c r="B93" s="543"/>
      <c r="C93" s="560"/>
      <c r="D93" s="536"/>
      <c r="E93" s="536"/>
      <c r="F93" s="536"/>
      <c r="G93" s="536"/>
      <c r="H93" s="536"/>
      <c r="I93" s="536"/>
      <c r="J93" s="536"/>
      <c r="K93" s="536"/>
      <c r="L93" s="536"/>
      <c r="M93" s="537"/>
      <c r="N93" s="1156"/>
      <c r="O93" s="1156"/>
      <c r="P93" s="2627"/>
      <c r="Q93" s="504"/>
    </row>
    <row r="94" spans="1:17" ht="15.75" thickTop="1">
      <c r="A94" s="534"/>
      <c r="B94" s="538">
        <f>B29</f>
        <v>111</v>
      </c>
      <c r="C94" s="554"/>
      <c r="D94" s="554"/>
      <c r="E94" s="554"/>
      <c r="F94" s="554"/>
      <c r="G94" s="583"/>
      <c r="H94" s="583"/>
      <c r="I94" s="583"/>
      <c r="J94" s="583"/>
      <c r="K94" s="584"/>
      <c r="L94" s="585"/>
      <c r="M94" s="586"/>
      <c r="N94" s="1155"/>
      <c r="O94" s="1155"/>
      <c r="P94" s="2627"/>
      <c r="Q94" s="504"/>
    </row>
    <row r="95" spans="1:17" ht="15.75" thickBot="1">
      <c r="A95" s="534"/>
      <c r="B95" s="543"/>
      <c r="C95" s="560"/>
      <c r="D95" s="560"/>
      <c r="E95" s="560"/>
      <c r="F95" s="560"/>
      <c r="G95" s="536"/>
      <c r="H95" s="536"/>
      <c r="I95" s="536"/>
      <c r="J95" s="536"/>
      <c r="K95" s="536"/>
      <c r="L95" s="536"/>
      <c r="M95" s="537"/>
      <c r="N95" s="1156"/>
      <c r="O95" s="1156"/>
      <c r="P95" s="2627"/>
      <c r="Q95" s="504"/>
    </row>
    <row r="96" spans="1:17" ht="15.75" thickTop="1">
      <c r="A96" s="534"/>
      <c r="B96" s="538">
        <f>B30</f>
        <v>111</v>
      </c>
      <c r="C96" s="554"/>
      <c r="D96" s="554"/>
      <c r="E96" s="554"/>
      <c r="F96" s="554"/>
      <c r="G96" s="583"/>
      <c r="H96" s="583"/>
      <c r="I96" s="583"/>
      <c r="J96" s="583"/>
      <c r="K96" s="584"/>
      <c r="L96" s="585"/>
      <c r="M96" s="586"/>
      <c r="N96" s="1155"/>
      <c r="O96" s="1155"/>
      <c r="P96" s="2627"/>
      <c r="Q96" s="504"/>
    </row>
    <row r="97" spans="1:17" ht="15.75" thickBot="1">
      <c r="A97" s="534"/>
      <c r="B97" s="543"/>
      <c r="C97" s="570"/>
      <c r="D97" s="570"/>
      <c r="E97" s="570"/>
      <c r="F97" s="570"/>
      <c r="G97" s="536"/>
      <c r="H97" s="536"/>
      <c r="I97" s="536"/>
      <c r="J97" s="536"/>
      <c r="K97" s="536"/>
      <c r="L97" s="536"/>
      <c r="M97" s="537"/>
      <c r="N97" s="1156"/>
      <c r="O97" s="1156"/>
      <c r="P97" s="2627"/>
      <c r="Q97" s="504"/>
    </row>
    <row r="98" spans="1:17" ht="15.75" thickTop="1">
      <c r="A98" s="534"/>
      <c r="B98" s="546">
        <f>B31</f>
        <v>111</v>
      </c>
      <c r="C98" s="587"/>
      <c r="D98" s="587"/>
      <c r="E98" s="587"/>
      <c r="F98" s="587"/>
      <c r="G98" s="587"/>
      <c r="H98" s="587"/>
      <c r="I98" s="587"/>
      <c r="J98" s="587"/>
      <c r="K98" s="588"/>
      <c r="L98" s="589"/>
      <c r="M98" s="590"/>
      <c r="N98" s="1155"/>
      <c r="O98" s="1155"/>
      <c r="P98" s="2627"/>
      <c r="Q98" s="504"/>
    </row>
    <row r="99" spans="1:17" ht="15.75" thickBot="1">
      <c r="A99" s="2633"/>
      <c r="B99" s="569"/>
      <c r="C99" s="591"/>
      <c r="D99" s="591"/>
      <c r="E99" s="591"/>
      <c r="F99" s="591"/>
      <c r="G99" s="591"/>
      <c r="H99" s="591"/>
      <c r="I99" s="591"/>
      <c r="J99" s="591"/>
      <c r="K99" s="591"/>
      <c r="L99" s="591"/>
      <c r="M99" s="592"/>
      <c r="N99" s="1156"/>
      <c r="O99" s="1156"/>
      <c r="P99" s="2627"/>
      <c r="Q99" s="504"/>
    </row>
    <row r="100" spans="1:17">
      <c r="A100" s="527" t="s">
        <v>2567</v>
      </c>
      <c r="B100" s="528" t="s">
        <v>2616</v>
      </c>
      <c r="C100" s="2968" t="s">
        <v>3214</v>
      </c>
      <c r="D100" s="2968" t="s">
        <v>3216</v>
      </c>
      <c r="E100" s="530"/>
      <c r="F100" s="530"/>
      <c r="G100" s="530"/>
      <c r="H100" s="530"/>
      <c r="I100" s="530"/>
      <c r="J100" s="530"/>
      <c r="K100" s="531"/>
      <c r="L100" s="532"/>
      <c r="M100" s="533"/>
      <c r="N100" s="1155"/>
      <c r="O100" s="1155"/>
      <c r="P100" s="2627"/>
      <c r="Q100" s="504"/>
    </row>
    <row r="101" spans="1:17" ht="15.75" thickBot="1">
      <c r="A101" s="534"/>
      <c r="B101" s="543"/>
      <c r="C101" s="544">
        <v>100</v>
      </c>
      <c r="D101" s="544">
        <f t="shared" ref="D101:M101" si="27">C101-$K32</f>
        <v>80</v>
      </c>
      <c r="E101" s="544">
        <f t="shared" si="27"/>
        <v>60</v>
      </c>
      <c r="F101" s="544">
        <f t="shared" si="27"/>
        <v>40</v>
      </c>
      <c r="G101" s="544">
        <f t="shared" si="27"/>
        <v>20</v>
      </c>
      <c r="H101" s="544">
        <f t="shared" si="27"/>
        <v>0</v>
      </c>
      <c r="I101" s="544">
        <f t="shared" si="27"/>
        <v>-20</v>
      </c>
      <c r="J101" s="544">
        <f t="shared" si="27"/>
        <v>-40</v>
      </c>
      <c r="K101" s="544">
        <f t="shared" si="27"/>
        <v>-60</v>
      </c>
      <c r="L101" s="544">
        <f t="shared" si="27"/>
        <v>-80</v>
      </c>
      <c r="M101" s="544">
        <f t="shared" si="27"/>
        <v>-100</v>
      </c>
      <c r="N101" s="1156"/>
      <c r="O101" s="1156"/>
      <c r="P101" s="2627"/>
      <c r="Q101" s="504"/>
    </row>
    <row r="102" spans="1:17" ht="29.25" thickTop="1">
      <c r="A102" s="534"/>
      <c r="B102" s="538" t="s">
        <v>2617</v>
      </c>
      <c r="C102" s="578" t="str">
        <f>C103&amp;"(含)"&amp;"-"&amp;D103</f>
        <v>0(含)-100000</v>
      </c>
      <c r="D102" s="578" t="str">
        <f t="shared" ref="D102:L102" si="28">D103&amp;"(含)"&amp;"-"&amp;E103</f>
        <v>100000(含)-200000</v>
      </c>
      <c r="E102" s="578" t="str">
        <f t="shared" si="28"/>
        <v>200000(含)-300000</v>
      </c>
      <c r="F102" s="578" t="str">
        <f t="shared" si="28"/>
        <v>300000(含)-400000</v>
      </c>
      <c r="G102" s="578" t="str">
        <f t="shared" si="28"/>
        <v>400000(含)-500000</v>
      </c>
      <c r="H102" s="578" t="str">
        <f t="shared" si="28"/>
        <v>500000(含)-600000</v>
      </c>
      <c r="I102" s="578" t="str">
        <f t="shared" si="28"/>
        <v>600000(含)-700000</v>
      </c>
      <c r="J102" s="578" t="str">
        <f t="shared" si="28"/>
        <v>700000(含)-800000</v>
      </c>
      <c r="K102" s="578" t="str">
        <f>K103&amp;"(含)"&amp;"-"&amp;L103</f>
        <v>800000(含)-900000</v>
      </c>
      <c r="L102" s="578" t="str">
        <f t="shared" si="28"/>
        <v>900000(含)-1000000</v>
      </c>
      <c r="M102" s="578" t="str">
        <f>M103&amp;"(含)"&amp;"-"&amp;P103</f>
        <v>1000000(含)-</v>
      </c>
      <c r="N102" s="1154"/>
      <c r="O102" s="1154"/>
      <c r="P102" s="2627"/>
      <c r="Q102" s="504"/>
    </row>
    <row r="103" spans="1:17" s="471" customFormat="1">
      <c r="A103" s="593"/>
      <c r="B103" s="594"/>
      <c r="C103" s="595">
        <v>0</v>
      </c>
      <c r="D103" s="595">
        <f>C103+100000</f>
        <v>100000</v>
      </c>
      <c r="E103" s="595">
        <f t="shared" ref="E103:M103" si="29">D103+100000</f>
        <v>200000</v>
      </c>
      <c r="F103" s="595">
        <f t="shared" si="29"/>
        <v>300000</v>
      </c>
      <c r="G103" s="595">
        <f t="shared" si="29"/>
        <v>400000</v>
      </c>
      <c r="H103" s="595">
        <f t="shared" si="29"/>
        <v>500000</v>
      </c>
      <c r="I103" s="595">
        <f t="shared" si="29"/>
        <v>600000</v>
      </c>
      <c r="J103" s="595">
        <f t="shared" si="29"/>
        <v>700000</v>
      </c>
      <c r="K103" s="595">
        <f t="shared" si="29"/>
        <v>800000</v>
      </c>
      <c r="L103" s="595">
        <f t="shared" si="29"/>
        <v>900000</v>
      </c>
      <c r="M103" s="595">
        <f t="shared" si="29"/>
        <v>1000000</v>
      </c>
      <c r="N103" s="1157"/>
      <c r="O103" s="1157"/>
      <c r="P103" s="2628"/>
      <c r="Q103" s="559"/>
    </row>
    <row r="104" spans="1:17" s="471" customFormat="1" ht="15.75" thickBot="1">
      <c r="A104" s="553"/>
      <c r="B104" s="543"/>
      <c r="C104" s="560">
        <v>100</v>
      </c>
      <c r="D104" s="536">
        <f>C104+1</f>
        <v>101</v>
      </c>
      <c r="E104" s="536">
        <f t="shared" ref="E104:M104" si="30">D104+1</f>
        <v>102</v>
      </c>
      <c r="F104" s="536">
        <f t="shared" si="30"/>
        <v>103</v>
      </c>
      <c r="G104" s="536">
        <f t="shared" si="30"/>
        <v>104</v>
      </c>
      <c r="H104" s="536">
        <f t="shared" si="30"/>
        <v>105</v>
      </c>
      <c r="I104" s="536">
        <f t="shared" si="30"/>
        <v>106</v>
      </c>
      <c r="J104" s="536">
        <f t="shared" si="30"/>
        <v>107</v>
      </c>
      <c r="K104" s="536">
        <f t="shared" si="30"/>
        <v>108</v>
      </c>
      <c r="L104" s="536">
        <f t="shared" si="30"/>
        <v>109</v>
      </c>
      <c r="M104" s="536">
        <f t="shared" si="30"/>
        <v>110</v>
      </c>
      <c r="N104" s="1156"/>
      <c r="O104" s="1156"/>
      <c r="P104" s="2628"/>
      <c r="Q104" s="559"/>
    </row>
    <row r="105" spans="1:17" ht="15" thickTop="1">
      <c r="A105" s="599"/>
      <c r="B105" s="538" t="s">
        <v>2618</v>
      </c>
      <c r="C105" s="2969" t="s">
        <v>3217</v>
      </c>
      <c r="D105" s="554"/>
      <c r="E105" s="583"/>
      <c r="F105" s="583"/>
      <c r="G105" s="583"/>
      <c r="H105" s="583"/>
      <c r="I105" s="583"/>
      <c r="J105" s="583"/>
      <c r="K105" s="584"/>
      <c r="L105" s="585"/>
      <c r="M105" s="586"/>
      <c r="N105" s="1155"/>
      <c r="O105" s="1155"/>
      <c r="P105" s="2627"/>
      <c r="Q105" s="504"/>
    </row>
    <row r="106" spans="1:17" ht="15.75" thickBot="1">
      <c r="A106" s="534"/>
      <c r="B106" s="543"/>
      <c r="C106" s="544">
        <v>100</v>
      </c>
      <c r="D106" s="544">
        <f t="shared" ref="D106:M106" si="31">C106-$K34</f>
        <v>98</v>
      </c>
      <c r="E106" s="544">
        <f t="shared" si="31"/>
        <v>96</v>
      </c>
      <c r="F106" s="544">
        <f t="shared" si="31"/>
        <v>94</v>
      </c>
      <c r="G106" s="544">
        <f t="shared" si="31"/>
        <v>92</v>
      </c>
      <c r="H106" s="544">
        <f t="shared" si="31"/>
        <v>90</v>
      </c>
      <c r="I106" s="544">
        <f t="shared" si="31"/>
        <v>88</v>
      </c>
      <c r="J106" s="544">
        <f t="shared" si="31"/>
        <v>86</v>
      </c>
      <c r="K106" s="544">
        <f t="shared" si="31"/>
        <v>84</v>
      </c>
      <c r="L106" s="544">
        <f t="shared" si="31"/>
        <v>82</v>
      </c>
      <c r="M106" s="544">
        <f t="shared" si="31"/>
        <v>80</v>
      </c>
      <c r="N106" s="1156"/>
      <c r="O106" s="1156"/>
      <c r="P106" s="2627"/>
      <c r="Q106" s="504"/>
    </row>
    <row r="107" spans="1:17" ht="15" thickTop="1">
      <c r="A107" s="599"/>
      <c r="B107" s="538" t="s">
        <v>2619</v>
      </c>
      <c r="C107" s="2970" t="s">
        <v>3219</v>
      </c>
      <c r="D107" s="583"/>
      <c r="E107" s="583"/>
      <c r="F107" s="583"/>
      <c r="G107" s="583"/>
      <c r="H107" s="583"/>
      <c r="I107" s="583"/>
      <c r="J107" s="583"/>
      <c r="K107" s="584"/>
      <c r="L107" s="585"/>
      <c r="M107" s="586"/>
      <c r="N107" s="1155"/>
      <c r="O107" s="1155"/>
      <c r="P107" s="2627"/>
      <c r="Q107" s="504"/>
    </row>
    <row r="108" spans="1:17" ht="15.75" thickBot="1">
      <c r="A108" s="534"/>
      <c r="B108" s="543"/>
      <c r="C108" s="544">
        <v>100</v>
      </c>
      <c r="D108" s="544">
        <f t="shared" ref="D108:M108" si="32">C108-$K35</f>
        <v>98</v>
      </c>
      <c r="E108" s="544">
        <f t="shared" si="32"/>
        <v>96</v>
      </c>
      <c r="F108" s="544">
        <f t="shared" si="32"/>
        <v>94</v>
      </c>
      <c r="G108" s="544">
        <f t="shared" si="32"/>
        <v>92</v>
      </c>
      <c r="H108" s="544">
        <f t="shared" si="32"/>
        <v>90</v>
      </c>
      <c r="I108" s="544">
        <f t="shared" si="32"/>
        <v>88</v>
      </c>
      <c r="J108" s="544">
        <f t="shared" si="32"/>
        <v>86</v>
      </c>
      <c r="K108" s="544">
        <f t="shared" si="32"/>
        <v>84</v>
      </c>
      <c r="L108" s="544">
        <f t="shared" si="32"/>
        <v>82</v>
      </c>
      <c r="M108" s="544">
        <f t="shared" si="32"/>
        <v>80</v>
      </c>
      <c r="N108" s="1156"/>
      <c r="O108" s="1156"/>
      <c r="P108" s="2627"/>
      <c r="Q108" s="504"/>
    </row>
    <row r="109" spans="1:17" ht="15" thickTop="1">
      <c r="A109" s="599"/>
      <c r="B109" s="538" t="s">
        <v>2620</v>
      </c>
      <c r="C109" s="2969" t="s">
        <v>3221</v>
      </c>
      <c r="D109" s="554"/>
      <c r="E109" s="554"/>
      <c r="F109" s="583"/>
      <c r="G109" s="583"/>
      <c r="H109" s="583"/>
      <c r="I109" s="583"/>
      <c r="J109" s="583"/>
      <c r="K109" s="584"/>
      <c r="L109" s="585"/>
      <c r="M109" s="586"/>
      <c r="N109" s="1155"/>
      <c r="O109" s="1155"/>
      <c r="P109" s="2627"/>
      <c r="Q109" s="504"/>
    </row>
    <row r="110" spans="1:17" ht="15.75" thickBot="1">
      <c r="A110" s="534"/>
      <c r="B110" s="543"/>
      <c r="C110" s="544">
        <v>100</v>
      </c>
      <c r="D110" s="544">
        <f t="shared" ref="D110:M110" si="33">C110-$K36</f>
        <v>98</v>
      </c>
      <c r="E110" s="544">
        <f t="shared" si="33"/>
        <v>96</v>
      </c>
      <c r="F110" s="544">
        <f t="shared" si="33"/>
        <v>94</v>
      </c>
      <c r="G110" s="544">
        <f t="shared" si="33"/>
        <v>92</v>
      </c>
      <c r="H110" s="544">
        <f t="shared" si="33"/>
        <v>90</v>
      </c>
      <c r="I110" s="544">
        <f t="shared" si="33"/>
        <v>88</v>
      </c>
      <c r="J110" s="544">
        <f t="shared" si="33"/>
        <v>86</v>
      </c>
      <c r="K110" s="544">
        <f t="shared" si="33"/>
        <v>84</v>
      </c>
      <c r="L110" s="544">
        <f t="shared" si="33"/>
        <v>82</v>
      </c>
      <c r="M110" s="544">
        <f t="shared" si="33"/>
        <v>80</v>
      </c>
      <c r="N110" s="1156"/>
      <c r="O110" s="1156"/>
      <c r="P110" s="2627"/>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8"/>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28"/>
      <c r="Q113" s="559"/>
    </row>
    <row r="114" spans="1:17" ht="15" thickTop="1">
      <c r="A114" s="599"/>
      <c r="B114" s="538" t="s">
        <v>2621</v>
      </c>
      <c r="C114" s="2969" t="s">
        <v>3223</v>
      </c>
      <c r="D114" s="554"/>
      <c r="E114" s="583"/>
      <c r="F114" s="583"/>
      <c r="G114" s="583"/>
      <c r="H114" s="583"/>
      <c r="I114" s="583"/>
      <c r="J114" s="583"/>
      <c r="K114" s="584"/>
      <c r="L114" s="585"/>
      <c r="M114" s="586"/>
      <c r="N114" s="1155"/>
      <c r="O114" s="1155"/>
      <c r="P114" s="2627"/>
      <c r="Q114" s="504"/>
    </row>
    <row r="115" spans="1:17" ht="15.75" thickBot="1">
      <c r="A115" s="534"/>
      <c r="B115" s="543"/>
      <c r="C115" s="544">
        <v>100</v>
      </c>
      <c r="D115" s="544">
        <f t="shared" ref="D115:M115" si="34">C115-$K38</f>
        <v>98</v>
      </c>
      <c r="E115" s="544">
        <f t="shared" si="34"/>
        <v>96</v>
      </c>
      <c r="F115" s="544">
        <f t="shared" si="34"/>
        <v>94</v>
      </c>
      <c r="G115" s="544">
        <f t="shared" si="34"/>
        <v>92</v>
      </c>
      <c r="H115" s="544">
        <f t="shared" si="34"/>
        <v>90</v>
      </c>
      <c r="I115" s="544">
        <f t="shared" si="34"/>
        <v>88</v>
      </c>
      <c r="J115" s="544">
        <f t="shared" si="34"/>
        <v>86</v>
      </c>
      <c r="K115" s="544">
        <f t="shared" si="34"/>
        <v>84</v>
      </c>
      <c r="L115" s="544">
        <f t="shared" si="34"/>
        <v>82</v>
      </c>
      <c r="M115" s="544">
        <f t="shared" si="34"/>
        <v>80</v>
      </c>
      <c r="N115" s="1156"/>
      <c r="O115" s="1156"/>
      <c r="P115" s="2627"/>
      <c r="Q115" s="504"/>
    </row>
    <row r="116" spans="1:17" ht="15" thickTop="1">
      <c r="A116" s="599"/>
      <c r="B116" s="538" t="s">
        <v>2622</v>
      </c>
      <c r="C116" s="554"/>
      <c r="D116" s="554"/>
      <c r="E116" s="554"/>
      <c r="F116" s="554"/>
      <c r="G116" s="554"/>
      <c r="H116" s="583"/>
      <c r="I116" s="583"/>
      <c r="J116" s="583"/>
      <c r="K116" s="584"/>
      <c r="L116" s="585"/>
      <c r="M116" s="586"/>
      <c r="N116" s="1155"/>
      <c r="O116" s="1155"/>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7"/>
      <c r="Q117" s="504"/>
    </row>
    <row r="118" spans="1:17" ht="15" thickTop="1">
      <c r="A118" s="599"/>
      <c r="B118" s="538" t="s">
        <v>2623</v>
      </c>
      <c r="C118" s="583"/>
      <c r="D118" s="583"/>
      <c r="E118" s="583"/>
      <c r="F118" s="583"/>
      <c r="G118" s="583"/>
      <c r="H118" s="583"/>
      <c r="I118" s="583"/>
      <c r="J118" s="583"/>
      <c r="K118" s="584"/>
      <c r="L118" s="585"/>
      <c r="M118" s="586"/>
      <c r="N118" s="1155"/>
      <c r="O118" s="1155"/>
      <c r="P118" s="2627"/>
      <c r="Q118" s="504"/>
    </row>
    <row r="119" spans="1:17" ht="15.75" thickBot="1">
      <c r="A119" s="534"/>
      <c r="B119" s="543"/>
      <c r="C119" s="544">
        <v>100</v>
      </c>
      <c r="D119" s="544">
        <f t="shared" ref="D119:M119" si="35">C119-$K40</f>
        <v>100</v>
      </c>
      <c r="E119" s="544">
        <f t="shared" si="35"/>
        <v>100</v>
      </c>
      <c r="F119" s="544">
        <f t="shared" si="35"/>
        <v>100</v>
      </c>
      <c r="G119" s="544">
        <f t="shared" si="35"/>
        <v>100</v>
      </c>
      <c r="H119" s="544">
        <f t="shared" si="35"/>
        <v>100</v>
      </c>
      <c r="I119" s="544">
        <f t="shared" si="35"/>
        <v>100</v>
      </c>
      <c r="J119" s="544">
        <f t="shared" si="35"/>
        <v>100</v>
      </c>
      <c r="K119" s="544">
        <f t="shared" si="35"/>
        <v>100</v>
      </c>
      <c r="L119" s="544">
        <f t="shared" si="35"/>
        <v>100</v>
      </c>
      <c r="M119" s="544">
        <f t="shared" si="35"/>
        <v>100</v>
      </c>
      <c r="N119" s="1156"/>
      <c r="O119" s="1156"/>
      <c r="P119" s="2627"/>
      <c r="Q119" s="504"/>
    </row>
    <row r="120" spans="1:17" s="471" customFormat="1" ht="28.5" thickTop="1">
      <c r="A120" s="593"/>
      <c r="B120" s="538" t="s">
        <v>2578</v>
      </c>
      <c r="C120" s="554"/>
      <c r="D120" s="554"/>
      <c r="E120" s="554"/>
      <c r="F120" s="554"/>
      <c r="G120" s="554"/>
      <c r="H120" s="554"/>
      <c r="I120" s="554"/>
      <c r="J120" s="554"/>
      <c r="K120" s="554"/>
      <c r="L120" s="580"/>
      <c r="M120" s="581"/>
      <c r="N120" s="1157"/>
      <c r="O120" s="1157"/>
      <c r="P120" s="262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8"/>
      <c r="Q121" s="559"/>
    </row>
    <row r="122" spans="1:17" ht="15" thickTop="1">
      <c r="A122" s="599"/>
      <c r="B122" s="538" t="s">
        <v>2624</v>
      </c>
      <c r="C122" s="2969" t="s">
        <v>3221</v>
      </c>
      <c r="D122" s="554"/>
      <c r="E122" s="554"/>
      <c r="F122" s="583"/>
      <c r="G122" s="583"/>
      <c r="H122" s="583"/>
      <c r="I122" s="583"/>
      <c r="J122" s="583"/>
      <c r="K122" s="584"/>
      <c r="L122" s="585"/>
      <c r="M122" s="586"/>
      <c r="N122" s="1155"/>
      <c r="O122" s="1155"/>
      <c r="P122" s="2627"/>
      <c r="Q122" s="504"/>
    </row>
    <row r="123" spans="1:17" ht="15.75" thickBot="1">
      <c r="A123" s="534"/>
      <c r="B123" s="543"/>
      <c r="C123" s="544">
        <v>100</v>
      </c>
      <c r="D123" s="544">
        <f t="shared" ref="D123:M123" si="36">C123-$K42</f>
        <v>98</v>
      </c>
      <c r="E123" s="544">
        <f t="shared" si="36"/>
        <v>96</v>
      </c>
      <c r="F123" s="544">
        <f t="shared" si="36"/>
        <v>94</v>
      </c>
      <c r="G123" s="544">
        <f t="shared" si="36"/>
        <v>92</v>
      </c>
      <c r="H123" s="544">
        <f t="shared" si="36"/>
        <v>90</v>
      </c>
      <c r="I123" s="544">
        <f t="shared" si="36"/>
        <v>88</v>
      </c>
      <c r="J123" s="544">
        <f t="shared" si="36"/>
        <v>86</v>
      </c>
      <c r="K123" s="544">
        <f t="shared" si="36"/>
        <v>84</v>
      </c>
      <c r="L123" s="544">
        <f t="shared" si="36"/>
        <v>82</v>
      </c>
      <c r="M123" s="544">
        <f t="shared" si="36"/>
        <v>80</v>
      </c>
      <c r="N123" s="1156"/>
      <c r="O123" s="1156"/>
      <c r="P123" s="262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28"/>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8"/>
      <c r="Q127" s="559"/>
    </row>
    <row r="128" spans="1:17" ht="15" thickTop="1">
      <c r="A128" s="599"/>
      <c r="B128" s="538">
        <f>B45</f>
        <v>111</v>
      </c>
      <c r="C128" s="554"/>
      <c r="D128" s="554"/>
      <c r="E128" s="554"/>
      <c r="F128" s="554"/>
      <c r="G128" s="583"/>
      <c r="H128" s="583"/>
      <c r="I128" s="583"/>
      <c r="J128" s="583"/>
      <c r="K128" s="584"/>
      <c r="L128" s="585"/>
      <c r="M128" s="586"/>
      <c r="N128" s="1155"/>
      <c r="O128" s="1155"/>
      <c r="P128" s="2627"/>
      <c r="Q128" s="504"/>
    </row>
    <row r="129" spans="1:17" ht="15.75" thickBot="1">
      <c r="A129" s="534"/>
      <c r="B129" s="543"/>
      <c r="C129" s="560"/>
      <c r="D129" s="560"/>
      <c r="E129" s="560"/>
      <c r="F129" s="560"/>
      <c r="G129" s="536"/>
      <c r="H129" s="536"/>
      <c r="I129" s="536"/>
      <c r="J129" s="536"/>
      <c r="K129" s="536"/>
      <c r="L129" s="536"/>
      <c r="M129" s="537"/>
      <c r="N129" s="1156"/>
      <c r="O129" s="1156"/>
      <c r="P129" s="2627"/>
      <c r="Q129" s="504"/>
    </row>
    <row r="130" spans="1:17" ht="15" thickTop="1">
      <c r="A130" s="599"/>
      <c r="B130" s="546">
        <f>B46</f>
        <v>111</v>
      </c>
      <c r="C130" s="554"/>
      <c r="D130" s="554"/>
      <c r="E130" s="554"/>
      <c r="F130" s="554"/>
      <c r="G130" s="587"/>
      <c r="H130" s="587"/>
      <c r="I130" s="587"/>
      <c r="J130" s="587"/>
      <c r="K130" s="523"/>
      <c r="L130" s="524"/>
      <c r="M130" s="590"/>
      <c r="N130" s="1155"/>
      <c r="O130" s="1155"/>
      <c r="P130" s="2627"/>
      <c r="Q130" s="504"/>
    </row>
    <row r="131" spans="1:17" ht="15.75" thickBot="1">
      <c r="A131" s="2633"/>
      <c r="B131" s="569"/>
      <c r="C131" s="570"/>
      <c r="D131" s="570"/>
      <c r="E131" s="570"/>
      <c r="F131" s="570"/>
      <c r="G131" s="591"/>
      <c r="H131" s="591"/>
      <c r="I131" s="591"/>
      <c r="J131" s="591"/>
      <c r="K131" s="591"/>
      <c r="L131" s="591"/>
      <c r="M131" s="592"/>
      <c r="N131" s="1156"/>
      <c r="O131" s="1156"/>
      <c r="P131" s="2627"/>
      <c r="Q131" s="504"/>
    </row>
    <row r="136" spans="1:17" ht="15" thickBot="1">
      <c r="B136" s="2634" t="s">
        <v>2626</v>
      </c>
    </row>
    <row r="137" spans="1:17" ht="15">
      <c r="B137" s="2635" t="s">
        <v>2627</v>
      </c>
      <c r="C137" s="2636"/>
      <c r="D137" s="2636"/>
      <c r="E137" s="2636"/>
      <c r="F137" s="2636"/>
      <c r="G137" s="2637"/>
      <c r="H137" s="2638"/>
      <c r="I137" s="2639" t="s">
        <v>2628</v>
      </c>
      <c r="J137" s="2636"/>
      <c r="K137" s="2640"/>
    </row>
    <row r="138" spans="1:17" ht="15">
      <c r="B138" s="2641"/>
      <c r="C138" s="146" t="s">
        <v>2629</v>
      </c>
      <c r="D138" s="146" t="s">
        <v>2630</v>
      </c>
      <c r="E138" s="2642" t="s">
        <v>2631</v>
      </c>
      <c r="F138" s="2643" t="s">
        <v>2632</v>
      </c>
      <c r="G138" s="146" t="s">
        <v>2630</v>
      </c>
      <c r="H138" s="147" t="s">
        <v>2631</v>
      </c>
      <c r="I138" s="2644"/>
      <c r="J138" s="146" t="s">
        <v>2633</v>
      </c>
      <c r="K138" s="147" t="s">
        <v>2634</v>
      </c>
    </row>
    <row r="139" spans="1:17" ht="15">
      <c r="B139" s="1087">
        <v>6</v>
      </c>
      <c r="C139" s="1088">
        <v>96</v>
      </c>
      <c r="D139" s="2645" t="s">
        <v>2635</v>
      </c>
      <c r="E139" s="1089">
        <v>100</v>
      </c>
      <c r="F139" s="1090">
        <v>102.5</v>
      </c>
      <c r="G139" s="2645" t="s">
        <v>2635</v>
      </c>
      <c r="H139" s="1091">
        <v>105</v>
      </c>
      <c r="I139" s="2646" t="s">
        <v>2636</v>
      </c>
      <c r="J139" s="1088">
        <v>20</v>
      </c>
      <c r="K139" s="1092">
        <f>C145/(J139-2)</f>
        <v>4.0555555555555553E-3</v>
      </c>
    </row>
    <row r="140" spans="1:17" ht="15">
      <c r="B140" s="1093">
        <v>5</v>
      </c>
      <c r="C140" s="1094">
        <v>100</v>
      </c>
      <c r="D140" s="1094"/>
      <c r="E140" s="1095"/>
      <c r="F140" s="1096">
        <v>102</v>
      </c>
      <c r="G140" s="1094"/>
      <c r="H140" s="1097"/>
      <c r="I140" s="2647" t="s">
        <v>2637</v>
      </c>
      <c r="J140" s="315">
        <f>ROUNDUP((J139-1)/2,0)</f>
        <v>10</v>
      </c>
      <c r="K140" s="1098">
        <v>100</v>
      </c>
    </row>
    <row r="141" spans="1:17" ht="15">
      <c r="B141" s="1093">
        <v>4</v>
      </c>
      <c r="C141" s="1094">
        <v>102</v>
      </c>
      <c r="D141" s="1094"/>
      <c r="E141" s="1095"/>
      <c r="F141" s="1096">
        <v>101.5</v>
      </c>
      <c r="G141" s="1094"/>
      <c r="H141" s="1097"/>
      <c r="I141" s="2647" t="s">
        <v>2638</v>
      </c>
      <c r="J141" s="315">
        <v>1</v>
      </c>
      <c r="K141" s="1099">
        <f>ROUND(100+(J141-J140)*K139*100,1)</f>
        <v>96.4</v>
      </c>
    </row>
    <row r="142" spans="1:17" ht="15">
      <c r="B142" s="1093">
        <v>3</v>
      </c>
      <c r="C142" s="1094">
        <v>103</v>
      </c>
      <c r="D142" s="1094"/>
      <c r="E142" s="1095"/>
      <c r="F142" s="1096">
        <v>101</v>
      </c>
      <c r="G142" s="1094"/>
      <c r="H142" s="1097"/>
      <c r="I142" s="2647" t="s">
        <v>2639</v>
      </c>
      <c r="J142" s="315">
        <f>J139</f>
        <v>20</v>
      </c>
      <c r="K142" s="1100">
        <v>95</v>
      </c>
    </row>
    <row r="143" spans="1:17" ht="15">
      <c r="B143" s="1093">
        <v>2</v>
      </c>
      <c r="C143" s="1094">
        <v>100</v>
      </c>
      <c r="D143" s="1094"/>
      <c r="E143" s="1095"/>
      <c r="F143" s="1096">
        <v>100.5</v>
      </c>
      <c r="G143" s="1094"/>
      <c r="H143" s="1097"/>
      <c r="I143" s="2647" t="s">
        <v>2640</v>
      </c>
      <c r="J143" s="1094">
        <v>15</v>
      </c>
      <c r="K143" s="1099">
        <f>ROUND(100+(J143-J140)*K139*100,1)</f>
        <v>102</v>
      </c>
    </row>
    <row r="144" spans="1:17" ht="15">
      <c r="B144" s="1093">
        <v>1</v>
      </c>
      <c r="C144" s="1094">
        <v>98</v>
      </c>
      <c r="D144" s="2648" t="s">
        <v>2641</v>
      </c>
      <c r="E144" s="1095">
        <v>102</v>
      </c>
      <c r="F144" s="1101">
        <v>100</v>
      </c>
      <c r="G144" s="2648" t="s">
        <v>2641</v>
      </c>
      <c r="H144" s="1097">
        <v>105</v>
      </c>
      <c r="I144" s="2647" t="s">
        <v>2640</v>
      </c>
      <c r="J144" s="1094">
        <v>18</v>
      </c>
      <c r="K144" s="1099">
        <f>ROUND(100+(J144-J140)*K139*100,1)</f>
        <v>103.2</v>
      </c>
    </row>
    <row r="145" spans="2:11" ht="15.75" thickBot="1">
      <c r="B145" s="2649" t="s">
        <v>2642</v>
      </c>
      <c r="C145" s="1102">
        <f>ROUND(MAX(C139:C144)/MIN(C139:C144)-1,3)</f>
        <v>7.2999999999999995E-2</v>
      </c>
      <c r="D145" s="1103"/>
      <c r="E145" s="1103"/>
      <c r="F145" s="2650" t="s">
        <v>2643</v>
      </c>
      <c r="G145" s="2651"/>
      <c r="H145" s="2652"/>
      <c r="I145" s="2653" t="s">
        <v>2640</v>
      </c>
      <c r="J145" s="1104">
        <v>8</v>
      </c>
      <c r="K145" s="1105">
        <f>ROUND(100+(J145-J140)*K139*100,1)</f>
        <v>99.2</v>
      </c>
    </row>
    <row r="147" spans="2:11">
      <c r="B147" s="2634" t="s">
        <v>2644</v>
      </c>
    </row>
    <row r="148" spans="2:11">
      <c r="B148" s="2634"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7">
    <tabColor rgb="FF92D050"/>
  </sheetPr>
  <dimension ref="A1:AK83"/>
  <sheetViews>
    <sheetView zoomScale="90" zoomScaleNormal="90" zoomScaleSheetLayoutView="90" workbookViewId="0">
      <selection activeCell="I15" sqref="I1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3116</v>
      </c>
      <c r="D1" s="1822" t="s">
        <v>3160</v>
      </c>
      <c r="E1" s="1823" t="s">
        <v>1387</v>
      </c>
      <c r="F1" s="1286">
        <f ca="1">J53</f>
        <v>24.032</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7272</v>
      </c>
      <c r="C2" s="1847" t="s">
        <v>1517</v>
      </c>
      <c r="D2" s="1847"/>
      <c r="E2" s="1848"/>
      <c r="F2" s="1849"/>
      <c r="G2" s="1850"/>
      <c r="H2" s="1842"/>
      <c r="I2" s="1842"/>
      <c r="J2" s="1842"/>
      <c r="K2" s="1843"/>
      <c r="L2" s="1842"/>
      <c r="M2" s="1842"/>
    </row>
    <row r="3" spans="1:37" ht="18" customHeight="1" thickBot="1">
      <c r="A3" s="1851" t="s">
        <v>1518</v>
      </c>
      <c r="B3" s="1852">
        <f ca="1">IF(ISERROR(B2*10000/F43),0,ROUND(B2*10000/F43,0))</f>
        <v>20877</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516</v>
      </c>
      <c r="D5" s="1824" t="s">
        <v>1402</v>
      </c>
      <c r="E5" s="1296"/>
      <c r="F5" s="1297"/>
      <c r="G5" s="1853"/>
      <c r="H5" s="344">
        <v>1</v>
      </c>
      <c r="I5" s="345" t="s">
        <v>1401</v>
      </c>
      <c r="J5" s="1295">
        <f ca="1">J6+J10+J12</f>
        <v>0</v>
      </c>
      <c r="K5" s="1824" t="s">
        <v>1402</v>
      </c>
      <c r="L5" s="1296"/>
      <c r="M5" s="1297"/>
    </row>
    <row r="6" spans="1:37" ht="18" customHeight="1">
      <c r="A6" s="1294" t="s">
        <v>1035</v>
      </c>
      <c r="B6" s="3220" t="s">
        <v>1403</v>
      </c>
      <c r="C6" s="1299">
        <f ca="1">ROUND(F6*F8*F7*(1-F9)/10000,0)</f>
        <v>515</v>
      </c>
      <c r="D6" s="164" t="s">
        <v>3040</v>
      </c>
      <c r="E6" s="347" t="s">
        <v>1405</v>
      </c>
      <c r="F6" s="348">
        <f ca="1">INDIRECT("'数据-取费表'!u"&amp;$G$1)</f>
        <v>4.5</v>
      </c>
      <c r="G6" s="1853"/>
      <c r="H6" s="1294" t="s">
        <v>1035</v>
      </c>
      <c r="I6" s="3220" t="s">
        <v>1403</v>
      </c>
      <c r="J6" s="346">
        <f ca="1">ROUND(M6*M8*M7*(1-M9)/10000,0)</f>
        <v>0</v>
      </c>
      <c r="K6" s="164" t="s">
        <v>3039</v>
      </c>
      <c r="L6" s="347" t="s">
        <v>1405</v>
      </c>
      <c r="M6" s="348">
        <f ca="1">INDIRECT("'数据-取费表'!z"&amp;$G$1)</f>
        <v>0</v>
      </c>
    </row>
    <row r="7" spans="1:37" ht="18" customHeight="1">
      <c r="A7" s="1298"/>
      <c r="B7" s="3221"/>
      <c r="C7" s="1300"/>
      <c r="D7" s="352"/>
      <c r="E7" s="1301" t="s">
        <v>1406</v>
      </c>
      <c r="F7" s="348">
        <f ca="1">IF(INDIRECT("'数据-取费表'!ah"&amp;$G$1)="",INDIRECT("'数据-取费表'!k"&amp;$G$1),INDIRECT("'数据-取费表'!ah"&amp;$G$1))</f>
        <v>3483.309999999999</v>
      </c>
      <c r="G7" s="1853"/>
      <c r="H7" s="349"/>
      <c r="I7" s="3221"/>
      <c r="J7" s="351"/>
      <c r="K7" s="352"/>
      <c r="L7" s="347" t="s">
        <v>1406</v>
      </c>
      <c r="M7" s="348">
        <f ca="1">F7</f>
        <v>3483.309999999999</v>
      </c>
    </row>
    <row r="8" spans="1:37" ht="18" customHeight="1">
      <c r="A8" s="349"/>
      <c r="B8" s="3221"/>
      <c r="C8" s="351"/>
      <c r="D8" s="352"/>
      <c r="E8" s="347" t="s">
        <v>1407</v>
      </c>
      <c r="F8" s="348">
        <f ca="1">INDIRECT("'数据-取费表'!ai"&amp;$G$1)</f>
        <v>365</v>
      </c>
      <c r="G8" s="1853"/>
      <c r="H8" s="349"/>
      <c r="I8" s="3221"/>
      <c r="J8" s="351"/>
      <c r="K8" s="352"/>
      <c r="L8" s="347" t="s">
        <v>1407</v>
      </c>
      <c r="M8" s="348">
        <f ca="1">INDIRECT("'数据-取费表'!ai"&amp;$G$1)</f>
        <v>365</v>
      </c>
    </row>
    <row r="9" spans="1:37" ht="18" customHeight="1">
      <c r="A9" s="349"/>
      <c r="B9" s="3222"/>
      <c r="C9" s="351"/>
      <c r="D9" s="352"/>
      <c r="E9" s="347" t="s">
        <v>1408</v>
      </c>
      <c r="F9" s="357">
        <f ca="1">INDIRECT("'数据-取费表'!w"&amp;$G$1)</f>
        <v>0.1</v>
      </c>
      <c r="G9" s="1853"/>
      <c r="H9" s="349"/>
      <c r="I9" s="3222"/>
      <c r="J9" s="351"/>
      <c r="K9" s="352"/>
      <c r="L9" s="358" t="s">
        <v>1408</v>
      </c>
      <c r="M9" s="359">
        <f ca="1">INDIRECT("'数据-取费表'!ab"&amp;$G$1)</f>
        <v>0</v>
      </c>
    </row>
    <row r="10" spans="1:37" ht="18" customHeight="1">
      <c r="A10" s="1294" t="s">
        <v>1039</v>
      </c>
      <c r="B10" s="1825" t="s">
        <v>1409</v>
      </c>
      <c r="C10" s="361">
        <f ca="1">ROUND(IF(F10="押一",F6*F8*F7/12*F11,IF(F10="押二",F6*F8*F7/12*2*F11,IF(F10="押三",F6*F8*F7/12*3*F11,C11*F11)))/10000,0)</f>
        <v>1</v>
      </c>
      <c r="D10" s="1826" t="s">
        <v>3041</v>
      </c>
      <c r="E10" s="358" t="s">
        <v>1411</v>
      </c>
      <c r="F10" s="1369" t="s">
        <v>3158</v>
      </c>
      <c r="G10" s="1853"/>
      <c r="H10" s="1294" t="s">
        <v>1039</v>
      </c>
      <c r="I10" s="1825" t="s">
        <v>1409</v>
      </c>
      <c r="J10" s="346">
        <f ca="1">ROUND(IF(M10="押一",M6*M8*M7/12*M11,IF(M10="押二",M6*M8*M7/12*2*M11,IF(M10="押三",M6*M8*M7/12*3*M11,J11*M11)))/10000,0)</f>
        <v>0</v>
      </c>
      <c r="K10" s="1826" t="s">
        <v>3042</v>
      </c>
      <c r="L10" s="358" t="s">
        <v>1411</v>
      </c>
      <c r="M10" s="1369" t="s">
        <v>1412</v>
      </c>
    </row>
    <row r="11" spans="1:37" ht="18" customHeight="1">
      <c r="A11" s="353"/>
      <c r="B11" s="1827" t="s">
        <v>1388</v>
      </c>
      <c r="C11" s="1181"/>
      <c r="D11" s="1828"/>
      <c r="E11" s="358" t="s">
        <v>1413</v>
      </c>
      <c r="F11" s="359">
        <f ca="1">'数据-取费表'!B39</f>
        <v>1.4999999999999999E-2</v>
      </c>
      <c r="G11" s="1853"/>
      <c r="H11" s="1302"/>
      <c r="I11" s="1827" t="s">
        <v>1388</v>
      </c>
      <c r="J11" s="1181"/>
      <c r="K11" s="748"/>
      <c r="L11" s="358" t="s">
        <v>1413</v>
      </c>
      <c r="M11" s="1059">
        <f ca="1">'数据-取费表'!B39</f>
        <v>1.4999999999999999E-2</v>
      </c>
    </row>
    <row r="12" spans="1:37" ht="18" customHeight="1" thickBot="1">
      <c r="A12" s="1336" t="s">
        <v>1075</v>
      </c>
      <c r="B12" s="1829" t="s">
        <v>1414</v>
      </c>
      <c r="C12" s="1337"/>
      <c r="D12" s="1338"/>
      <c r="E12" s="1343"/>
      <c r="F12" s="1339"/>
      <c r="G12" s="1853"/>
      <c r="H12" s="1336" t="s">
        <v>1075</v>
      </c>
      <c r="I12" s="1829" t="s">
        <v>1414</v>
      </c>
      <c r="J12" s="1337"/>
      <c r="K12" s="1351"/>
      <c r="L12" s="1343"/>
      <c r="M12" s="1352"/>
    </row>
    <row r="13" spans="1:37" ht="18" customHeight="1" thickTop="1">
      <c r="A13" s="1332">
        <v>2</v>
      </c>
      <c r="B13" s="1333" t="s">
        <v>1415</v>
      </c>
      <c r="C13" s="355">
        <f ca="1">ROUND(C29*F13,0)</f>
        <v>1471</v>
      </c>
      <c r="D13" s="1334" t="s">
        <v>1416</v>
      </c>
      <c r="E13" s="1334" t="s">
        <v>1417</v>
      </c>
      <c r="F13" s="1335">
        <f ca="1">INDIRECT("'数据-取费表'!y"&amp;$G$1)</f>
        <v>1</v>
      </c>
      <c r="G13" s="1853"/>
      <c r="H13" s="1332">
        <v>2</v>
      </c>
      <c r="I13" s="1333" t="s">
        <v>1415</v>
      </c>
      <c r="J13" s="1293">
        <f ca="1">ROUND(J14*J15,0)</f>
        <v>0</v>
      </c>
      <c r="K13" s="1340" t="s">
        <v>1416</v>
      </c>
      <c r="L13" s="1854"/>
      <c r="M13" s="1855"/>
    </row>
    <row r="14" spans="1:37" ht="18" customHeight="1">
      <c r="A14" s="1204" t="s">
        <v>1034</v>
      </c>
      <c r="B14" s="347" t="s">
        <v>1418</v>
      </c>
      <c r="C14" s="363">
        <f ca="1">INDIRECT("'数据-取费表'!m"&amp;$G$1)+INDIRECT("'数据-取费表'!t"&amp;$G$1)</f>
        <v>824</v>
      </c>
      <c r="D14" s="1802" t="s">
        <v>1419</v>
      </c>
      <c r="E14" s="1796"/>
      <c r="F14" s="364"/>
      <c r="G14" s="1853"/>
      <c r="H14" s="1204" t="s">
        <v>1035</v>
      </c>
      <c r="I14" s="347" t="s">
        <v>1420</v>
      </c>
      <c r="J14" s="24">
        <f ca="1">C29</f>
        <v>1471</v>
      </c>
      <c r="K14" s="15"/>
      <c r="L14" s="982"/>
      <c r="M14" s="983"/>
    </row>
    <row r="15" spans="1:37" s="1860" customFormat="1" ht="18" customHeight="1" thickBot="1">
      <c r="A15" s="1204" t="s">
        <v>1036</v>
      </c>
      <c r="B15" s="347" t="s">
        <v>1421</v>
      </c>
      <c r="C15" s="24">
        <f ca="1">ROUND(C14*F15,0)</f>
        <v>41</v>
      </c>
      <c r="D15" s="365" t="s">
        <v>1422</v>
      </c>
      <c r="E15" s="365" t="s">
        <v>1423</v>
      </c>
      <c r="F15" s="366">
        <f>'数据-取费表'!B33</f>
        <v>0.05</v>
      </c>
      <c r="G15" s="1856"/>
      <c r="H15" s="1342" t="s">
        <v>1039</v>
      </c>
      <c r="I15" s="1343" t="s">
        <v>1417</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3"/>
      <c r="H16" s="1332" t="s">
        <v>1030</v>
      </c>
      <c r="I16" s="1333" t="s">
        <v>1425</v>
      </c>
      <c r="J16" s="355">
        <f ca="1">ROUND(J17+J22+J23+J24,0)</f>
        <v>36</v>
      </c>
      <c r="K16" s="1340" t="s">
        <v>1426</v>
      </c>
      <c r="L16" s="1341"/>
      <c r="M16" s="1297"/>
    </row>
    <row r="17" spans="1:37" s="1860" customFormat="1" ht="18" customHeight="1">
      <c r="A17" s="1204" t="s">
        <v>1390</v>
      </c>
      <c r="B17" s="347" t="s">
        <v>1427</v>
      </c>
      <c r="C17" s="24">
        <f ca="1">ROUND(F17*(F43+INDIRECT("'数据-取费表'!S"&amp;$G$1))/10000,0)</f>
        <v>89</v>
      </c>
      <c r="D17" s="347" t="s">
        <v>1428</v>
      </c>
      <c r="E17" s="347" t="s">
        <v>1429</v>
      </c>
      <c r="F17" s="26">
        <f>'数据-取费表'!B35</f>
        <v>200</v>
      </c>
      <c r="G17" s="1856"/>
      <c r="H17" s="1204" t="s">
        <v>1035</v>
      </c>
      <c r="I17" s="347" t="s">
        <v>1430</v>
      </c>
      <c r="J17" s="24">
        <f ca="1">ROUND(IF(项目基本情况!B11="自然人",J5*M17,J18+J19+J20),1)</f>
        <v>13.8</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12</v>
      </c>
      <c r="D18" s="347" t="s">
        <v>1422</v>
      </c>
      <c r="E18" s="347" t="s">
        <v>1423</v>
      </c>
      <c r="F18" s="367">
        <f>'数据-取费表'!B36</f>
        <v>1.4999999999999999E-2</v>
      </c>
      <c r="G18" s="1856"/>
      <c r="H18" s="1204" t="s">
        <v>1034</v>
      </c>
      <c r="I18" s="347" t="s">
        <v>1434</v>
      </c>
      <c r="J18" s="24">
        <f ca="1">ROUND(J5*M18/(1+'数据-取费表'!C42),2)</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966</v>
      </c>
      <c r="D19" s="140" t="s">
        <v>1437</v>
      </c>
      <c r="E19" s="1820"/>
      <c r="F19" s="26"/>
      <c r="G19" s="1853"/>
      <c r="H19" s="1204" t="s">
        <v>1036</v>
      </c>
      <c r="I19" s="347" t="s">
        <v>1438</v>
      </c>
      <c r="J19" s="24">
        <f ca="1">IF(K19="按租金收入计税",ROUND(J5*M19,2),ROUND(C29*M19*0.7,2))</f>
        <v>12.36</v>
      </c>
      <c r="K19" s="1830" t="s">
        <v>1439</v>
      </c>
      <c r="L19" s="347" t="s">
        <v>1423</v>
      </c>
      <c r="M19" s="367">
        <f>IF(K19="按租金收入计税",'数据-取费表'!B51,'数据-取费表'!B50)</f>
        <v>1.2E-2</v>
      </c>
    </row>
    <row r="20" spans="1:37" s="1860" customFormat="1" ht="18" customHeight="1">
      <c r="A20" s="1204" t="s">
        <v>1039</v>
      </c>
      <c r="B20" s="347" t="s">
        <v>1440</v>
      </c>
      <c r="C20" s="24">
        <f ca="1">ROUND(C19*F20,0)</f>
        <v>19</v>
      </c>
      <c r="D20" s="369" t="s">
        <v>1441</v>
      </c>
      <c r="E20" s="347" t="s">
        <v>1423</v>
      </c>
      <c r="F20" s="367">
        <f>'数据-取费表'!B37</f>
        <v>0.02</v>
      </c>
      <c r="G20" s="1856"/>
      <c r="H20" s="1204" t="s">
        <v>1389</v>
      </c>
      <c r="I20" s="164" t="s">
        <v>1442</v>
      </c>
      <c r="J20" s="25">
        <f ca="1">ROUND(M20*M21/10000,2)</f>
        <v>1.4</v>
      </c>
      <c r="K20" s="370" t="s">
        <v>1443</v>
      </c>
      <c r="L20" s="347" t="s">
        <v>1444</v>
      </c>
      <c r="M20" s="371">
        <f>'数据-取费表'!B52</f>
        <v>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2333.5500000000002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0"/>
      <c r="F22" s="26"/>
      <c r="G22" s="1853"/>
      <c r="H22" s="1204" t="s">
        <v>1039</v>
      </c>
      <c r="I22" s="347" t="s">
        <v>1450</v>
      </c>
      <c r="J22" s="24">
        <f ca="1">ROUND(J14*M22,1)</f>
        <v>22.1</v>
      </c>
      <c r="K22" s="1800" t="s">
        <v>1451</v>
      </c>
      <c r="L22" s="347" t="s">
        <v>1423</v>
      </c>
      <c r="M22" s="374">
        <f ca="1">INDIRECT("'数据-取费表'!Ak"&amp;$G$1)</f>
        <v>1.4999999999999999E-2</v>
      </c>
    </row>
    <row r="23" spans="1:37" s="1860" customFormat="1" ht="18" customHeight="1">
      <c r="A23" s="1204" t="s">
        <v>1034</v>
      </c>
      <c r="B23" s="347" t="s">
        <v>1452</v>
      </c>
      <c r="C23" s="24">
        <f ca="1">IF('数据-取费表'!B22&lt;=1,ROUND(C19*F24*F23/2,0)+ROUND(C20*F24*F23/2,0),ROUND(C19*(POWER((1+F24),F23/2)-1),0)+ROUND(C20*(POWER((1+F24),F23/2)-1),0))</f>
        <v>71</v>
      </c>
      <c r="D23" s="375" t="str">
        <f>IF(F23&lt;=1,"(建造成本+管理费用)×利率×(建设周期÷2)","(建造成本+管理费用)×((1+利率)^(建设周期÷2)-1)")</f>
        <v>(建造成本+管理费用)×((1+利率)^(建设周期÷2)-1)</v>
      </c>
      <c r="E23" s="347" t="s">
        <v>1453</v>
      </c>
      <c r="F23" s="371">
        <f>'数据-取费表'!B20</f>
        <v>3</v>
      </c>
      <c r="G23" s="1856"/>
      <c r="H23" s="1204" t="s">
        <v>1075</v>
      </c>
      <c r="I23" s="347" t="s">
        <v>1454</v>
      </c>
      <c r="J23" s="24">
        <f ca="1">ROUND(J13*M23,1)</f>
        <v>0</v>
      </c>
      <c r="K23" s="180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6"/>
      <c r="H24" s="1342" t="s">
        <v>1393</v>
      </c>
      <c r="I24" s="1343" t="s">
        <v>1440</v>
      </c>
      <c r="J24" s="1344">
        <f ca="1">ROUND(J5*M24,1)</f>
        <v>0</v>
      </c>
      <c r="K24" s="1345" t="s">
        <v>1460</v>
      </c>
      <c r="L24" s="1343" t="s">
        <v>1456</v>
      </c>
      <c r="M24" s="1339">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1461</v>
      </c>
      <c r="B25" s="347" t="s">
        <v>1462</v>
      </c>
      <c r="C25" s="24"/>
      <c r="D25" s="140" t="s">
        <v>1463</v>
      </c>
      <c r="E25" s="1820"/>
      <c r="F25" s="26"/>
      <c r="G25" s="1853"/>
      <c r="H25" s="1332" t="s">
        <v>1031</v>
      </c>
      <c r="I25" s="1347" t="s">
        <v>1464</v>
      </c>
      <c r="J25" s="355">
        <f ca="1">J5-J16</f>
        <v>-36</v>
      </c>
      <c r="K25" s="1348" t="s">
        <v>1465</v>
      </c>
      <c r="L25" s="1349"/>
      <c r="M25" s="1350"/>
    </row>
    <row r="26" spans="1:37">
      <c r="A26" s="1204" t="s">
        <v>1034</v>
      </c>
      <c r="B26" s="347" t="s">
        <v>1466</v>
      </c>
      <c r="C26" s="24">
        <f ca="1">ROUND((C19+C20)*F26,0)</f>
        <v>296</v>
      </c>
      <c r="D26" s="369" t="s">
        <v>1467</v>
      </c>
      <c r="E26" s="358" t="s">
        <v>1468</v>
      </c>
      <c r="F26" s="357">
        <f ca="1">INDIRECT("'数据-取费表'!q"&amp;$G$1)</f>
        <v>0.3</v>
      </c>
      <c r="G26" s="1853"/>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6.0000000000000001E-3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1479</v>
      </c>
      <c r="C29" s="1344">
        <f ca="1">ROUND((C19+C20+C23+C26)/(1-F21-C24-C27-C28),0)</f>
        <v>1471</v>
      </c>
      <c r="D29" s="1345"/>
      <c r="E29" s="1343"/>
      <c r="F29" s="1346"/>
      <c r="G29" s="1856"/>
      <c r="H29" s="380" t="s">
        <v>1033</v>
      </c>
      <c r="I29" s="381" t="s">
        <v>1480</v>
      </c>
      <c r="J29" s="382">
        <f ca="1">ROUND(J26/(1+F40)^F41,0)</f>
        <v>0</v>
      </c>
      <c r="K29" s="383" t="s">
        <v>1481</v>
      </c>
      <c r="L29" s="384"/>
      <c r="M29" s="385">
        <f ca="1">INDIRECT("'数据-取费表'!k"&amp;$G$1)</f>
        <v>3483.309999999999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1425</v>
      </c>
      <c r="C30" s="355">
        <f ca="1">ROUND(C31+C36+C37+C38,0)</f>
        <v>123</v>
      </c>
      <c r="D30" s="1340" t="s">
        <v>1426</v>
      </c>
      <c r="E30" s="1341"/>
      <c r="F30" s="1297"/>
      <c r="G30" s="1853"/>
      <c r="H30" s="745"/>
      <c r="I30" s="746"/>
      <c r="J30" s="747"/>
      <c r="K30" s="748"/>
      <c r="L30" s="749"/>
      <c r="M30" s="750"/>
    </row>
    <row r="31" spans="1:37" ht="18" customHeight="1">
      <c r="A31" s="1204" t="s">
        <v>1035</v>
      </c>
      <c r="B31" s="347" t="s">
        <v>1430</v>
      </c>
      <c r="C31" s="24">
        <f ca="1">ROUND(IF(项目基本情况!B11="自然人",C5*F31,C32+C33+C34),1)</f>
        <v>90.8</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IF(项目基本情况!B11="自然人","——",ROUND(C5*F32/(1+'数据-取费表'!C42),2))</f>
        <v>27.52</v>
      </c>
      <c r="D32" s="1800" t="s">
        <v>1435</v>
      </c>
      <c r="E32" s="347" t="s">
        <v>1423</v>
      </c>
      <c r="F32" s="377">
        <f>'数据-取费表'!B41</f>
        <v>5.6000000000000001E-2</v>
      </c>
      <c r="G32" s="1853"/>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61.92</v>
      </c>
      <c r="D33" s="1830" t="s">
        <v>3159</v>
      </c>
      <c r="E33" s="347" t="s">
        <v>1423</v>
      </c>
      <c r="F33" s="367">
        <f>IF(D33="按票据","——",IF(D33="按租金收入计税",'数据-取费表'!B51,'数据-取费表'!B50))</f>
        <v>0.12</v>
      </c>
      <c r="G33" s="1853"/>
      <c r="H33" s="1861"/>
      <c r="I33" s="1862"/>
      <c r="J33" s="1863"/>
      <c r="K33" s="1864"/>
      <c r="L33" s="1861"/>
      <c r="M33" s="1861"/>
    </row>
    <row r="34" spans="1:18" ht="18" customHeight="1">
      <c r="A34" s="1294" t="s">
        <v>1389</v>
      </c>
      <c r="B34" s="164" t="s">
        <v>1442</v>
      </c>
      <c r="C34" s="25">
        <f ca="1">IF(项目基本情况!B11="自然人","——",ROUND(F34*F35/10000,2))</f>
        <v>1.4</v>
      </c>
      <c r="D34" s="370" t="s">
        <v>1443</v>
      </c>
      <c r="E34" s="347" t="s">
        <v>1444</v>
      </c>
      <c r="F34" s="371">
        <f>'数据-取费表'!B52</f>
        <v>6</v>
      </c>
      <c r="G34" s="1853"/>
      <c r="H34" s="745"/>
      <c r="I34" s="1862"/>
      <c r="J34" s="1863"/>
      <c r="K34" s="1865"/>
      <c r="L34" s="1866"/>
      <c r="M34" s="1866"/>
    </row>
    <row r="35" spans="1:18" ht="18" customHeight="1">
      <c r="A35" s="1356"/>
      <c r="B35" s="1354"/>
      <c r="C35" s="29"/>
      <c r="D35" s="373"/>
      <c r="E35" s="347" t="s">
        <v>1448</v>
      </c>
      <c r="F35" s="348">
        <f ca="1">INDIRECT("'数据-取费表'!r"&amp;$G$1)</f>
        <v>2333.5500000000002</v>
      </c>
      <c r="G35" s="1853"/>
      <c r="H35" s="745"/>
      <c r="I35" s="1862"/>
      <c r="J35" s="1863"/>
      <c r="K35" s="1864"/>
      <c r="L35" s="1861"/>
      <c r="M35" s="1861"/>
    </row>
    <row r="36" spans="1:18" ht="18" customHeight="1">
      <c r="A36" s="1355" t="s">
        <v>1039</v>
      </c>
      <c r="B36" s="347" t="s">
        <v>1450</v>
      </c>
      <c r="C36" s="24">
        <f ca="1">ROUND(C29*F36,1)</f>
        <v>22.1</v>
      </c>
      <c r="D36" s="1800" t="s">
        <v>1483</v>
      </c>
      <c r="E36" s="347" t="s">
        <v>1423</v>
      </c>
      <c r="F36" s="374">
        <f ca="1">INDIRECT("'数据-取费表'!Ak"&amp;$G$1)</f>
        <v>1.4999999999999999E-2</v>
      </c>
      <c r="G36" s="1853"/>
      <c r="H36" s="1861"/>
      <c r="I36" s="1862"/>
      <c r="J36" s="1863"/>
      <c r="K36" s="751"/>
      <c r="L36" s="1861"/>
      <c r="M36" s="1861"/>
    </row>
    <row r="37" spans="1:18" ht="18" customHeight="1">
      <c r="A37" s="1204" t="s">
        <v>1075</v>
      </c>
      <c r="B37" s="347" t="s">
        <v>1454</v>
      </c>
      <c r="C37" s="24">
        <f ca="1">ROUND(C13*F37,1)</f>
        <v>2.2000000000000002</v>
      </c>
      <c r="D37" s="1800" t="s">
        <v>1455</v>
      </c>
      <c r="E37" s="347" t="s">
        <v>1456</v>
      </c>
      <c r="F37" s="376">
        <f ca="1">INDIRECT("'数据-取费表'!Al"&amp;$G$1)</f>
        <v>1.5E-3</v>
      </c>
      <c r="G37" s="1853"/>
      <c r="H37" s="1861"/>
      <c r="I37" s="1862"/>
      <c r="J37" s="1863"/>
      <c r="K37" s="751"/>
      <c r="L37" s="1861"/>
      <c r="M37" s="1861"/>
    </row>
    <row r="38" spans="1:18" ht="18" customHeight="1" thickBot="1">
      <c r="A38" s="1342" t="s">
        <v>1393</v>
      </c>
      <c r="B38" s="1343" t="s">
        <v>1440</v>
      </c>
      <c r="C38" s="1344">
        <f ca="1">ROUND(C5*F38,1)</f>
        <v>7.7</v>
      </c>
      <c r="D38" s="1345" t="s">
        <v>1460</v>
      </c>
      <c r="E38" s="1343" t="s">
        <v>1456</v>
      </c>
      <c r="F38" s="1339">
        <f ca="1">INDIRECT("'数据-取费表'!Am"&amp;$G$1)</f>
        <v>1.4999999999999999E-2</v>
      </c>
      <c r="G38" s="1853"/>
      <c r="H38" s="1861"/>
      <c r="I38" s="1862"/>
      <c r="J38" s="1863"/>
      <c r="K38" s="1867"/>
      <c r="L38" s="1861"/>
      <c r="M38" s="1861"/>
    </row>
    <row r="39" spans="1:18" ht="24.6" customHeight="1" thickTop="1">
      <c r="A39" s="1332" t="s">
        <v>1031</v>
      </c>
      <c r="B39" s="1347" t="s">
        <v>1484</v>
      </c>
      <c r="C39" s="355">
        <f ca="1">C5-C30</f>
        <v>393</v>
      </c>
      <c r="D39" s="1348" t="s">
        <v>1485</v>
      </c>
      <c r="E39" s="1349"/>
      <c r="F39" s="1350"/>
      <c r="G39" s="1853"/>
      <c r="H39" s="1861"/>
      <c r="I39" s="1862"/>
      <c r="J39" s="1863"/>
      <c r="K39" s="1867"/>
      <c r="L39" s="1861"/>
      <c r="M39" s="1861"/>
    </row>
    <row r="40" spans="1:18" ht="18" customHeight="1">
      <c r="A40" s="344" t="s">
        <v>1032</v>
      </c>
      <c r="B40" s="345" t="s">
        <v>1486</v>
      </c>
      <c r="C40" s="346">
        <f ca="1">ROUND(C39*(1-((1+F42)/(1+F40))^F41)/(F40-F42),0)</f>
        <v>7272</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24.032</v>
      </c>
      <c r="G41" s="1853"/>
      <c r="H41" s="732"/>
      <c r="I41" s="1862"/>
      <c r="J41" s="1863"/>
      <c r="K41" s="751"/>
      <c r="L41" s="732"/>
      <c r="M41" s="732"/>
    </row>
    <row r="42" spans="1:18" ht="18" customHeight="1">
      <c r="A42" s="353"/>
      <c r="B42" s="354"/>
      <c r="C42" s="355"/>
      <c r="D42" s="373"/>
      <c r="E42" s="347" t="s">
        <v>1478</v>
      </c>
      <c r="F42" s="357">
        <f ca="1">INDIRECT("'数据-取费表'!v"&amp;$G$1)</f>
        <v>0.03</v>
      </c>
      <c r="G42" s="1853"/>
      <c r="H42" s="732"/>
      <c r="I42" s="1862"/>
      <c r="J42" s="1863"/>
      <c r="K42" s="751"/>
      <c r="L42" s="732"/>
      <c r="M42" s="732"/>
    </row>
    <row r="43" spans="1:18" ht="18" customHeight="1" thickBot="1">
      <c r="A43" s="380" t="s">
        <v>1033</v>
      </c>
      <c r="B43" s="381" t="s">
        <v>1488</v>
      </c>
      <c r="C43" s="382">
        <f ca="1">ROUND(C40*10000/F43,0)</f>
        <v>20877</v>
      </c>
      <c r="D43" s="383" t="s">
        <v>1489</v>
      </c>
      <c r="E43" s="384" t="s">
        <v>1490</v>
      </c>
      <c r="F43" s="385">
        <f ca="1">INDIRECT("'数据-取费表'!k"&amp;$G$1)</f>
        <v>3483.309999999999</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-9329</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8" t="s">
        <v>1396</v>
      </c>
      <c r="B47" s="1200" t="s">
        <v>1397</v>
      </c>
      <c r="C47" s="1370" t="s">
        <v>1398</v>
      </c>
      <c r="D47" s="1200" t="s">
        <v>1399</v>
      </c>
      <c r="E47" s="1282" t="s">
        <v>1400</v>
      </c>
      <c r="F47" s="1283"/>
      <c r="G47" s="792"/>
      <c r="I47" s="1882" t="s">
        <v>1527</v>
      </c>
      <c r="J47" s="1883" t="s">
        <v>3156</v>
      </c>
      <c r="K47" s="1884" t="s">
        <v>1528</v>
      </c>
      <c r="L47" s="1885">
        <f ca="1">INDIRECT("'数据-取费表'!d"&amp;$G$1)</f>
        <v>40</v>
      </c>
      <c r="M47" s="1840" t="str">
        <f>IF(ISNUMBER(FIND("住宅",C1)),"住宅","非住宅")</f>
        <v>非住宅</v>
      </c>
      <c r="O47" s="1886" t="s">
        <v>1040</v>
      </c>
      <c r="P47" s="1887" t="s">
        <v>1529</v>
      </c>
      <c r="Q47" s="1888">
        <f ca="1">C40+J29</f>
        <v>7272</v>
      </c>
      <c r="R47" s="1888" t="s">
        <v>1530</v>
      </c>
    </row>
    <row r="48" spans="1:18" s="1844" customFormat="1" ht="28.5" thickBot="1">
      <c r="A48" s="1363" t="s">
        <v>1135</v>
      </c>
      <c r="B48" s="345" t="s">
        <v>1401</v>
      </c>
      <c r="C48" s="1819">
        <f ca="1">C49+C53+C55</f>
        <v>0</v>
      </c>
      <c r="D48" s="1365"/>
      <c r="E48" s="1366"/>
      <c r="F48" s="1184"/>
      <c r="G48" s="792"/>
      <c r="H48" s="793"/>
      <c r="I48" s="1889" t="s">
        <v>1531</v>
      </c>
      <c r="J48" s="1890" t="s">
        <v>3157</v>
      </c>
      <c r="K48" s="1891" t="s">
        <v>1532</v>
      </c>
      <c r="L48" s="1892">
        <f ca="1">INDIRECT("'数据-取费表'!f"&amp;$G$1)</f>
        <v>26.87</v>
      </c>
      <c r="O48" s="1886" t="s">
        <v>1041</v>
      </c>
      <c r="P48" s="1887" t="s">
        <v>1533</v>
      </c>
      <c r="Q48" s="1888" t="str">
        <f ca="1">J60</f>
        <v>0</v>
      </c>
      <c r="R48" s="1888" t="s">
        <v>1534</v>
      </c>
    </row>
    <row r="49" spans="1:18" s="1844" customFormat="1" ht="13.5" thickBot="1">
      <c r="A49" s="1197" t="s">
        <v>1136</v>
      </c>
      <c r="B49" s="1831" t="s">
        <v>1491</v>
      </c>
      <c r="C49" s="1367">
        <f ca="1">ROUND(F49*F51*F50*(1-F52)/10000,0)</f>
        <v>0</v>
      </c>
      <c r="D49" s="1279" t="s">
        <v>3043</v>
      </c>
      <c r="E49" s="1832" t="s">
        <v>1492</v>
      </c>
      <c r="F49" s="1284"/>
      <c r="G49" s="1893"/>
      <c r="H49" s="793"/>
      <c r="I49" s="1889" t="s">
        <v>1535</v>
      </c>
      <c r="J49" s="1894">
        <v>2018</v>
      </c>
      <c r="K49" s="1891" t="s">
        <v>1536</v>
      </c>
      <c r="L49" s="1895"/>
      <c r="O49" s="1896" t="s">
        <v>1042</v>
      </c>
      <c r="P49" s="1887" t="s">
        <v>1537</v>
      </c>
      <c r="Q49" s="1888">
        <f ca="1">C29</f>
        <v>1471</v>
      </c>
      <c r="R49" s="1888" t="s">
        <v>1530</v>
      </c>
    </row>
    <row r="50" spans="1:18" s="1844" customFormat="1" ht="13.5" thickBot="1">
      <c r="A50" s="1198"/>
      <c r="B50" s="1201"/>
      <c r="C50" s="1371"/>
      <c r="D50" s="1175"/>
      <c r="E50" s="1280" t="s">
        <v>1406</v>
      </c>
      <c r="F50" s="1281">
        <f ca="1">F7</f>
        <v>3483.309999999999</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9"/>
      <c r="B51" s="1201"/>
      <c r="C51" s="1202"/>
      <c r="D51" s="1175"/>
      <c r="E51" s="1203" t="s">
        <v>1407</v>
      </c>
      <c r="F51" s="348">
        <f ca="1">F8</f>
        <v>365</v>
      </c>
      <c r="I51" s="1900" t="s">
        <v>1541</v>
      </c>
      <c r="J51" s="1901">
        <f>IF(J49="",J50,J49+J50-YEAR('数据-取费表'!B2))</f>
        <v>60</v>
      </c>
      <c r="K51" s="1902" t="s">
        <v>1542</v>
      </c>
      <c r="L51" s="1903">
        <f ca="1">ROUND(-PV(INDIRECT("'数据-取费表'!h"&amp;$G$1),L48,(C39-C13*C76),0),0)</f>
        <v>4130</v>
      </c>
      <c r="M51" s="1904"/>
      <c r="O51" s="1896" t="s">
        <v>1044</v>
      </c>
      <c r="P51" s="1887" t="s">
        <v>1543</v>
      </c>
      <c r="Q51" s="1899">
        <f>J52</f>
        <v>0</v>
      </c>
      <c r="R51" s="1888"/>
    </row>
    <row r="52" spans="1:18" s="1844" customFormat="1" ht="13.5" thickBot="1">
      <c r="A52" s="1199"/>
      <c r="B52" s="1201"/>
      <c r="C52" s="1202"/>
      <c r="D52" s="1175"/>
      <c r="E52" s="1203" t="s">
        <v>1408</v>
      </c>
      <c r="F52" s="1278"/>
      <c r="I52" s="1905" t="s">
        <v>1544</v>
      </c>
      <c r="J52" s="1906"/>
      <c r="K52" s="1905" t="s">
        <v>1545</v>
      </c>
      <c r="L52" s="1906"/>
      <c r="O52" s="1896" t="s">
        <v>1045</v>
      </c>
      <c r="P52" s="1887" t="s">
        <v>1546</v>
      </c>
      <c r="Q52" s="1888">
        <f ca="1">J53</f>
        <v>24.032</v>
      </c>
      <c r="R52" s="1888" t="s">
        <v>1547</v>
      </c>
    </row>
    <row r="53" spans="1:18" s="1844" customFormat="1" ht="24.75" thickBot="1">
      <c r="A53" s="1408" t="s">
        <v>1137</v>
      </c>
      <c r="B53" s="1833" t="s">
        <v>1409</v>
      </c>
      <c r="C53" s="361">
        <f ca="1">ROUND(IF(F53="押一",F49*F51*F50/12*F11,IF(F53="押二",F49*F51*F50/12*2*F11,IF(F53="押三",F49*F51*F50/12*3*F11,C54*F11)))/10000,0)</f>
        <v>0</v>
      </c>
      <c r="D53" s="1826" t="s">
        <v>3041</v>
      </c>
      <c r="E53" s="358" t="s">
        <v>1411</v>
      </c>
      <c r="F53" s="1369"/>
      <c r="I53" s="1907" t="s">
        <v>1548</v>
      </c>
      <c r="J53" s="1908">
        <f ca="1">IF(M47="住宅",J51,IF(D1="——",MIN(J51,L48),IF(D1="在建（套用方法）",MIN(J51,L48-'数据-取费表'!B24),IF(D1="土地（套用方法）",MIN(J51,L48-'数据-取费表'!B20)))))</f>
        <v>24.032</v>
      </c>
      <c r="K53" s="3223" t="s">
        <v>1549</v>
      </c>
      <c r="L53" s="3224"/>
      <c r="O53" s="1886" t="s">
        <v>1046</v>
      </c>
      <c r="P53" s="1887" t="s">
        <v>1550</v>
      </c>
      <c r="Q53" s="1888">
        <f ca="1">Q47+Q48</f>
        <v>7272</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6" t="s">
        <v>1075</v>
      </c>
      <c r="B55" s="1829" t="s">
        <v>1414</v>
      </c>
      <c r="C55" s="1337"/>
      <c r="D55" s="1826"/>
      <c r="E55" s="1834"/>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9">
        <v>2</v>
      </c>
      <c r="B56" s="1180" t="s">
        <v>1415</v>
      </c>
      <c r="C56" s="276">
        <f ca="1">C13</f>
        <v>1471</v>
      </c>
      <c r="D56" s="1916"/>
      <c r="E56" s="1917"/>
      <c r="F56" s="1909"/>
      <c r="I56" s="1918" t="s">
        <v>1555</v>
      </c>
      <c r="J56" s="1919" t="s">
        <v>3148</v>
      </c>
      <c r="K56" s="1889" t="s">
        <v>1556</v>
      </c>
      <c r="L56" s="1892" t="str">
        <f ca="1">IF(L48&lt;J51,"——",L48-J53)</f>
        <v>——</v>
      </c>
      <c r="O56" s="1886" t="s">
        <v>1040</v>
      </c>
      <c r="P56" s="1887" t="s">
        <v>1529</v>
      </c>
      <c r="Q56" s="1888">
        <f ca="1">C40+J29</f>
        <v>7272</v>
      </c>
      <c r="R56" s="1888" t="s">
        <v>1530</v>
      </c>
    </row>
    <row r="57" spans="1:18" s="1844" customFormat="1" ht="24.75" thickBot="1">
      <c r="A57" s="1920"/>
      <c r="B57" s="1172" t="s">
        <v>1479</v>
      </c>
      <c r="C57" s="282">
        <f ca="1">C29</f>
        <v>1471</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80" t="s">
        <v>1425</v>
      </c>
      <c r="C58" s="361">
        <f ca="1">ROUND(C59+C64+C65+C66,0)</f>
        <v>149</v>
      </c>
      <c r="D58" s="1182" t="s">
        <v>1426</v>
      </c>
      <c r="E58" s="1183"/>
      <c r="F58" s="1184"/>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ROUND(IF(项目基本情况!B11="自然人",C48*F59,C60+C61+C62),1)</f>
        <v>125</v>
      </c>
      <c r="D59" s="1185" t="s">
        <v>1431</v>
      </c>
      <c r="E59" s="1186"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IF(项目基本情况!B11="自然人","——",IF(D61="按租金收入计税",ROUND(C48*F61,2),IF(D61="按房产原值计税",ROUND(C57*F61*0.7,2),INDIRECT("'数据-取费表'!Aj"&amp;$G$1))))</f>
        <v>123.56</v>
      </c>
      <c r="D61" s="1830" t="s">
        <v>1439</v>
      </c>
      <c r="E61" s="1172" t="s">
        <v>1495</v>
      </c>
      <c r="F61" s="367">
        <f t="shared" si="0"/>
        <v>0.12</v>
      </c>
      <c r="I61" s="1930"/>
      <c r="J61" s="1930"/>
      <c r="K61" s="1930"/>
      <c r="L61" s="1930"/>
      <c r="O61" s="1896" t="s">
        <v>1045</v>
      </c>
      <c r="P61" s="1887" t="str">
        <f>K59</f>
        <v>续建工期及建筑物耐用年限下的土地年期修正系数Kn</v>
      </c>
      <c r="Q61" s="1888" t="e">
        <f ca="1">L59</f>
        <v>#DIV/0!</v>
      </c>
      <c r="R61" s="1888" t="s">
        <v>1570</v>
      </c>
    </row>
    <row r="62" spans="1:18" s="1844" customFormat="1" ht="13.5" thickBot="1">
      <c r="A62" s="1204" t="s">
        <v>1496</v>
      </c>
      <c r="B62" s="1171" t="s">
        <v>1497</v>
      </c>
      <c r="C62" s="25">
        <f ca="1">IF(项目基本情况!B11="自然人","——",ROUND(F62*F63/10000,2))</f>
        <v>1.4</v>
      </c>
      <c r="D62" s="1187" t="s">
        <v>1498</v>
      </c>
      <c r="E62" s="1172" t="s">
        <v>1499</v>
      </c>
      <c r="F62" s="371">
        <f t="shared" si="0"/>
        <v>6</v>
      </c>
      <c r="I62" s="1931" t="s">
        <v>1571</v>
      </c>
      <c r="J62" s="1932" t="s">
        <v>1572</v>
      </c>
      <c r="K62" s="1932" t="s">
        <v>1573</v>
      </c>
      <c r="L62" s="1932" t="s">
        <v>1574</v>
      </c>
      <c r="M62" s="1933" t="s">
        <v>1575</v>
      </c>
      <c r="O62" s="1886" t="s">
        <v>1046</v>
      </c>
      <c r="P62" s="1887" t="s">
        <v>1576</v>
      </c>
      <c r="Q62" s="1888">
        <f ca="1">Q56+Q57</f>
        <v>7272</v>
      </c>
      <c r="R62" s="1888" t="s">
        <v>1047</v>
      </c>
    </row>
    <row r="63" spans="1:18" s="1844" customFormat="1" ht="13.5" thickBot="1">
      <c r="A63" s="372"/>
      <c r="B63" s="1178"/>
      <c r="C63" s="29"/>
      <c r="D63" s="1188"/>
      <c r="E63" s="1172" t="s">
        <v>1500</v>
      </c>
      <c r="F63" s="348">
        <f t="shared" ca="1" si="0"/>
        <v>2333.5500000000002</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ROUND(C57*F64,1)</f>
        <v>22.1</v>
      </c>
      <c r="D64" s="1186" t="s">
        <v>1503</v>
      </c>
      <c r="E64" s="1172"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ROUND(C56*F65,1)</f>
        <v>2.2000000000000002</v>
      </c>
      <c r="D65" s="1186" t="s">
        <v>1455</v>
      </c>
      <c r="E65" s="1172" t="s">
        <v>1456</v>
      </c>
      <c r="F65" s="376">
        <f t="shared" ca="1" si="0"/>
        <v>1.5E-3</v>
      </c>
      <c r="I65" s="1931" t="s">
        <v>1580</v>
      </c>
      <c r="J65" s="1932">
        <v>40</v>
      </c>
      <c r="K65" s="1932">
        <v>30</v>
      </c>
      <c r="L65" s="1932">
        <v>50</v>
      </c>
      <c r="M65" s="1934">
        <v>0.02</v>
      </c>
      <c r="O65" s="1886" t="s">
        <v>1040</v>
      </c>
      <c r="P65" s="1887" t="s">
        <v>1581</v>
      </c>
      <c r="Q65" s="1888">
        <f ca="1">C40+J29</f>
        <v>7272</v>
      </c>
      <c r="R65" s="1888" t="s">
        <v>1530</v>
      </c>
    </row>
    <row r="66" spans="1:18" s="1844" customFormat="1" ht="16.5" thickBot="1">
      <c r="A66" s="1204" t="s">
        <v>1505</v>
      </c>
      <c r="B66" s="1172" t="s">
        <v>1440</v>
      </c>
      <c r="C66" s="24">
        <f ca="1">ROUND(C48*F66,1)</f>
        <v>0</v>
      </c>
      <c r="D66" s="1186" t="s">
        <v>1506</v>
      </c>
      <c r="E66" s="1172" t="s">
        <v>1423</v>
      </c>
      <c r="F66" s="357">
        <f t="shared" ca="1" si="0"/>
        <v>1.4999999999999999E-2</v>
      </c>
      <c r="O66" s="1886" t="s">
        <v>1041</v>
      </c>
      <c r="P66" s="1887" t="s">
        <v>1559</v>
      </c>
      <c r="Q66" s="1888">
        <f ca="1">L60</f>
        <v>0</v>
      </c>
      <c r="R66" s="1888" t="s">
        <v>1582</v>
      </c>
    </row>
    <row r="67" spans="1:18" s="1844" customFormat="1" ht="16.5" thickBot="1">
      <c r="A67" s="1179" t="s">
        <v>1031</v>
      </c>
      <c r="B67" s="1189" t="s">
        <v>1464</v>
      </c>
      <c r="C67" s="361">
        <f ca="1">C48-C58</f>
        <v>-149</v>
      </c>
      <c r="D67" s="1185" t="s">
        <v>1465</v>
      </c>
      <c r="E67" s="1190"/>
      <c r="F67" s="1191"/>
      <c r="O67" s="1896" t="s">
        <v>1042</v>
      </c>
      <c r="P67" s="1887" t="s">
        <v>1563</v>
      </c>
      <c r="Q67" s="1935">
        <f ca="1">L51</f>
        <v>4130</v>
      </c>
      <c r="R67" s="1888" t="s">
        <v>1583</v>
      </c>
    </row>
    <row r="68" spans="1:18" s="1844" customFormat="1" ht="16.5" thickBot="1">
      <c r="A68" s="1169" t="s">
        <v>1032</v>
      </c>
      <c r="B68" s="1170" t="s">
        <v>1486</v>
      </c>
      <c r="C68" s="346">
        <f ca="1">ROUND(C67*(1-((1+F70)/(1+F68))^F69)/(F68-F70),0)</f>
        <v>-2057</v>
      </c>
      <c r="D68" s="1187" t="s">
        <v>1470</v>
      </c>
      <c r="E68" s="1172" t="s">
        <v>1471</v>
      </c>
      <c r="F68" s="357">
        <f ca="1">F40</f>
        <v>0.05</v>
      </c>
      <c r="O68" s="1896" t="s">
        <v>1043</v>
      </c>
      <c r="P68" s="1936" t="s">
        <v>1584</v>
      </c>
      <c r="Q68" s="1888">
        <f ca="1">ROUND(Q69-Q70*Q71,0)</f>
        <v>268</v>
      </c>
      <c r="R68" s="1888" t="s">
        <v>1051</v>
      </c>
    </row>
    <row r="69" spans="1:18" s="1844" customFormat="1" ht="13.5" thickBot="1">
      <c r="A69" s="1173"/>
      <c r="B69" s="1174"/>
      <c r="C69" s="351"/>
      <c r="D69" s="1192" t="s">
        <v>1474</v>
      </c>
      <c r="E69" s="1172" t="s">
        <v>1475</v>
      </c>
      <c r="F69" s="379">
        <f ca="1">F41</f>
        <v>24.032</v>
      </c>
      <c r="O69" s="1896" t="s">
        <v>1048</v>
      </c>
      <c r="P69" s="1936" t="s">
        <v>1585</v>
      </c>
      <c r="Q69" s="1888">
        <f ca="1">C39</f>
        <v>393</v>
      </c>
      <c r="R69" s="1888" t="s">
        <v>1530</v>
      </c>
    </row>
    <row r="70" spans="1:18" s="1844" customFormat="1" ht="13.5" thickBot="1">
      <c r="A70" s="1176"/>
      <c r="B70" s="1177"/>
      <c r="C70" s="355"/>
      <c r="D70" s="1188"/>
      <c r="E70" s="1172" t="s">
        <v>1478</v>
      </c>
      <c r="F70" s="1278"/>
      <c r="O70" s="1896" t="s">
        <v>1049</v>
      </c>
      <c r="P70" s="1936" t="s">
        <v>1586</v>
      </c>
      <c r="Q70" s="1888">
        <f ca="1">C13</f>
        <v>1471</v>
      </c>
      <c r="R70" s="1888" t="s">
        <v>1530</v>
      </c>
    </row>
    <row r="71" spans="1:18" s="1844" customFormat="1" ht="13.5" thickBot="1">
      <c r="A71" s="1193" t="s">
        <v>1033</v>
      </c>
      <c r="B71" s="1194" t="s">
        <v>1488</v>
      </c>
      <c r="C71" s="382">
        <f ca="1">ROUND(C68*10000/F71,0)</f>
        <v>-5905</v>
      </c>
      <c r="D71" s="1195" t="s">
        <v>1489</v>
      </c>
      <c r="E71" s="1196" t="s">
        <v>1490</v>
      </c>
      <c r="F71" s="385">
        <f ca="1">F43</f>
        <v>3483.309999999999</v>
      </c>
      <c r="O71" s="1896" t="s">
        <v>1050</v>
      </c>
      <c r="P71" s="1936" t="s">
        <v>1587</v>
      </c>
      <c r="Q71" s="1899">
        <f ca="1">C76</f>
        <v>8.5000000000000006E-2</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续建工期及建筑物耐用年限下的土地年期修正系数Kn</v>
      </c>
      <c r="Q74" s="1888" t="e">
        <f ca="1">L59</f>
        <v>#DIV/0!</v>
      </c>
      <c r="R74" s="1888" t="s">
        <v>1570</v>
      </c>
    </row>
    <row r="75" spans="1:18" ht="13.5" thickBot="1">
      <c r="A75" s="1844"/>
      <c r="B75" s="386" t="s">
        <v>1507</v>
      </c>
      <c r="C75" s="387">
        <f ca="1">ROUND(C13*C76,0)</f>
        <v>125</v>
      </c>
      <c r="D75" s="1844"/>
      <c r="E75" s="1844"/>
      <c r="F75" s="1844"/>
      <c r="K75" s="1870"/>
      <c r="L75" s="1844"/>
      <c r="O75" s="1886" t="s">
        <v>1046</v>
      </c>
      <c r="P75" s="1887" t="s">
        <v>1550</v>
      </c>
      <c r="Q75" s="1888">
        <f ca="1">Q65+Q66</f>
        <v>7272</v>
      </c>
      <c r="R75" s="1888" t="s">
        <v>1047</v>
      </c>
    </row>
    <row r="76" spans="1:18">
      <c r="B76" s="388" t="s">
        <v>1508</v>
      </c>
      <c r="C76" s="389">
        <f ca="1">INDIRECT("'数据-取费表'!j"&amp;$G$1)</f>
        <v>8.5000000000000006E-2</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0.68199999999999994</v>
      </c>
    </row>
    <row r="80" spans="1:18">
      <c r="B80" s="386" t="s">
        <v>1512</v>
      </c>
      <c r="C80" s="318">
        <f ca="1">ROUND(C75/C39,3)</f>
        <v>0.318</v>
      </c>
    </row>
    <row r="81" spans="2:3">
      <c r="B81" s="314" t="s">
        <v>1513</v>
      </c>
      <c r="C81" s="282"/>
    </row>
    <row r="82" spans="2:3">
      <c r="B82" s="317" t="s">
        <v>1514</v>
      </c>
      <c r="C82" s="319">
        <f ca="1">1-C83</f>
        <v>0.79800000000000004</v>
      </c>
    </row>
    <row r="83" spans="2:3">
      <c r="B83" s="317" t="s">
        <v>1515</v>
      </c>
      <c r="C83" s="318">
        <f ca="1">ROUND(C13/C40,3)</f>
        <v>0.20200000000000001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9" priority="56">
      <formula>$L$48&gt;$J$51</formula>
    </cfRule>
  </conditionalFormatting>
  <conditionalFormatting sqref="I55 I60">
    <cfRule type="expression" dxfId="98" priority="57">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582" t="s">
        <v>2646</v>
      </c>
      <c r="C1" s="1636" t="s">
        <v>2534</v>
      </c>
      <c r="D1" s="1623"/>
      <c r="E1" s="2654"/>
      <c r="F1" s="2584"/>
      <c r="G1" s="1633" t="s">
        <v>2647</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2334</v>
      </c>
      <c r="B2" s="1421" t="e">
        <f ca="1">IF(C2="——",ROUND(C49*D3/10000,0),ROUND(C49*D3/10000,0)-D2)</f>
        <v>#DIV/0!</v>
      </c>
      <c r="C2" s="2586"/>
      <c r="D2" s="1368" t="e">
        <f ca="1">SUMIF(INDIRECT("'"&amp;F2&amp;"'"&amp;"!A:A"),"承租人权益价值",INDIRECT("'"&amp;F2&amp;"'"&amp;"!c:c"))</f>
        <v>#REF!</v>
      </c>
      <c r="E2" s="2587" t="s">
        <v>2335</v>
      </c>
      <c r="F2" s="2588"/>
      <c r="G2" s="1128"/>
      <c r="H2" s="1128"/>
      <c r="I2" s="1128"/>
      <c r="J2" s="1128"/>
      <c r="K2" s="1128"/>
      <c r="L2" s="1131"/>
      <c r="M2" s="1132"/>
      <c r="N2" s="1132"/>
      <c r="O2" s="1132"/>
      <c r="P2" s="2658"/>
      <c r="Q2" s="1132"/>
      <c r="R2" s="1132"/>
      <c r="S2" s="1132"/>
      <c r="T2" s="1132"/>
      <c r="U2" s="1132"/>
      <c r="V2" s="1132"/>
      <c r="W2" s="1132"/>
      <c r="X2" s="1132"/>
      <c r="Y2" s="1132"/>
      <c r="Z2" s="1132"/>
      <c r="AA2" s="1132"/>
      <c r="AB2" s="1132"/>
      <c r="AC2" s="2659"/>
    </row>
    <row r="3" spans="1:29" s="398" customFormat="1" ht="28.5" customHeight="1" thickBot="1">
      <c r="A3" s="247" t="s">
        <v>2336</v>
      </c>
      <c r="B3" s="609" t="e">
        <f ca="1">IF(C2="——",C49,ROUND(B2*10000/D3,0))</f>
        <v>#DIV/0!</v>
      </c>
      <c r="C3" s="400" t="s">
        <v>2648</v>
      </c>
      <c r="D3" s="399">
        <f>IF(D1="",'数据-汇总表'!E3,SUMIF('数据-汇总表'!$C19:$C33,D1,'数据-汇总表'!$E19:$E33))</f>
        <v>296702.55000000005</v>
      </c>
      <c r="E3" s="2660"/>
      <c r="F3" s="1129"/>
      <c r="G3" s="1128"/>
      <c r="H3" s="1128"/>
      <c r="I3" s="1128"/>
      <c r="J3" s="1128"/>
      <c r="K3" s="1130"/>
      <c r="L3" s="1131"/>
      <c r="M3" s="1132"/>
      <c r="N3" s="1132"/>
      <c r="O3" s="1132"/>
      <c r="P3" s="2658"/>
      <c r="Q3" s="1132"/>
      <c r="R3" s="1132"/>
      <c r="S3" s="1132"/>
      <c r="T3" s="1132"/>
      <c r="U3" s="1132"/>
      <c r="V3" s="1132"/>
      <c r="W3" s="1132"/>
      <c r="X3" s="1132"/>
      <c r="Y3" s="1132"/>
      <c r="Z3" s="1132"/>
      <c r="AA3" s="1132"/>
      <c r="AB3" s="1132"/>
      <c r="AC3" s="2660"/>
    </row>
    <row r="4" spans="1:29" ht="15">
      <c r="A4" s="401" t="s">
        <v>2649</v>
      </c>
      <c r="B4" s="402"/>
      <c r="C4" s="3195" t="s">
        <v>2650</v>
      </c>
      <c r="D4" s="3196"/>
      <c r="E4" s="3197" t="s">
        <v>2651</v>
      </c>
      <c r="F4" s="3198"/>
      <c r="G4" s="3195" t="s">
        <v>2652</v>
      </c>
      <c r="H4" s="3196"/>
      <c r="I4" s="3195" t="s">
        <v>2653</v>
      </c>
      <c r="J4" s="3196"/>
      <c r="K4" s="610" t="s">
        <v>2654</v>
      </c>
      <c r="L4" s="1133"/>
      <c r="M4" s="1134"/>
      <c r="N4" s="1134"/>
      <c r="O4" s="1134"/>
      <c r="P4" s="3199" t="s">
        <v>2655</v>
      </c>
      <c r="Q4" s="3200"/>
      <c r="R4" s="3182" t="s">
        <v>2651</v>
      </c>
      <c r="S4" s="3183"/>
      <c r="T4" s="3182" t="s">
        <v>2652</v>
      </c>
      <c r="U4" s="3183"/>
      <c r="V4" s="3207" t="s">
        <v>2653</v>
      </c>
      <c r="W4" s="3207"/>
      <c r="X4" s="1815"/>
      <c r="Y4" s="3182" t="s">
        <v>2655</v>
      </c>
      <c r="Z4" s="3183"/>
      <c r="AA4" s="3177" t="s">
        <v>2651</v>
      </c>
      <c r="AB4" s="3207" t="s">
        <v>2652</v>
      </c>
      <c r="AC4" s="3177" t="s">
        <v>2653</v>
      </c>
    </row>
    <row r="5" spans="1:29" ht="15">
      <c r="A5" s="404"/>
      <c r="B5" s="405"/>
      <c r="C5" s="3188" t="s">
        <v>2546</v>
      </c>
      <c r="D5" s="3189"/>
      <c r="E5" s="3186" t="s">
        <v>2547</v>
      </c>
      <c r="F5" s="3187"/>
      <c r="G5" s="3188" t="s">
        <v>2548</v>
      </c>
      <c r="H5" s="3189"/>
      <c r="I5" s="3188" t="s">
        <v>2549</v>
      </c>
      <c r="J5" s="3189"/>
      <c r="K5" s="610"/>
      <c r="L5" s="1133"/>
      <c r="M5" s="1134"/>
      <c r="N5" s="1134"/>
      <c r="O5" s="1134"/>
      <c r="P5" s="3201"/>
      <c r="Q5" s="3202"/>
      <c r="R5" s="3184"/>
      <c r="S5" s="3185"/>
      <c r="T5" s="3184"/>
      <c r="U5" s="3185"/>
      <c r="V5" s="3207"/>
      <c r="W5" s="3207"/>
      <c r="X5" s="1815"/>
      <c r="Y5" s="3184"/>
      <c r="Z5" s="3185"/>
      <c r="AA5" s="3178"/>
      <c r="AB5" s="3207"/>
      <c r="AC5" s="3178"/>
    </row>
    <row r="6" spans="1:29" ht="15.75" thickBot="1">
      <c r="A6" s="406"/>
      <c r="B6" s="407"/>
      <c r="C6" s="3190" t="s">
        <v>2550</v>
      </c>
      <c r="D6" s="3191"/>
      <c r="E6" s="3192" t="s">
        <v>2550</v>
      </c>
      <c r="F6" s="3193"/>
      <c r="G6" s="3190" t="s">
        <v>2550</v>
      </c>
      <c r="H6" s="3191"/>
      <c r="I6" s="3190" t="s">
        <v>2550</v>
      </c>
      <c r="J6" s="3191"/>
      <c r="K6" s="610" t="s">
        <v>2551</v>
      </c>
      <c r="L6" s="1133"/>
      <c r="M6" s="1134"/>
      <c r="N6" s="1134"/>
      <c r="O6" s="1134"/>
      <c r="P6" s="3203"/>
      <c r="Q6" s="3204"/>
      <c r="R6" s="3184"/>
      <c r="S6" s="3185"/>
      <c r="T6" s="3205"/>
      <c r="U6" s="3206"/>
      <c r="V6" s="3207"/>
      <c r="W6" s="3207"/>
      <c r="X6" s="1815"/>
      <c r="Y6" s="3205"/>
      <c r="Z6" s="3206"/>
      <c r="AA6" s="3179"/>
      <c r="AB6" s="3207"/>
      <c r="AC6" s="3179"/>
    </row>
    <row r="7" spans="1:29" s="117" customFormat="1" ht="15.75" thickBot="1">
      <c r="A7" s="408" t="s">
        <v>2552</v>
      </c>
      <c r="B7" s="409"/>
      <c r="C7" s="410">
        <f>'数据-取费表'!B2</f>
        <v>43186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0" t="s">
        <v>2553</v>
      </c>
      <c r="Q7" s="3208"/>
      <c r="R7" s="770" t="s">
        <v>17</v>
      </c>
      <c r="S7" s="771">
        <f t="shared" ref="S7:S15" si="0">F7</f>
        <v>0</v>
      </c>
      <c r="T7" s="770" t="s">
        <v>17</v>
      </c>
      <c r="U7" s="771">
        <f t="shared" ref="U7:U15" si="1">H7</f>
        <v>0</v>
      </c>
      <c r="V7" s="770" t="s">
        <v>17</v>
      </c>
      <c r="W7" s="771">
        <f t="shared" ref="W7:W15" si="2">J7</f>
        <v>0</v>
      </c>
      <c r="X7" s="772"/>
      <c r="Y7" s="3180" t="s">
        <v>2553</v>
      </c>
      <c r="Z7" s="3181"/>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0" t="s">
        <v>2556</v>
      </c>
      <c r="Q8" s="3181"/>
      <c r="R8" s="770" t="s">
        <v>17</v>
      </c>
      <c r="S8" s="771">
        <f t="shared" si="0"/>
        <v>0</v>
      </c>
      <c r="T8" s="770" t="s">
        <v>17</v>
      </c>
      <c r="U8" s="771">
        <f t="shared" si="1"/>
        <v>0</v>
      </c>
      <c r="V8" s="770" t="s">
        <v>17</v>
      </c>
      <c r="W8" s="771">
        <f t="shared" si="2"/>
        <v>0</v>
      </c>
      <c r="X8" s="772"/>
      <c r="Y8" s="3180" t="s">
        <v>2556</v>
      </c>
      <c r="Z8" s="3181"/>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8" t="s">
        <v>2559</v>
      </c>
      <c r="Q9" s="1797" t="str">
        <f t="shared" ref="Q9:Q15" si="6">B9</f>
        <v>用途</v>
      </c>
      <c r="R9" s="770" t="s">
        <v>17</v>
      </c>
      <c r="S9" s="771">
        <f t="shared" si="0"/>
        <v>100</v>
      </c>
      <c r="T9" s="770" t="s">
        <v>17</v>
      </c>
      <c r="U9" s="771">
        <f t="shared" si="1"/>
        <v>100</v>
      </c>
      <c r="V9" s="770" t="s">
        <v>17</v>
      </c>
      <c r="W9" s="771">
        <f t="shared" si="2"/>
        <v>100</v>
      </c>
      <c r="X9" s="772"/>
      <c r="Y9" s="3040"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8"/>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8"/>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8"/>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8"/>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8"/>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71.25">
      <c r="A15" s="440" t="s">
        <v>2563</v>
      </c>
      <c r="B15" s="69" t="s">
        <v>2657</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6" t="s">
        <v>2564</v>
      </c>
      <c r="Q15" s="1812" t="str">
        <f t="shared" si="6"/>
        <v>商业繁华度</v>
      </c>
      <c r="R15" s="774" t="s">
        <v>17</v>
      </c>
      <c r="S15" s="775">
        <f t="shared" si="0"/>
        <v>100</v>
      </c>
      <c r="T15" s="774" t="s">
        <v>17</v>
      </c>
      <c r="U15" s="775">
        <f t="shared" si="1"/>
        <v>100</v>
      </c>
      <c r="V15" s="774" t="s">
        <v>17</v>
      </c>
      <c r="W15" s="775">
        <f t="shared" si="2"/>
        <v>100</v>
      </c>
      <c r="X15" s="1815"/>
      <c r="Y15" s="3209" t="s">
        <v>2564</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57"/>
      <c r="Q16" s="1812"/>
      <c r="R16" s="774"/>
      <c r="S16" s="775"/>
      <c r="T16" s="774"/>
      <c r="U16" s="775"/>
      <c r="V16" s="774"/>
      <c r="W16" s="775"/>
      <c r="X16" s="1815"/>
      <c r="Y16" s="3210"/>
      <c r="Z16" s="1816"/>
      <c r="AA16" s="1813">
        <v>1</v>
      </c>
      <c r="AB16" s="1813">
        <v>1</v>
      </c>
      <c r="AC16" s="1813">
        <v>1</v>
      </c>
    </row>
    <row r="17" spans="1:29" ht="85.5">
      <c r="A17" s="428"/>
      <c r="B17" s="451" t="s">
        <v>2102</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7"/>
      <c r="Q17" s="1812" t="str">
        <f>B17</f>
        <v>交通便捷度</v>
      </c>
      <c r="R17" s="774" t="s">
        <v>17</v>
      </c>
      <c r="S17" s="775">
        <f>F17</f>
        <v>100</v>
      </c>
      <c r="T17" s="774" t="s">
        <v>17</v>
      </c>
      <c r="U17" s="775">
        <f>H17</f>
        <v>100</v>
      </c>
      <c r="V17" s="774" t="s">
        <v>17</v>
      </c>
      <c r="W17" s="775">
        <f>J17</f>
        <v>100</v>
      </c>
      <c r="X17" s="1815"/>
      <c r="Y17" s="3210"/>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3"/>
      <c r="M18" s="1134"/>
      <c r="N18" s="1134"/>
      <c r="O18" s="1134"/>
      <c r="P18" s="3257"/>
      <c r="Q18" s="1812"/>
      <c r="R18" s="774"/>
      <c r="S18" s="775"/>
      <c r="T18" s="774"/>
      <c r="U18" s="775"/>
      <c r="V18" s="774"/>
      <c r="W18" s="775"/>
      <c r="X18" s="1815"/>
      <c r="Y18" s="3210"/>
      <c r="Z18" s="1816"/>
      <c r="AA18" s="1813">
        <v>1</v>
      </c>
      <c r="AB18" s="1813">
        <v>1</v>
      </c>
      <c r="AC18" s="1813">
        <v>1</v>
      </c>
    </row>
    <row r="19" spans="1:29" ht="42.75">
      <c r="A19" s="428"/>
      <c r="B19" s="451" t="s">
        <v>2658</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7"/>
      <c r="Q19" s="1812" t="str">
        <f>B19</f>
        <v>公共配套设施</v>
      </c>
      <c r="R19" s="774" t="s">
        <v>17</v>
      </c>
      <c r="S19" s="775">
        <f>F19</f>
        <v>100</v>
      </c>
      <c r="T19" s="774" t="s">
        <v>17</v>
      </c>
      <c r="U19" s="775">
        <f>H19</f>
        <v>100</v>
      </c>
      <c r="V19" s="774" t="s">
        <v>17</v>
      </c>
      <c r="W19" s="775">
        <f>J19</f>
        <v>100</v>
      </c>
      <c r="X19" s="1815"/>
      <c r="Y19" s="3210"/>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3"/>
      <c r="M20" s="1134"/>
      <c r="N20" s="1134"/>
      <c r="O20" s="1134"/>
      <c r="P20" s="3257"/>
      <c r="Q20" s="1812"/>
      <c r="R20" s="774"/>
      <c r="S20" s="775"/>
      <c r="T20" s="774"/>
      <c r="U20" s="775"/>
      <c r="V20" s="774"/>
      <c r="W20" s="775"/>
      <c r="X20" s="1815"/>
      <c r="Y20" s="3210"/>
      <c r="Z20" s="1816"/>
      <c r="AA20" s="1813">
        <v>1</v>
      </c>
      <c r="AB20" s="1813">
        <v>1</v>
      </c>
      <c r="AC20" s="1813">
        <v>1</v>
      </c>
    </row>
    <row r="21" spans="1:29" ht="28.5">
      <c r="A21" s="428"/>
      <c r="B21" s="1387" t="s">
        <v>2659</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7"/>
      <c r="Q21" s="1812" t="str">
        <f>B21</f>
        <v>基础设施水平</v>
      </c>
      <c r="R21" s="774" t="s">
        <v>17</v>
      </c>
      <c r="S21" s="775">
        <f>F21</f>
        <v>100</v>
      </c>
      <c r="T21" s="774" t="s">
        <v>17</v>
      </c>
      <c r="U21" s="775">
        <f>H21</f>
        <v>100</v>
      </c>
      <c r="V21" s="774" t="s">
        <v>17</v>
      </c>
      <c r="W21" s="775">
        <f>J21</f>
        <v>100</v>
      </c>
      <c r="X21" s="1815"/>
      <c r="Y21" s="3210"/>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9"/>
      <c r="G22" s="447"/>
      <c r="H22" s="448"/>
      <c r="I22" s="447"/>
      <c r="J22" s="448"/>
      <c r="K22" s="1386"/>
      <c r="L22" s="1143"/>
      <c r="M22" s="1134"/>
      <c r="N22" s="1134"/>
      <c r="O22" s="1134"/>
      <c r="P22" s="3257"/>
      <c r="Q22" s="1812"/>
      <c r="R22" s="774"/>
      <c r="S22" s="775"/>
      <c r="T22" s="774"/>
      <c r="U22" s="775"/>
      <c r="V22" s="774"/>
      <c r="W22" s="775"/>
      <c r="X22" s="1815"/>
      <c r="Y22" s="3210"/>
      <c r="Z22" s="1816"/>
      <c r="AA22" s="1813">
        <v>1</v>
      </c>
      <c r="AB22" s="1813">
        <v>1</v>
      </c>
      <c r="AC22" s="1813">
        <v>1</v>
      </c>
    </row>
    <row r="23" spans="1:29" ht="57">
      <c r="A23" s="428"/>
      <c r="B23" s="451" t="s">
        <v>2107</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7"/>
      <c r="Q23" s="1812" t="str">
        <f>B23</f>
        <v>自然及人文环境</v>
      </c>
      <c r="R23" s="774" t="s">
        <v>17</v>
      </c>
      <c r="S23" s="775">
        <f>F23</f>
        <v>100</v>
      </c>
      <c r="T23" s="774" t="s">
        <v>17</v>
      </c>
      <c r="U23" s="775">
        <f>H23</f>
        <v>100</v>
      </c>
      <c r="V23" s="774" t="s">
        <v>17</v>
      </c>
      <c r="W23" s="775">
        <f>J23</f>
        <v>100</v>
      </c>
      <c r="X23" s="1815"/>
      <c r="Y23" s="3210"/>
      <c r="Z23" s="1816" t="str">
        <f>Q23</f>
        <v>自然及人文环境</v>
      </c>
      <c r="AA23" s="1813">
        <f t="shared" si="3"/>
        <v>1</v>
      </c>
      <c r="AB23" s="1813">
        <f t="shared" si="4"/>
        <v>1</v>
      </c>
      <c r="AC23" s="1813">
        <f t="shared" si="5"/>
        <v>1</v>
      </c>
    </row>
    <row r="24" spans="1:29" ht="15">
      <c r="A24" s="428"/>
      <c r="B24" s="456"/>
      <c r="C24" s="447"/>
      <c r="D24" s="448"/>
      <c r="E24" s="2604"/>
      <c r="F24" s="449"/>
      <c r="G24" s="2603"/>
      <c r="H24" s="448"/>
      <c r="I24" s="2604"/>
      <c r="J24" s="448"/>
      <c r="K24" s="615"/>
      <c r="L24" s="1143"/>
      <c r="M24" s="1134"/>
      <c r="N24" s="1134"/>
      <c r="O24" s="1134"/>
      <c r="P24" s="3257"/>
      <c r="Q24" s="1812"/>
      <c r="R24" s="774"/>
      <c r="S24" s="775"/>
      <c r="T24" s="774"/>
      <c r="U24" s="775"/>
      <c r="V24" s="774"/>
      <c r="W24" s="775"/>
      <c r="X24" s="1815"/>
      <c r="Y24" s="3210"/>
      <c r="Z24" s="1816"/>
      <c r="AA24" s="1813">
        <v>1</v>
      </c>
      <c r="AB24" s="1813">
        <v>1</v>
      </c>
      <c r="AC24" s="1813">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7"/>
      <c r="Q25" s="1812" t="str">
        <f t="shared" ref="Q25:Q46" si="11">B25</f>
        <v>临街状况</v>
      </c>
      <c r="R25" s="774" t="s">
        <v>17</v>
      </c>
      <c r="S25" s="775">
        <f>F25</f>
        <v>100</v>
      </c>
      <c r="T25" s="774" t="s">
        <v>17</v>
      </c>
      <c r="U25" s="775">
        <f>H25</f>
        <v>100</v>
      </c>
      <c r="V25" s="774" t="s">
        <v>17</v>
      </c>
      <c r="W25" s="775">
        <f>J25</f>
        <v>100</v>
      </c>
      <c r="X25" s="1815"/>
      <c r="Y25" s="3210"/>
      <c r="Z25" s="1816" t="str">
        <f>Q25</f>
        <v>临街状况</v>
      </c>
      <c r="AA25" s="1813">
        <f t="shared" si="3"/>
        <v>1</v>
      </c>
      <c r="AB25" s="1813">
        <f t="shared" si="4"/>
        <v>1</v>
      </c>
      <c r="AC25" s="1813">
        <f t="shared" si="5"/>
        <v>1</v>
      </c>
    </row>
    <row r="26" spans="1:29" ht="15">
      <c r="A26" s="428"/>
      <c r="B26" s="1389" t="s">
        <v>2661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7"/>
      <c r="Q26" s="1812" t="str">
        <f t="shared" si="11"/>
        <v>平面位置/可视性</v>
      </c>
      <c r="R26" s="774" t="s">
        <v>17</v>
      </c>
      <c r="S26" s="775">
        <f>F26</f>
        <v>100</v>
      </c>
      <c r="T26" s="774" t="s">
        <v>17</v>
      </c>
      <c r="U26" s="775">
        <f>H26</f>
        <v>100</v>
      </c>
      <c r="V26" s="774" t="s">
        <v>17</v>
      </c>
      <c r="W26" s="775">
        <f>J26</f>
        <v>100</v>
      </c>
      <c r="X26" s="1815"/>
      <c r="Y26" s="3210"/>
      <c r="Z26" s="1816" t="str">
        <f>Q26</f>
        <v>平面位置/可视性</v>
      </c>
      <c r="AA26" s="1813">
        <f t="shared" si="3"/>
        <v>1</v>
      </c>
      <c r="AB26" s="1813">
        <f t="shared" si="4"/>
        <v>1</v>
      </c>
      <c r="AC26" s="1813">
        <f t="shared" si="5"/>
        <v>1</v>
      </c>
    </row>
    <row r="27" spans="1:29" s="117" customFormat="1" ht="15">
      <c r="A27" s="431"/>
      <c r="B27" s="451" t="s">
        <v>2662</v>
      </c>
      <c r="C27" s="2662"/>
      <c r="D27" s="462">
        <v>100</v>
      </c>
      <c r="E27" s="2662"/>
      <c r="F27" s="464">
        <f>SUMIF(90:90,E27,91:91)-SUMIF(90:90,C27,91:91)+100</f>
        <v>100</v>
      </c>
      <c r="G27" s="2662"/>
      <c r="H27" s="462">
        <f>SUMIF(90:90,G27,91:91)-SUMIF(90:90,C27,91:91)+100</f>
        <v>100</v>
      </c>
      <c r="I27" s="2662"/>
      <c r="J27" s="462">
        <f>SUMIF(90:90,I27,91:91)-SUMIF(90:90,C27,91:91)+100</f>
        <v>100</v>
      </c>
      <c r="K27" s="612"/>
      <c r="L27" s="1135"/>
      <c r="M27" s="1136"/>
      <c r="N27" s="1136"/>
      <c r="O27" s="1136"/>
      <c r="P27" s="3257"/>
      <c r="Q27" s="1797" t="str">
        <f t="shared" si="11"/>
        <v>人流量</v>
      </c>
      <c r="R27" s="770" t="s">
        <v>17</v>
      </c>
      <c r="S27" s="771">
        <f>F27</f>
        <v>100</v>
      </c>
      <c r="T27" s="770" t="s">
        <v>17</v>
      </c>
      <c r="U27" s="771">
        <f>H27</f>
        <v>100</v>
      </c>
      <c r="V27" s="770" t="s">
        <v>17</v>
      </c>
      <c r="W27" s="771">
        <f>J27</f>
        <v>100</v>
      </c>
      <c r="X27" s="772"/>
      <c r="Y27" s="3210"/>
      <c r="Z27" s="55" t="str">
        <f>Q27</f>
        <v>人流量</v>
      </c>
      <c r="AA27" s="1813">
        <f>D27/F27</f>
        <v>1</v>
      </c>
      <c r="AB27" s="1813">
        <f>D27/H27</f>
        <v>1</v>
      </c>
      <c r="AC27" s="1813">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7"/>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10"/>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7"/>
      <c r="Q29" s="1812">
        <f t="shared" si="11"/>
        <v>111</v>
      </c>
      <c r="R29" s="774" t="s">
        <v>17</v>
      </c>
      <c r="S29" s="775">
        <f t="shared" si="12"/>
        <v>100</v>
      </c>
      <c r="T29" s="774" t="s">
        <v>17</v>
      </c>
      <c r="U29" s="775">
        <f t="shared" si="13"/>
        <v>100</v>
      </c>
      <c r="V29" s="774" t="s">
        <v>17</v>
      </c>
      <c r="W29" s="775">
        <f t="shared" si="14"/>
        <v>100</v>
      </c>
      <c r="X29" s="1815"/>
      <c r="Y29" s="3210"/>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7"/>
      <c r="Q30" s="1812">
        <f t="shared" si="11"/>
        <v>111</v>
      </c>
      <c r="R30" s="774" t="s">
        <v>17</v>
      </c>
      <c r="S30" s="775">
        <f t="shared" si="12"/>
        <v>100</v>
      </c>
      <c r="T30" s="774" t="s">
        <v>17</v>
      </c>
      <c r="U30" s="775">
        <f t="shared" si="13"/>
        <v>100</v>
      </c>
      <c r="V30" s="774" t="s">
        <v>17</v>
      </c>
      <c r="W30" s="775">
        <f t="shared" si="14"/>
        <v>100</v>
      </c>
      <c r="X30" s="1815"/>
      <c r="Y30" s="3210"/>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7"/>
      <c r="Q31" s="1812">
        <f t="shared" si="11"/>
        <v>111</v>
      </c>
      <c r="R31" s="774" t="s">
        <v>17</v>
      </c>
      <c r="S31" s="775">
        <f t="shared" si="12"/>
        <v>100</v>
      </c>
      <c r="T31" s="774" t="s">
        <v>17</v>
      </c>
      <c r="U31" s="775">
        <f t="shared" si="13"/>
        <v>100</v>
      </c>
      <c r="V31" s="774" t="s">
        <v>17</v>
      </c>
      <c r="W31" s="775">
        <f t="shared" si="14"/>
        <v>100</v>
      </c>
      <c r="X31" s="1815"/>
      <c r="Y31" s="3210"/>
      <c r="Z31" s="1816">
        <f t="shared" si="15"/>
        <v>111</v>
      </c>
      <c r="AA31" s="1813">
        <f t="shared" si="3"/>
        <v>1</v>
      </c>
      <c r="AB31" s="1813">
        <f t="shared" si="4"/>
        <v>1</v>
      </c>
      <c r="AC31" s="1813">
        <f t="shared" si="5"/>
        <v>1</v>
      </c>
    </row>
    <row r="32" spans="1:29" ht="15">
      <c r="A32" s="440" t="s">
        <v>2567</v>
      </c>
      <c r="B32" s="71" t="s">
        <v>2664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252" t="s">
        <v>2569</v>
      </c>
      <c r="Q32" s="1812" t="str">
        <f t="shared" si="11"/>
        <v>商业类型</v>
      </c>
      <c r="R32" s="774" t="s">
        <v>17</v>
      </c>
      <c r="S32" s="775">
        <f t="shared" si="12"/>
        <v>100</v>
      </c>
      <c r="T32" s="774" t="s">
        <v>17</v>
      </c>
      <c r="U32" s="775">
        <f t="shared" si="13"/>
        <v>100</v>
      </c>
      <c r="V32" s="774" t="s">
        <v>17</v>
      </c>
      <c r="W32" s="775">
        <f t="shared" si="14"/>
        <v>100</v>
      </c>
      <c r="X32" s="1815"/>
      <c r="Y32" s="3212" t="s">
        <v>2569</v>
      </c>
      <c r="Z32" s="1816" t="str">
        <f t="shared" si="15"/>
        <v>商业类型</v>
      </c>
      <c r="AA32" s="1813">
        <f t="shared" si="3"/>
        <v>1</v>
      </c>
      <c r="AB32" s="1813">
        <f t="shared" si="4"/>
        <v>1</v>
      </c>
      <c r="AC32" s="1813">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3"/>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13" t="e">
        <f t="shared" si="3"/>
        <v>#N/A</v>
      </c>
      <c r="AB33" s="1813" t="e">
        <f t="shared" si="4"/>
        <v>#N/A</v>
      </c>
      <c r="AC33" s="1813" t="e">
        <f t="shared" si="5"/>
        <v>#N/A</v>
      </c>
    </row>
    <row r="34" spans="1:29" ht="15">
      <c r="A34" s="472"/>
      <c r="B34" s="422" t="s">
        <v>2571</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3"/>
      <c r="M34" s="1134"/>
      <c r="N34" s="1134"/>
      <c r="O34" s="1134"/>
      <c r="P34" s="3253"/>
      <c r="Q34" s="1812" t="str">
        <f t="shared" si="11"/>
        <v>建筑结构</v>
      </c>
      <c r="R34" s="774" t="s">
        <v>17</v>
      </c>
      <c r="S34" s="775">
        <f t="shared" si="12"/>
        <v>100</v>
      </c>
      <c r="T34" s="774" t="s">
        <v>17</v>
      </c>
      <c r="U34" s="775">
        <f t="shared" si="13"/>
        <v>100</v>
      </c>
      <c r="V34" s="774" t="s">
        <v>17</v>
      </c>
      <c r="W34" s="775">
        <f t="shared" si="14"/>
        <v>100</v>
      </c>
      <c r="X34" s="1815"/>
      <c r="Y34" s="3212"/>
      <c r="Z34" s="1816" t="str">
        <f t="shared" si="15"/>
        <v>建筑结构</v>
      </c>
      <c r="AA34" s="1813">
        <f t="shared" si="3"/>
        <v>1</v>
      </c>
      <c r="AB34" s="1813">
        <f t="shared" si="4"/>
        <v>1</v>
      </c>
      <c r="AC34" s="1813">
        <f t="shared" si="5"/>
        <v>1</v>
      </c>
    </row>
    <row r="35" spans="1:29" ht="15">
      <c r="A35" s="472"/>
      <c r="B35" s="422" t="s">
        <v>2665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253"/>
      <c r="Q35" s="1812" t="str">
        <f t="shared" si="11"/>
        <v>公共部分装修</v>
      </c>
      <c r="R35" s="774" t="s">
        <v>17</v>
      </c>
      <c r="S35" s="775">
        <f t="shared" si="12"/>
        <v>100</v>
      </c>
      <c r="T35" s="774" t="s">
        <v>17</v>
      </c>
      <c r="U35" s="775">
        <f t="shared" si="13"/>
        <v>100</v>
      </c>
      <c r="V35" s="774" t="s">
        <v>17</v>
      </c>
      <c r="W35" s="775">
        <f t="shared" si="14"/>
        <v>100</v>
      </c>
      <c r="X35" s="1815"/>
      <c r="Y35" s="3212"/>
      <c r="Z35" s="1816" t="str">
        <f t="shared" si="15"/>
        <v>公共部分装修</v>
      </c>
      <c r="AA35" s="1813">
        <f t="shared" si="3"/>
        <v>1</v>
      </c>
      <c r="AB35" s="1813">
        <f t="shared" si="4"/>
        <v>1</v>
      </c>
      <c r="AC35" s="1813">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3"/>
      <c r="Q36" s="1812" t="str">
        <f t="shared" si="11"/>
        <v>成新度</v>
      </c>
      <c r="R36" s="774" t="s">
        <v>17</v>
      </c>
      <c r="S36" s="775" t="e">
        <f t="shared" si="12"/>
        <v>#N/A</v>
      </c>
      <c r="T36" s="774" t="s">
        <v>17</v>
      </c>
      <c r="U36" s="775" t="e">
        <f t="shared" si="13"/>
        <v>#N/A</v>
      </c>
      <c r="V36" s="774" t="s">
        <v>17</v>
      </c>
      <c r="W36" s="775" t="e">
        <f t="shared" si="14"/>
        <v>#N/A</v>
      </c>
      <c r="X36" s="1815"/>
      <c r="Y36" s="3212"/>
      <c r="Z36" s="1816" t="str">
        <f t="shared" si="15"/>
        <v>成新度</v>
      </c>
      <c r="AA36" s="1813" t="e">
        <f t="shared" si="3"/>
        <v>#N/A</v>
      </c>
      <c r="AB36" s="1813" t="e">
        <f t="shared" si="4"/>
        <v>#N/A</v>
      </c>
      <c r="AC36" s="1813" t="e">
        <f t="shared" si="5"/>
        <v>#N/A</v>
      </c>
    </row>
    <row r="37" spans="1:29" s="117" customFormat="1" ht="15">
      <c r="A37" s="473"/>
      <c r="B37" s="422" t="s">
        <v>2667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253"/>
      <c r="Q37" s="1797"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2668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253" t="s">
        <v>2569</v>
      </c>
      <c r="Q38" s="1812" t="str">
        <f t="shared" si="11"/>
        <v>业态</v>
      </c>
      <c r="R38" s="774" t="s">
        <v>17</v>
      </c>
      <c r="S38" s="775">
        <f t="shared" si="12"/>
        <v>100</v>
      </c>
      <c r="T38" s="774" t="s">
        <v>17</v>
      </c>
      <c r="U38" s="775">
        <f t="shared" si="13"/>
        <v>100</v>
      </c>
      <c r="V38" s="774" t="s">
        <v>17</v>
      </c>
      <c r="W38" s="775">
        <f t="shared" si="14"/>
        <v>100</v>
      </c>
      <c r="X38" s="1815"/>
      <c r="Y38" s="3212" t="s">
        <v>2569</v>
      </c>
      <c r="Z38" s="1816" t="str">
        <f t="shared" si="15"/>
        <v>业态</v>
      </c>
      <c r="AA38" s="1813">
        <f t="shared" si="3"/>
        <v>1</v>
      </c>
      <c r="AB38" s="1813">
        <f t="shared" si="4"/>
        <v>1</v>
      </c>
      <c r="AC38" s="1813">
        <f t="shared" si="5"/>
        <v>1</v>
      </c>
    </row>
    <row r="39" spans="1:29" ht="15">
      <c r="A39" s="472"/>
      <c r="B39" s="422" t="s">
        <v>2669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253"/>
      <c r="Q39" s="1812" t="str">
        <f t="shared" si="11"/>
        <v>层高</v>
      </c>
      <c r="R39" s="774" t="s">
        <v>17</v>
      </c>
      <c r="S39" s="775">
        <f t="shared" si="12"/>
        <v>100</v>
      </c>
      <c r="T39" s="774" t="s">
        <v>17</v>
      </c>
      <c r="U39" s="775">
        <f t="shared" si="13"/>
        <v>100</v>
      </c>
      <c r="V39" s="774" t="s">
        <v>17</v>
      </c>
      <c r="W39" s="775">
        <f t="shared" si="14"/>
        <v>100</v>
      </c>
      <c r="X39" s="1815"/>
      <c r="Y39" s="3212"/>
      <c r="Z39" s="1816" t="str">
        <f t="shared" si="15"/>
        <v>层高</v>
      </c>
      <c r="AA39" s="1813">
        <f t="shared" si="3"/>
        <v>1</v>
      </c>
      <c r="AB39" s="1813">
        <f t="shared" si="4"/>
        <v>1</v>
      </c>
      <c r="AC39" s="1813">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3"/>
      <c r="Q40" s="1812" t="str">
        <f t="shared" si="11"/>
        <v>单套建筑面积</v>
      </c>
      <c r="R40" s="774" t="s">
        <v>17</v>
      </c>
      <c r="S40" s="775">
        <f t="shared" si="12"/>
        <v>100</v>
      </c>
      <c r="T40" s="774" t="s">
        <v>17</v>
      </c>
      <c r="U40" s="775">
        <f t="shared" si="13"/>
        <v>100</v>
      </c>
      <c r="V40" s="774" t="s">
        <v>17</v>
      </c>
      <c r="W40" s="775">
        <f t="shared" si="14"/>
        <v>100</v>
      </c>
      <c r="X40" s="1815"/>
      <c r="Y40" s="3212"/>
      <c r="Z40" s="1816" t="str">
        <f t="shared" si="15"/>
        <v>单套建筑面积</v>
      </c>
      <c r="AA40" s="1813">
        <f t="shared" si="3"/>
        <v>1</v>
      </c>
      <c r="AB40" s="1813">
        <f t="shared" si="4"/>
        <v>1</v>
      </c>
      <c r="AC40" s="1813">
        <f t="shared" si="5"/>
        <v>1</v>
      </c>
    </row>
    <row r="41" spans="1:29" s="471" customFormat="1" ht="15">
      <c r="A41" s="468"/>
      <c r="B41" s="1814"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3"/>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13">
        <f t="shared" si="3"/>
        <v>1</v>
      </c>
      <c r="AB41" s="1813">
        <f t="shared" si="4"/>
        <v>1</v>
      </c>
      <c r="AC41" s="1813">
        <f t="shared" si="5"/>
        <v>1</v>
      </c>
    </row>
    <row r="42" spans="1:29" ht="15">
      <c r="A42" s="472"/>
      <c r="B42" s="422" t="s">
        <v>2672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253"/>
      <c r="Q42" s="1812" t="str">
        <f t="shared" si="11"/>
        <v>内部装修</v>
      </c>
      <c r="R42" s="774" t="s">
        <v>17</v>
      </c>
      <c r="S42" s="775">
        <f t="shared" si="12"/>
        <v>100</v>
      </c>
      <c r="T42" s="774" t="s">
        <v>17</v>
      </c>
      <c r="U42" s="775">
        <f t="shared" si="13"/>
        <v>100</v>
      </c>
      <c r="V42" s="774" t="s">
        <v>17</v>
      </c>
      <c r="W42" s="775">
        <f t="shared" si="14"/>
        <v>100</v>
      </c>
      <c r="X42" s="1815"/>
      <c r="Y42" s="3212"/>
      <c r="Z42" s="1816" t="str">
        <f t="shared" si="15"/>
        <v>内部装修</v>
      </c>
      <c r="AA42" s="1813">
        <f t="shared" si="3"/>
        <v>1</v>
      </c>
      <c r="AB42" s="1813">
        <f t="shared" si="4"/>
        <v>1</v>
      </c>
      <c r="AC42" s="1813">
        <f t="shared" si="5"/>
        <v>1</v>
      </c>
    </row>
    <row r="43" spans="1:29" ht="15">
      <c r="A43" s="472"/>
      <c r="B43" s="422" t="s">
        <v>2580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253"/>
      <c r="Q43" s="1812" t="str">
        <f t="shared" si="11"/>
        <v>内部装修维护情况</v>
      </c>
      <c r="R43" s="774" t="s">
        <v>17</v>
      </c>
      <c r="S43" s="775">
        <f t="shared" si="12"/>
        <v>100</v>
      </c>
      <c r="T43" s="774" t="s">
        <v>17</v>
      </c>
      <c r="U43" s="775">
        <f t="shared" si="13"/>
        <v>100</v>
      </c>
      <c r="V43" s="774" t="s">
        <v>17</v>
      </c>
      <c r="W43" s="775">
        <f t="shared" si="14"/>
        <v>100</v>
      </c>
      <c r="X43" s="1815"/>
      <c r="Y43" s="3212"/>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3"/>
      <c r="Q44" s="1797">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3"/>
      <c r="Q45" s="1812">
        <f t="shared" si="11"/>
        <v>111</v>
      </c>
      <c r="R45" s="774" t="s">
        <v>17</v>
      </c>
      <c r="S45" s="775">
        <f t="shared" si="12"/>
        <v>100</v>
      </c>
      <c r="T45" s="774" t="s">
        <v>17</v>
      </c>
      <c r="U45" s="775">
        <f t="shared" si="13"/>
        <v>100</v>
      </c>
      <c r="V45" s="774" t="s">
        <v>17</v>
      </c>
      <c r="W45" s="775">
        <f t="shared" si="14"/>
        <v>100</v>
      </c>
      <c r="X45" s="1815"/>
      <c r="Y45" s="3212"/>
      <c r="Z45" s="1816">
        <f t="shared" si="15"/>
        <v>111</v>
      </c>
      <c r="AA45" s="1813">
        <f t="shared" si="3"/>
        <v>1</v>
      </c>
      <c r="AB45" s="1813">
        <f t="shared" si="4"/>
        <v>1</v>
      </c>
      <c r="AC45" s="1813">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4"/>
      <c r="Q46" s="1812">
        <f t="shared" si="11"/>
        <v>111</v>
      </c>
      <c r="R46" s="774" t="s">
        <v>17</v>
      </c>
      <c r="S46" s="775">
        <f t="shared" si="12"/>
        <v>100</v>
      </c>
      <c r="T46" s="774" t="s">
        <v>17</v>
      </c>
      <c r="U46" s="775">
        <f t="shared" si="13"/>
        <v>100</v>
      </c>
      <c r="V46" s="774" t="s">
        <v>17</v>
      </c>
      <c r="W46" s="775">
        <f t="shared" si="14"/>
        <v>100</v>
      </c>
      <c r="X46" s="1815"/>
      <c r="Y46" s="3255"/>
      <c r="Z46" s="1816">
        <f t="shared" si="15"/>
        <v>111</v>
      </c>
      <c r="AA46" s="1813">
        <f t="shared" si="3"/>
        <v>1</v>
      </c>
      <c r="AB46" s="1813">
        <f t="shared" si="4"/>
        <v>1</v>
      </c>
      <c r="AC46" s="1813">
        <f t="shared" si="5"/>
        <v>1</v>
      </c>
    </row>
    <row r="47" spans="1:29" ht="15">
      <c r="A47" s="479" t="s">
        <v>2581</v>
      </c>
      <c r="B47" s="480"/>
      <c r="C47" s="1410" t="s">
        <v>1</v>
      </c>
      <c r="D47" s="1411"/>
      <c r="E47" s="1412"/>
      <c r="F47" s="1413"/>
      <c r="G47" s="1414"/>
      <c r="H47" s="1415"/>
      <c r="I47" s="1412"/>
      <c r="J47" s="1415"/>
      <c r="K47" s="783"/>
      <c r="L47" s="1146"/>
      <c r="M47" s="1147"/>
      <c r="N47" s="1134"/>
      <c r="O47" s="1147"/>
      <c r="P47" s="3194" t="str">
        <f>A47</f>
        <v>成交单价（元/平方米）</v>
      </c>
      <c r="Q47" s="3194"/>
      <c r="R47" s="3207">
        <f>E47</f>
        <v>0</v>
      </c>
      <c r="S47" s="3207"/>
      <c r="T47" s="3207">
        <f>G47</f>
        <v>0</v>
      </c>
      <c r="U47" s="3207"/>
      <c r="V47" s="3207">
        <f>I47</f>
        <v>0</v>
      </c>
      <c r="W47" s="3207"/>
      <c r="X47" s="759"/>
      <c r="Y47" s="781"/>
      <c r="Z47" s="759"/>
      <c r="AA47" s="759"/>
      <c r="AB47" s="759"/>
      <c r="AC47" s="759"/>
    </row>
    <row r="48" spans="1:29" ht="15.75" thickBot="1">
      <c r="A48" s="486" t="s">
        <v>2673</v>
      </c>
      <c r="B48" s="487"/>
      <c r="C48" s="1416" t="e">
        <f>R49</f>
        <v>#DIV/0!</v>
      </c>
      <c r="D48" s="1417"/>
      <c r="E48" s="1418" t="e">
        <f>R48</f>
        <v>#DIV/0!</v>
      </c>
      <c r="F48" s="1418"/>
      <c r="G48" s="1416" t="e">
        <f>T48</f>
        <v>#DIV/0!</v>
      </c>
      <c r="H48" s="1417"/>
      <c r="I48" s="1418" t="e">
        <f>V48</f>
        <v>#DIV/0!</v>
      </c>
      <c r="J48" s="1417"/>
      <c r="K48" s="784"/>
      <c r="L48" s="1146"/>
      <c r="M48" s="1147"/>
      <c r="N48" s="1134"/>
      <c r="O48" s="1147"/>
      <c r="P48" s="3194" t="str">
        <f>A48</f>
        <v>比较价值（元/平方米）</v>
      </c>
      <c r="Q48" s="3194"/>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9"/>
      <c r="Y48" s="759"/>
      <c r="Z48" s="759"/>
      <c r="AA48" s="759"/>
      <c r="AB48" s="759"/>
      <c r="AC48" s="759"/>
    </row>
    <row r="49" spans="1:29" ht="15.75" thickBot="1">
      <c r="A49" s="492" t="s">
        <v>2674</v>
      </c>
      <c r="B49" s="493"/>
      <c r="C49" s="1420" t="e">
        <f>R49</f>
        <v>#DIV/0!</v>
      </c>
      <c r="D49" s="1420"/>
      <c r="E49" s="1420"/>
      <c r="F49" s="1420"/>
      <c r="G49" s="1420"/>
      <c r="H49" s="1420"/>
      <c r="I49" s="1420"/>
      <c r="J49" s="1420"/>
      <c r="K49" s="785"/>
      <c r="L49" s="1146"/>
      <c r="M49" s="1147"/>
      <c r="N49" s="1134"/>
      <c r="O49" s="1147"/>
      <c r="P49" s="3214" t="str">
        <f>A49</f>
        <v>估价对象XX用房的比较价值（楼面单价，元/平方米）</v>
      </c>
      <c r="Q49" s="3215"/>
      <c r="R49" s="3250" t="e">
        <f>IF(F1="售价",ROUND(AVERAGE(R48:V48),0),ROUND(AVERAGE(R48:V48),1))</f>
        <v>#DIV/0!</v>
      </c>
      <c r="S49" s="3250"/>
      <c r="T49" s="3250"/>
      <c r="U49" s="3250"/>
      <c r="V49" s="3250"/>
      <c r="W49" s="325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4"/>
      <c r="M57" s="1162"/>
      <c r="N57" s="1162"/>
      <c r="O57" s="1162"/>
      <c r="P57" s="2664"/>
      <c r="Q57" s="2665"/>
      <c r="R57" s="759"/>
      <c r="S57" s="759"/>
      <c r="T57" s="759"/>
      <c r="U57" s="759"/>
      <c r="V57" s="759"/>
      <c r="W57" s="759"/>
      <c r="X57" s="759"/>
      <c r="Y57" s="759"/>
      <c r="Z57" s="759"/>
      <c r="AA57" s="759"/>
      <c r="AB57" s="759"/>
      <c r="AC57" s="759"/>
    </row>
    <row r="58" spans="1:29" s="508" customFormat="1" ht="15">
      <c r="A58" s="505" t="s">
        <v>2552</v>
      </c>
      <c r="B58" s="506"/>
      <c r="C58" s="1576" t="str">
        <f>YEAR(C7)&amp;"-"&amp;MONTH(C7)</f>
        <v>2018-3</v>
      </c>
      <c r="D58" s="1577">
        <f>EDATE(C58,-1)</f>
        <v>43132</v>
      </c>
      <c r="E58" s="1577">
        <f t="shared" ref="E58:N58" si="16">EDATE(D58,-1)</f>
        <v>43101</v>
      </c>
      <c r="F58" s="1577">
        <f t="shared" si="16"/>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EDATE(N58,-1)</f>
        <v>42795</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2589</v>
      </c>
      <c r="B60" s="516"/>
      <c r="C60" s="517"/>
      <c r="D60" s="518"/>
      <c r="E60" s="518"/>
      <c r="F60" s="518"/>
      <c r="G60" s="518"/>
      <c r="H60" s="518"/>
      <c r="I60" s="518"/>
      <c r="J60" s="518"/>
      <c r="K60" s="518"/>
      <c r="L60" s="518"/>
      <c r="M60" s="519"/>
      <c r="N60" s="518"/>
      <c r="O60" s="519"/>
      <c r="P60" s="2625"/>
      <c r="Q60" s="504"/>
    </row>
    <row r="61" spans="1:29" s="117" customFormat="1" ht="15">
      <c r="A61" s="521" t="s">
        <v>2554</v>
      </c>
      <c r="B61" s="510"/>
      <c r="C61" s="522" t="s">
        <v>2656</v>
      </c>
      <c r="D61" s="523"/>
      <c r="E61" s="523"/>
      <c r="F61" s="523"/>
      <c r="G61" s="523"/>
      <c r="H61" s="523"/>
      <c r="I61" s="523"/>
      <c r="J61" s="523"/>
      <c r="K61" s="523"/>
      <c r="L61" s="524"/>
      <c r="M61" s="525"/>
      <c r="N61" s="1154"/>
      <c r="O61" s="1154"/>
      <c r="P61" s="2626"/>
      <c r="Q61" s="504"/>
    </row>
    <row r="62" spans="1:29" s="117" customFormat="1" ht="15.75" thickBot="1">
      <c r="A62" s="521"/>
      <c r="B62" s="510"/>
      <c r="C62" s="511">
        <v>100</v>
      </c>
      <c r="D62" s="512"/>
      <c r="E62" s="512"/>
      <c r="F62" s="512"/>
      <c r="G62" s="512"/>
      <c r="H62" s="512"/>
      <c r="I62" s="512"/>
      <c r="J62" s="512"/>
      <c r="K62" s="512"/>
      <c r="L62" s="512"/>
      <c r="M62" s="514"/>
      <c r="N62" s="1154"/>
      <c r="O62" s="1154"/>
      <c r="P62" s="2625"/>
      <c r="Q62" s="504"/>
    </row>
    <row r="63" spans="1:29">
      <c r="A63" s="527" t="s">
        <v>2592</v>
      </c>
      <c r="B63" s="528" t="s">
        <v>2558</v>
      </c>
      <c r="C63" s="529">
        <f>C9</f>
        <v>0</v>
      </c>
      <c r="D63" s="530"/>
      <c r="E63" s="530"/>
      <c r="F63" s="530"/>
      <c r="G63" s="530"/>
      <c r="H63" s="530"/>
      <c r="I63" s="530"/>
      <c r="J63" s="530"/>
      <c r="K63" s="531"/>
      <c r="L63" s="532"/>
      <c r="M63" s="533"/>
      <c r="N63" s="1155"/>
      <c r="O63" s="1155"/>
      <c r="P63" s="2627"/>
      <c r="Q63" s="504"/>
    </row>
    <row r="64" spans="1:29" ht="15.75" thickBot="1">
      <c r="A64" s="534"/>
      <c r="B64" s="535"/>
      <c r="C64" s="536">
        <v>100</v>
      </c>
      <c r="D64" s="536"/>
      <c r="E64" s="536"/>
      <c r="F64" s="536"/>
      <c r="G64" s="536"/>
      <c r="H64" s="536"/>
      <c r="I64" s="536"/>
      <c r="J64" s="536"/>
      <c r="K64" s="536"/>
      <c r="L64" s="536"/>
      <c r="M64" s="537"/>
      <c r="N64" s="1156"/>
      <c r="O64" s="1156"/>
      <c r="P64" s="262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7"/>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7"/>
      <c r="Q67" s="504"/>
    </row>
    <row r="68" spans="1:17" ht="15">
      <c r="A68" s="534"/>
      <c r="B68" s="548"/>
      <c r="C68" s="549"/>
      <c r="D68" s="549"/>
      <c r="E68" s="549"/>
      <c r="F68" s="549"/>
      <c r="G68" s="549"/>
      <c r="H68" s="549"/>
      <c r="I68" s="549"/>
      <c r="J68" s="549"/>
      <c r="K68" s="550"/>
      <c r="L68" s="551"/>
      <c r="M68" s="552"/>
      <c r="N68" s="1155"/>
      <c r="O68" s="1155"/>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7"/>
      <c r="Q69" s="504"/>
    </row>
    <row r="70" spans="1:17" s="471" customFormat="1" ht="15.75" thickTop="1">
      <c r="A70" s="553"/>
      <c r="B70" s="538">
        <f>B12</f>
        <v>111</v>
      </c>
      <c r="C70" s="554"/>
      <c r="D70" s="554"/>
      <c r="E70" s="554"/>
      <c r="F70" s="554"/>
      <c r="G70" s="554"/>
      <c r="H70" s="555"/>
      <c r="I70" s="555"/>
      <c r="J70" s="555"/>
      <c r="K70" s="555"/>
      <c r="L70" s="556"/>
      <c r="M70" s="557"/>
      <c r="N70" s="1157"/>
      <c r="O70" s="1157"/>
      <c r="P70" s="2628"/>
      <c r="Q70" s="559"/>
    </row>
    <row r="71" spans="1:17" s="471" customFormat="1" ht="15.75" thickBot="1">
      <c r="A71" s="553"/>
      <c r="B71" s="543"/>
      <c r="C71" s="560"/>
      <c r="D71" s="536"/>
      <c r="E71" s="536"/>
      <c r="F71" s="536"/>
      <c r="G71" s="536"/>
      <c r="H71" s="536"/>
      <c r="I71" s="536"/>
      <c r="J71" s="536"/>
      <c r="K71" s="536"/>
      <c r="L71" s="536"/>
      <c r="M71" s="537"/>
      <c r="N71" s="1156"/>
      <c r="O71" s="1156"/>
      <c r="P71" s="2628"/>
      <c r="Q71" s="559"/>
    </row>
    <row r="72" spans="1:17" s="471" customFormat="1" ht="15.75" thickTop="1">
      <c r="A72" s="553"/>
      <c r="B72" s="538">
        <f>B13</f>
        <v>111</v>
      </c>
      <c r="C72" s="554"/>
      <c r="D72" s="554"/>
      <c r="E72" s="554"/>
      <c r="F72" s="554"/>
      <c r="G72" s="554"/>
      <c r="H72" s="555"/>
      <c r="I72" s="555"/>
      <c r="J72" s="555"/>
      <c r="K72" s="555"/>
      <c r="L72" s="556"/>
      <c r="M72" s="557"/>
      <c r="N72" s="1157"/>
      <c r="O72" s="1157"/>
      <c r="P72" s="2629"/>
      <c r="Q72" s="561"/>
    </row>
    <row r="73" spans="1:17" s="471" customFormat="1" ht="15.75" thickBot="1">
      <c r="A73" s="553"/>
      <c r="B73" s="543"/>
      <c r="C73" s="560"/>
      <c r="D73" s="536"/>
      <c r="E73" s="536"/>
      <c r="F73" s="536"/>
      <c r="G73" s="560"/>
      <c r="H73" s="562"/>
      <c r="I73" s="562"/>
      <c r="J73" s="562"/>
      <c r="K73" s="562"/>
      <c r="L73" s="562"/>
      <c r="M73" s="563"/>
      <c r="N73" s="1157"/>
      <c r="O73" s="1157"/>
      <c r="P73" s="2628"/>
      <c r="Q73" s="559"/>
    </row>
    <row r="74" spans="1:17" s="471" customFormat="1" ht="15.75" thickTop="1">
      <c r="A74" s="553"/>
      <c r="B74" s="546">
        <f>B14</f>
        <v>111</v>
      </c>
      <c r="C74" s="554"/>
      <c r="D74" s="554"/>
      <c r="E74" s="554"/>
      <c r="F74" s="554"/>
      <c r="G74" s="523"/>
      <c r="H74" s="564"/>
      <c r="I74" s="564"/>
      <c r="J74" s="564"/>
      <c r="K74" s="564"/>
      <c r="L74" s="565"/>
      <c r="M74" s="566"/>
      <c r="N74" s="1157"/>
      <c r="O74" s="1157"/>
      <c r="P74" s="2630"/>
      <c r="Q74" s="559"/>
    </row>
    <row r="75" spans="1:17" s="471" customFormat="1" ht="15.75" thickBot="1">
      <c r="A75" s="568"/>
      <c r="B75" s="569"/>
      <c r="C75" s="570"/>
      <c r="D75" s="570"/>
      <c r="E75" s="570"/>
      <c r="F75" s="570"/>
      <c r="G75" s="570"/>
      <c r="H75" s="571"/>
      <c r="I75" s="571"/>
      <c r="J75" s="571"/>
      <c r="K75" s="571"/>
      <c r="L75" s="571"/>
      <c r="M75" s="572"/>
      <c r="N75" s="1157"/>
      <c r="O75" s="1157"/>
      <c r="P75" s="262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7"/>
      <c r="Q81" s="504"/>
    </row>
    <row r="82" spans="1:17" ht="15.75" thickTop="1">
      <c r="A82" s="534"/>
      <c r="B82" s="546" t="s">
        <v>2659</v>
      </c>
      <c r="C82" s="660" t="s">
        <v>2679</v>
      </c>
      <c r="D82" s="660" t="s">
        <v>2680</v>
      </c>
      <c r="E82" s="660" t="s">
        <v>2681</v>
      </c>
      <c r="F82" s="660" t="s">
        <v>2682</v>
      </c>
      <c r="G82" s="660" t="s">
        <v>2683</v>
      </c>
      <c r="H82" s="539"/>
      <c r="I82" s="539"/>
      <c r="J82" s="539"/>
      <c r="K82" s="539"/>
      <c r="L82" s="539"/>
      <c r="M82" s="1385"/>
      <c r="N82" s="1156"/>
      <c r="O82" s="1156"/>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7"/>
      <c r="Q85" s="504"/>
    </row>
    <row r="86" spans="1:17" s="117" customFormat="1" ht="15.75" thickTop="1">
      <c r="A86" s="579"/>
      <c r="B86" s="538" t="s">
        <v>2684</v>
      </c>
      <c r="C86" s="554"/>
      <c r="D86" s="554"/>
      <c r="E86" s="554"/>
      <c r="F86" s="554"/>
      <c r="G86" s="554"/>
      <c r="H86" s="554"/>
      <c r="I86" s="554"/>
      <c r="J86" s="554"/>
      <c r="K86" s="554"/>
      <c r="L86" s="580"/>
      <c r="M86" s="581"/>
      <c r="N86" s="1154"/>
      <c r="O86" s="1154"/>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4"/>
      <c r="O88" s="1154"/>
      <c r="P88" s="2627"/>
      <c r="Q88" s="504"/>
    </row>
    <row r="89" spans="1:17" s="117" customFormat="1" ht="15.75" thickBot="1">
      <c r="A89" s="579"/>
      <c r="B89" s="543"/>
      <c r="C89" s="560"/>
      <c r="D89" s="536"/>
      <c r="E89" s="536"/>
      <c r="F89" s="536"/>
      <c r="G89" s="536"/>
      <c r="H89" s="536"/>
      <c r="I89" s="536"/>
      <c r="J89" s="536"/>
      <c r="K89" s="536"/>
      <c r="L89" s="536"/>
      <c r="M89" s="536"/>
      <c r="N89" s="1156"/>
      <c r="O89" s="1156"/>
      <c r="P89" s="262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8"/>
      <c r="Q91" s="559"/>
    </row>
    <row r="92" spans="1:17" ht="15.75" thickTop="1">
      <c r="A92" s="534"/>
      <c r="B92" s="538" t="str">
        <f>B28</f>
        <v>楼层</v>
      </c>
      <c r="C92" s="554"/>
      <c r="D92" s="554"/>
      <c r="E92" s="554"/>
      <c r="F92" s="554"/>
      <c r="G92" s="554"/>
      <c r="H92" s="554"/>
      <c r="I92" s="554"/>
      <c r="J92" s="554"/>
      <c r="K92" s="554"/>
      <c r="L92" s="580"/>
      <c r="M92" s="581"/>
      <c r="N92" s="1155"/>
      <c r="O92" s="1155"/>
      <c r="P92" s="2627"/>
      <c r="Q92" s="504"/>
    </row>
    <row r="93" spans="1:17" ht="15.75" thickBot="1">
      <c r="A93" s="534"/>
      <c r="B93" s="543"/>
      <c r="C93" s="536"/>
      <c r="D93" s="536"/>
      <c r="E93" s="536"/>
      <c r="F93" s="536"/>
      <c r="G93" s="536"/>
      <c r="H93" s="536"/>
      <c r="I93" s="536"/>
      <c r="J93" s="536"/>
      <c r="K93" s="536"/>
      <c r="L93" s="536"/>
      <c r="M93" s="537"/>
      <c r="N93" s="1156"/>
      <c r="O93" s="1156"/>
      <c r="P93" s="2627"/>
      <c r="Q93" s="504"/>
    </row>
    <row r="94" spans="1:17" ht="15.75" thickTop="1">
      <c r="A94" s="534"/>
      <c r="B94" s="538">
        <f>B29</f>
        <v>111</v>
      </c>
      <c r="C94" s="554"/>
      <c r="D94" s="554"/>
      <c r="E94" s="554"/>
      <c r="F94" s="554"/>
      <c r="G94" s="583"/>
      <c r="H94" s="583"/>
      <c r="I94" s="583"/>
      <c r="J94" s="583"/>
      <c r="K94" s="584"/>
      <c r="L94" s="585"/>
      <c r="M94" s="586"/>
      <c r="N94" s="1155"/>
      <c r="O94" s="1155"/>
      <c r="P94" s="2627"/>
      <c r="Q94" s="504"/>
    </row>
    <row r="95" spans="1:17" ht="15.75" thickBot="1">
      <c r="A95" s="534"/>
      <c r="B95" s="543"/>
      <c r="C95" s="560"/>
      <c r="D95" s="536"/>
      <c r="E95" s="536"/>
      <c r="F95" s="536"/>
      <c r="G95" s="536"/>
      <c r="H95" s="536"/>
      <c r="I95" s="536"/>
      <c r="J95" s="536"/>
      <c r="K95" s="536"/>
      <c r="L95" s="536"/>
      <c r="M95" s="537"/>
      <c r="N95" s="1156"/>
      <c r="O95" s="1156"/>
      <c r="P95" s="2627"/>
      <c r="Q95" s="504"/>
    </row>
    <row r="96" spans="1:17" ht="15.75" thickTop="1">
      <c r="A96" s="534"/>
      <c r="B96" s="538">
        <f>B30</f>
        <v>111</v>
      </c>
      <c r="C96" s="554"/>
      <c r="D96" s="554"/>
      <c r="E96" s="554"/>
      <c r="F96" s="554"/>
      <c r="G96" s="583"/>
      <c r="H96" s="583"/>
      <c r="I96" s="583"/>
      <c r="J96" s="583"/>
      <c r="K96" s="584"/>
      <c r="L96" s="585"/>
      <c r="M96" s="586"/>
      <c r="N96" s="1155"/>
      <c r="O96" s="1155"/>
      <c r="P96" s="2627"/>
      <c r="Q96" s="504"/>
    </row>
    <row r="97" spans="1:17" ht="15.75" thickBot="1">
      <c r="A97" s="534"/>
      <c r="B97" s="543"/>
      <c r="C97" s="560"/>
      <c r="D97" s="536"/>
      <c r="E97" s="536"/>
      <c r="F97" s="536"/>
      <c r="G97" s="536"/>
      <c r="H97" s="536"/>
      <c r="I97" s="536"/>
      <c r="J97" s="536"/>
      <c r="K97" s="536"/>
      <c r="L97" s="536"/>
      <c r="M97" s="537"/>
      <c r="N97" s="1156"/>
      <c r="O97" s="1156"/>
      <c r="P97" s="2627"/>
      <c r="Q97" s="504"/>
    </row>
    <row r="98" spans="1:17" ht="15.75" thickTop="1">
      <c r="A98" s="534"/>
      <c r="B98" s="546">
        <f>B31</f>
        <v>111</v>
      </c>
      <c r="C98" s="554"/>
      <c r="D98" s="554"/>
      <c r="E98" s="554"/>
      <c r="F98" s="554"/>
      <c r="G98" s="587"/>
      <c r="H98" s="587"/>
      <c r="I98" s="587"/>
      <c r="J98" s="587"/>
      <c r="K98" s="588"/>
      <c r="L98" s="589"/>
      <c r="M98" s="590"/>
      <c r="N98" s="1155"/>
      <c r="O98" s="1155"/>
      <c r="P98" s="2627"/>
      <c r="Q98" s="504"/>
    </row>
    <row r="99" spans="1:17" ht="15.75" thickBot="1">
      <c r="A99" s="2633"/>
      <c r="B99" s="569"/>
      <c r="C99" s="570"/>
      <c r="D99" s="570"/>
      <c r="E99" s="570"/>
      <c r="F99" s="570"/>
      <c r="G99" s="591"/>
      <c r="H99" s="591"/>
      <c r="I99" s="591"/>
      <c r="J99" s="591"/>
      <c r="K99" s="591"/>
      <c r="L99" s="591"/>
      <c r="M99" s="592"/>
      <c r="N99" s="1156"/>
      <c r="O99" s="1156"/>
      <c r="P99" s="2627"/>
      <c r="Q99" s="504"/>
    </row>
    <row r="100" spans="1:17">
      <c r="A100" s="527" t="s">
        <v>2567</v>
      </c>
      <c r="B100" s="528" t="s">
        <v>2685</v>
      </c>
      <c r="C100" s="530"/>
      <c r="D100" s="530"/>
      <c r="E100" s="530"/>
      <c r="F100" s="530"/>
      <c r="G100" s="530"/>
      <c r="H100" s="530"/>
      <c r="I100" s="530"/>
      <c r="J100" s="530"/>
      <c r="K100" s="531"/>
      <c r="L100" s="532"/>
      <c r="M100" s="533"/>
      <c r="N100" s="1155"/>
      <c r="O100" s="1155"/>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7"/>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7"/>
      <c r="Q102" s="504"/>
    </row>
    <row r="103" spans="1:17" s="471" customFormat="1">
      <c r="A103" s="593"/>
      <c r="B103" s="594"/>
      <c r="C103" s="595"/>
      <c r="D103" s="595"/>
      <c r="E103" s="595"/>
      <c r="F103" s="595"/>
      <c r="G103" s="595"/>
      <c r="H103" s="595"/>
      <c r="I103" s="595"/>
      <c r="J103" s="596"/>
      <c r="K103" s="596"/>
      <c r="L103" s="597"/>
      <c r="M103" s="598"/>
      <c r="N103" s="1157"/>
      <c r="O103" s="1157"/>
      <c r="P103" s="262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8"/>
      <c r="Q104" s="559"/>
    </row>
    <row r="105" spans="1:17" ht="15" thickTop="1">
      <c r="A105" s="599"/>
      <c r="B105" s="538" t="s">
        <v>2618</v>
      </c>
      <c r="C105" s="554"/>
      <c r="D105" s="554"/>
      <c r="E105" s="583"/>
      <c r="F105" s="583"/>
      <c r="G105" s="583"/>
      <c r="H105" s="583"/>
      <c r="I105" s="583"/>
      <c r="J105" s="583"/>
      <c r="K105" s="584"/>
      <c r="L105" s="585"/>
      <c r="M105" s="586"/>
      <c r="N105" s="1155"/>
      <c r="O105" s="1155"/>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7"/>
      <c r="Q106" s="504"/>
    </row>
    <row r="107" spans="1:17" ht="15" thickTop="1">
      <c r="A107" s="599"/>
      <c r="B107" s="538" t="s">
        <v>2620</v>
      </c>
      <c r="C107" s="554"/>
      <c r="D107" s="554"/>
      <c r="E107" s="554"/>
      <c r="F107" s="583"/>
      <c r="G107" s="583"/>
      <c r="H107" s="583"/>
      <c r="I107" s="583"/>
      <c r="J107" s="583"/>
      <c r="K107" s="584"/>
      <c r="L107" s="585"/>
      <c r="M107" s="586"/>
      <c r="N107" s="1155"/>
      <c r="O107" s="1155"/>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7"/>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7"/>
      <c r="Q111" s="504"/>
    </row>
    <row r="112" spans="1:17" s="471" customFormat="1" ht="15" thickTop="1">
      <c r="A112" s="593"/>
      <c r="B112" s="538" t="s">
        <v>2622</v>
      </c>
      <c r="C112" s="554"/>
      <c r="D112" s="554"/>
      <c r="E112" s="554"/>
      <c r="F112" s="554"/>
      <c r="G112" s="554"/>
      <c r="H112" s="583"/>
      <c r="I112" s="583"/>
      <c r="J112" s="583"/>
      <c r="K112" s="584"/>
      <c r="L112" s="585"/>
      <c r="M112" s="586"/>
      <c r="N112" s="1157"/>
      <c r="O112" s="1157"/>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8"/>
      <c r="Q113" s="559"/>
    </row>
    <row r="114" spans="1:17" ht="15" thickTop="1">
      <c r="A114" s="599"/>
      <c r="B114" s="538" t="s">
        <v>2686</v>
      </c>
      <c r="C114" s="554"/>
      <c r="D114" s="554"/>
      <c r="E114" s="583"/>
      <c r="F114" s="583"/>
      <c r="G114" s="583"/>
      <c r="H114" s="583"/>
      <c r="I114" s="583"/>
      <c r="J114" s="583"/>
      <c r="K114" s="584"/>
      <c r="L114" s="585"/>
      <c r="M114" s="586"/>
      <c r="N114" s="1155"/>
      <c r="O114" s="1155"/>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7"/>
      <c r="Q115" s="504"/>
    </row>
    <row r="116" spans="1:17" ht="15" thickTop="1">
      <c r="A116" s="599"/>
      <c r="B116" s="538" t="s">
        <v>2687</v>
      </c>
      <c r="C116" s="554"/>
      <c r="D116" s="554"/>
      <c r="E116" s="554"/>
      <c r="F116" s="554"/>
      <c r="G116" s="554"/>
      <c r="H116" s="583"/>
      <c r="I116" s="583"/>
      <c r="J116" s="583"/>
      <c r="K116" s="584"/>
      <c r="L116" s="585"/>
      <c r="M116" s="586"/>
      <c r="N116" s="1155"/>
      <c r="O116" s="1155"/>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7"/>
      <c r="Q117" s="504"/>
    </row>
    <row r="118" spans="1:17" ht="15" thickTop="1">
      <c r="A118" s="599"/>
      <c r="B118" s="538" t="s">
        <v>2688</v>
      </c>
      <c r="C118" s="627"/>
      <c r="D118" s="627"/>
      <c r="E118" s="627"/>
      <c r="F118" s="627"/>
      <c r="G118" s="627"/>
      <c r="H118" s="555"/>
      <c r="I118" s="555"/>
      <c r="J118" s="555"/>
      <c r="K118" s="555"/>
      <c r="L118" s="556"/>
      <c r="M118" s="557"/>
      <c r="N118" s="1155"/>
      <c r="O118" s="1155"/>
      <c r="P118" s="2627"/>
      <c r="Q118" s="504"/>
    </row>
    <row r="119" spans="1:17" ht="15.75" thickBot="1">
      <c r="A119" s="534"/>
      <c r="B119" s="543"/>
      <c r="C119" s="560"/>
      <c r="D119" s="536"/>
      <c r="E119" s="536"/>
      <c r="F119" s="536"/>
      <c r="G119" s="536"/>
      <c r="H119" s="536"/>
      <c r="I119" s="536"/>
      <c r="J119" s="536"/>
      <c r="K119" s="536"/>
      <c r="L119" s="536"/>
      <c r="M119" s="537"/>
      <c r="N119" s="1156"/>
      <c r="O119" s="1156"/>
      <c r="P119" s="2627"/>
      <c r="Q119" s="504"/>
    </row>
    <row r="120" spans="1:17" s="471" customFormat="1" ht="15" thickTop="1">
      <c r="A120" s="593"/>
      <c r="B120" s="538" t="s">
        <v>2689</v>
      </c>
      <c r="C120" s="583"/>
      <c r="D120" s="583"/>
      <c r="E120" s="583"/>
      <c r="F120" s="583"/>
      <c r="G120" s="555"/>
      <c r="H120" s="555"/>
      <c r="I120" s="555"/>
      <c r="J120" s="555"/>
      <c r="K120" s="555"/>
      <c r="L120" s="556"/>
      <c r="M120" s="557"/>
      <c r="N120" s="1157"/>
      <c r="O120" s="1157"/>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8"/>
      <c r="Q121" s="559"/>
    </row>
    <row r="122" spans="1:17" ht="15" thickTop="1">
      <c r="A122" s="599"/>
      <c r="B122" s="538" t="s">
        <v>2624</v>
      </c>
      <c r="C122" s="554"/>
      <c r="D122" s="554"/>
      <c r="E122" s="554"/>
      <c r="F122" s="583"/>
      <c r="G122" s="583"/>
      <c r="H122" s="583"/>
      <c r="I122" s="583"/>
      <c r="J122" s="583"/>
      <c r="K122" s="584"/>
      <c r="L122" s="585"/>
      <c r="M122" s="586"/>
      <c r="N122" s="1155"/>
      <c r="O122" s="1155"/>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8"/>
      <c r="Q127" s="559"/>
    </row>
    <row r="128" spans="1:17" ht="15" thickTop="1">
      <c r="A128" s="599"/>
      <c r="B128" s="538">
        <f>B45</f>
        <v>111</v>
      </c>
      <c r="C128" s="554"/>
      <c r="D128" s="554"/>
      <c r="E128" s="554"/>
      <c r="F128" s="554"/>
      <c r="G128" s="583"/>
      <c r="H128" s="583"/>
      <c r="I128" s="583"/>
      <c r="J128" s="583"/>
      <c r="K128" s="584"/>
      <c r="L128" s="585"/>
      <c r="M128" s="586"/>
      <c r="N128" s="1155"/>
      <c r="O128" s="1155"/>
      <c r="P128" s="2627"/>
      <c r="Q128" s="504"/>
    </row>
    <row r="129" spans="1:17" ht="15.75" thickBot="1">
      <c r="A129" s="534"/>
      <c r="B129" s="543"/>
      <c r="C129" s="560"/>
      <c r="D129" s="536"/>
      <c r="E129" s="536"/>
      <c r="F129" s="536"/>
      <c r="G129" s="536"/>
      <c r="H129" s="536"/>
      <c r="I129" s="536"/>
      <c r="J129" s="536"/>
      <c r="K129" s="536"/>
      <c r="L129" s="536"/>
      <c r="M129" s="537"/>
      <c r="N129" s="1156"/>
      <c r="O129" s="1156"/>
      <c r="P129" s="2627"/>
      <c r="Q129" s="504"/>
    </row>
    <row r="130" spans="1:17" ht="15" thickTop="1">
      <c r="A130" s="599"/>
      <c r="B130" s="546">
        <f>B46</f>
        <v>111</v>
      </c>
      <c r="C130" s="554"/>
      <c r="D130" s="554"/>
      <c r="E130" s="554"/>
      <c r="F130" s="554"/>
      <c r="G130" s="587"/>
      <c r="H130" s="587"/>
      <c r="I130" s="587"/>
      <c r="J130" s="587"/>
      <c r="K130" s="523"/>
      <c r="L130" s="524"/>
      <c r="M130" s="590"/>
      <c r="N130" s="1155"/>
      <c r="O130" s="1155"/>
      <c r="P130" s="2627"/>
      <c r="Q130" s="504"/>
    </row>
    <row r="131" spans="1:17" ht="15.75" thickBot="1">
      <c r="A131" s="2633"/>
      <c r="B131" s="569"/>
      <c r="C131" s="570"/>
      <c r="D131" s="570"/>
      <c r="E131" s="570"/>
      <c r="F131" s="570"/>
      <c r="G131" s="591"/>
      <c r="H131" s="591"/>
      <c r="I131" s="591"/>
      <c r="J131" s="591"/>
      <c r="K131" s="591"/>
      <c r="L131" s="591"/>
      <c r="M131" s="592"/>
      <c r="N131" s="1156"/>
      <c r="O131" s="1156"/>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海南昂立投资有限公司：</v>
      </c>
    </row>
    <row r="4" spans="1:1" ht="36">
      <c r="A4" s="1950" t="str">
        <f>"受贵公司委托，我公司对"&amp;项目基本情况!S1&amp;"进行了预评估。"</f>
        <v>受贵公司委托，我公司对海南省文昌市青澜新市区高隆湾沿海地段出让国有建设用地使用权及在建建筑物房地产抵押价值进行了预评估。</v>
      </c>
    </row>
    <row r="5" spans="1:1" ht="18.75">
      <c r="A5" s="1951" t="s">
        <v>1613</v>
      </c>
    </row>
    <row r="6" spans="1:1" ht="18.75">
      <c r="A6" s="1952" t="s">
        <v>1614</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文昌市青澜新市区高隆湾沿海地段出让国有建设用地使用权及在建建筑物房地产，为海南昂立投资有限公司所有。根据《国有土地使用证》[]，估价对象（分摊）出让国有建设用地使用权面积为154884.56平方米，建筑面积为296702.55平方米。</v>
      </c>
    </row>
    <row r="8" spans="1:1" ht="57.75">
      <c r="A8" s="1953" t="s">
        <v>1615</v>
      </c>
    </row>
    <row r="9" spans="1:1" ht="18.75">
      <c r="A9" s="1952" t="s">
        <v>1616</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文昌市青澜新市区高隆湾沿海地段出让国有建设用地使用权及在建建筑物房地产,属海南昂立投资有限公司开发建设的，该项目尚在开发建设中。根据《国有土地使用证》[]，估价对象（分摊）出让国有建设用地使用权面积为154884.56平方米，规划建筑面积为296702.55平方米。</v>
      </c>
    </row>
    <row r="11" spans="1:1" ht="76.5">
      <c r="A11" s="1953" t="s">
        <v>1617</v>
      </c>
    </row>
    <row r="12" spans="1:1" ht="18.75">
      <c r="A12" s="1951" t="s">
        <v>1618</v>
      </c>
    </row>
    <row r="13" spans="1:1" ht="38.25" customHeight="1">
      <c r="A13" s="1954"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2018年3月27日（评估专业人员实地查勘之日）</v>
      </c>
    </row>
    <row r="16" spans="1:1" ht="18.75">
      <c r="A16" s="1955" t="s">
        <v>1620</v>
      </c>
    </row>
    <row r="17" spans="1:1" ht="75">
      <c r="A17" s="1950" t="s">
        <v>1621</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27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1610</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U43" sqref="U4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666" t="s">
        <v>2690</v>
      </c>
      <c r="C1" s="1622" t="s">
        <v>2534</v>
      </c>
      <c r="D1" s="1623"/>
      <c r="E1" s="1632"/>
      <c r="F1" s="2584"/>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2334</v>
      </c>
      <c r="B2" s="1421" t="e">
        <f ca="1">IF(C2="——",ROUND(C50*D3/10000,0),ROUND(C50*D3/10000,0)-D2)</f>
        <v>#DIV/0!</v>
      </c>
      <c r="C2" s="2586"/>
      <c r="D2" s="1368" t="e">
        <f ca="1">SUMIF(INDIRECT("'"&amp;F2&amp;"'"&amp;"!A:A"),"承租人权益价值",INDIRECT("'"&amp;F2&amp;"'"&amp;"!c:c"))</f>
        <v>#REF!</v>
      </c>
      <c r="E2" s="2587" t="s">
        <v>2335</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 ca="1">IF(C2="——",C50,ROUND(B2*10000/D3,0))</f>
        <v>#DIV/0!</v>
      </c>
      <c r="C3" s="400" t="s">
        <v>2648</v>
      </c>
      <c r="D3" s="399">
        <f>IF(D1="",'数据-汇总表'!E3,SUMIF('数据-汇总表'!$C19:$C33,D1,'数据-汇总表'!$E19:$E33))</f>
        <v>296702.55000000005</v>
      </c>
      <c r="E3" s="266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2649</v>
      </c>
      <c r="B4" s="402"/>
      <c r="C4" s="3195" t="s">
        <v>2650</v>
      </c>
      <c r="D4" s="3196"/>
      <c r="E4" s="3197" t="s">
        <v>2651</v>
      </c>
      <c r="F4" s="3198"/>
      <c r="G4" s="3195" t="s">
        <v>2652</v>
      </c>
      <c r="H4" s="3196"/>
      <c r="I4" s="3195" t="s">
        <v>2653</v>
      </c>
      <c r="J4" s="3196"/>
      <c r="K4" s="610" t="s">
        <v>2654</v>
      </c>
      <c r="L4" s="1133"/>
      <c r="M4" s="1134"/>
      <c r="N4" s="1134"/>
      <c r="O4" s="1134"/>
      <c r="P4" s="3264" t="s">
        <v>2655</v>
      </c>
      <c r="Q4" s="3265"/>
      <c r="R4" s="3259" t="s">
        <v>2651</v>
      </c>
      <c r="S4" s="3260"/>
      <c r="T4" s="3259" t="s">
        <v>2652</v>
      </c>
      <c r="U4" s="3260"/>
      <c r="V4" s="3268" t="s">
        <v>2653</v>
      </c>
      <c r="W4" s="3268"/>
      <c r="X4" s="2667"/>
      <c r="Y4" s="3259" t="s">
        <v>2655</v>
      </c>
      <c r="Z4" s="3260"/>
      <c r="AA4" s="3258" t="s">
        <v>2651</v>
      </c>
      <c r="AB4" s="3258" t="s">
        <v>2652</v>
      </c>
      <c r="AC4" s="3261" t="s">
        <v>2653</v>
      </c>
    </row>
    <row r="5" spans="1:29" ht="15">
      <c r="A5" s="404"/>
      <c r="B5" s="405"/>
      <c r="C5" s="3188" t="s">
        <v>2546</v>
      </c>
      <c r="D5" s="3189"/>
      <c r="E5" s="3186" t="s">
        <v>2547</v>
      </c>
      <c r="F5" s="3187"/>
      <c r="G5" s="3188" t="s">
        <v>2548</v>
      </c>
      <c r="H5" s="3189"/>
      <c r="I5" s="3188" t="s">
        <v>2549</v>
      </c>
      <c r="J5" s="3189"/>
      <c r="K5" s="610"/>
      <c r="L5" s="1133"/>
      <c r="M5" s="1134"/>
      <c r="N5" s="1134"/>
      <c r="O5" s="1134"/>
      <c r="P5" s="3266"/>
      <c r="Q5" s="3202"/>
      <c r="R5" s="3184"/>
      <c r="S5" s="3185"/>
      <c r="T5" s="3184"/>
      <c r="U5" s="3185"/>
      <c r="V5" s="3207"/>
      <c r="W5" s="3207"/>
      <c r="X5" s="1815"/>
      <c r="Y5" s="3184"/>
      <c r="Z5" s="3185"/>
      <c r="AA5" s="3178"/>
      <c r="AB5" s="3178"/>
      <c r="AC5" s="3262"/>
    </row>
    <row r="6" spans="1:29" ht="15.75" thickBot="1">
      <c r="A6" s="406"/>
      <c r="B6" s="407"/>
      <c r="C6" s="3190" t="s">
        <v>2550</v>
      </c>
      <c r="D6" s="3191"/>
      <c r="E6" s="3192" t="s">
        <v>2550</v>
      </c>
      <c r="F6" s="3193"/>
      <c r="G6" s="3190" t="s">
        <v>2550</v>
      </c>
      <c r="H6" s="3191"/>
      <c r="I6" s="3190" t="s">
        <v>2550</v>
      </c>
      <c r="J6" s="3191"/>
      <c r="K6" s="610" t="s">
        <v>2551</v>
      </c>
      <c r="L6" s="1133"/>
      <c r="M6" s="1134"/>
      <c r="N6" s="1134"/>
      <c r="O6" s="1134"/>
      <c r="P6" s="3267"/>
      <c r="Q6" s="3204"/>
      <c r="R6" s="3184"/>
      <c r="S6" s="3185"/>
      <c r="T6" s="3205"/>
      <c r="U6" s="3206"/>
      <c r="V6" s="3207"/>
      <c r="W6" s="3207"/>
      <c r="X6" s="1815"/>
      <c r="Y6" s="3205"/>
      <c r="Z6" s="3206"/>
      <c r="AA6" s="3179"/>
      <c r="AB6" s="3179"/>
      <c r="AC6" s="3263"/>
    </row>
    <row r="7" spans="1:29" s="117" customFormat="1" ht="15.75" thickBot="1">
      <c r="A7" s="408" t="s">
        <v>2552</v>
      </c>
      <c r="B7" s="409"/>
      <c r="C7" s="410">
        <f>'数据-取费表'!B2</f>
        <v>43186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9" t="s">
        <v>2553</v>
      </c>
      <c r="Q7" s="3208"/>
      <c r="R7" s="770" t="s">
        <v>17</v>
      </c>
      <c r="S7" s="771">
        <f t="shared" ref="S7:S15" si="0">F7</f>
        <v>0</v>
      </c>
      <c r="T7" s="770" t="s">
        <v>17</v>
      </c>
      <c r="U7" s="771">
        <f t="shared" ref="U7:U15" si="1">H7</f>
        <v>0</v>
      </c>
      <c r="V7" s="770" t="s">
        <v>17</v>
      </c>
      <c r="W7" s="771">
        <f t="shared" ref="W7:W15" si="2">J7</f>
        <v>0</v>
      </c>
      <c r="X7" s="772"/>
      <c r="Y7" s="3180" t="s">
        <v>2553</v>
      </c>
      <c r="Z7" s="3181"/>
      <c r="AA7" s="773" t="e">
        <f>D7/F7</f>
        <v>#DIV/0!</v>
      </c>
      <c r="AB7" s="773" t="e">
        <f>D7/H7</f>
        <v>#DIV/0!</v>
      </c>
      <c r="AC7" s="2668" t="e">
        <f>D7/J7</f>
        <v>#DIV/0!</v>
      </c>
    </row>
    <row r="8" spans="1:29" s="117"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9" t="s">
        <v>2556</v>
      </c>
      <c r="Q8" s="3181"/>
      <c r="R8" s="770" t="s">
        <v>17</v>
      </c>
      <c r="S8" s="771">
        <f t="shared" si="0"/>
        <v>0</v>
      </c>
      <c r="T8" s="770" t="s">
        <v>17</v>
      </c>
      <c r="U8" s="771">
        <f t="shared" si="1"/>
        <v>0</v>
      </c>
      <c r="V8" s="770" t="s">
        <v>17</v>
      </c>
      <c r="W8" s="771">
        <f t="shared" si="2"/>
        <v>0</v>
      </c>
      <c r="X8" s="772"/>
      <c r="Y8" s="3180" t="s">
        <v>2556</v>
      </c>
      <c r="Z8" s="3181"/>
      <c r="AA8" s="773" t="e">
        <f t="shared" ref="AA8:AA47" si="3">D8/F8</f>
        <v>#DIV/0!</v>
      </c>
      <c r="AB8" s="773" t="e">
        <f t="shared" ref="AB8:AB47" si="4">D8/H8</f>
        <v>#DIV/0!</v>
      </c>
      <c r="AC8" s="2668" t="e">
        <f t="shared" ref="AC8:AC47" si="5">D8/J8</f>
        <v>#DIV/0!</v>
      </c>
    </row>
    <row r="9" spans="1:29" s="117" customFormat="1">
      <c r="A9" s="415" t="s">
        <v>2557</v>
      </c>
      <c r="B9" s="71" t="s">
        <v>2558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8" t="s">
        <v>2559</v>
      </c>
      <c r="Q9" s="1797" t="str">
        <f t="shared" ref="Q9:Q15" si="6">B9</f>
        <v>用途</v>
      </c>
      <c r="R9" s="770" t="s">
        <v>17</v>
      </c>
      <c r="S9" s="771">
        <f t="shared" si="0"/>
        <v>100</v>
      </c>
      <c r="T9" s="770" t="s">
        <v>17</v>
      </c>
      <c r="U9" s="771">
        <f t="shared" si="1"/>
        <v>100</v>
      </c>
      <c r="V9" s="770" t="s">
        <v>17</v>
      </c>
      <c r="W9" s="771">
        <f t="shared" si="2"/>
        <v>100</v>
      </c>
      <c r="X9" s="772"/>
      <c r="Y9" s="3040" t="s">
        <v>2560</v>
      </c>
      <c r="Z9" s="55" t="str">
        <f t="shared" ref="Z9:Z15" si="7">Q9</f>
        <v>用途</v>
      </c>
      <c r="AA9" s="773">
        <f t="shared" si="3"/>
        <v>1</v>
      </c>
      <c r="AB9" s="773">
        <f t="shared" si="4"/>
        <v>1</v>
      </c>
      <c r="AC9" s="2668">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8"/>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68">
        <f t="shared" si="5"/>
        <v>1</v>
      </c>
    </row>
    <row r="11" spans="1:29" ht="15">
      <c r="A11" s="428"/>
      <c r="B11" s="422" t="s">
        <v>2562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8"/>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2668" t="e">
        <f t="shared" si="5"/>
        <v>#N/A</v>
      </c>
    </row>
    <row r="12" spans="1:29" s="117" customFormat="1" ht="15">
      <c r="A12" s="431"/>
      <c r="B12" s="2599">
        <v>111</v>
      </c>
      <c r="C12" s="432"/>
      <c r="D12" s="433">
        <v>100</v>
      </c>
      <c r="E12" s="432"/>
      <c r="F12" s="136">
        <f>SUMIF(71:71,E12,72:72)-SUMIF(71:71,C12,72:72)+100</f>
        <v>100</v>
      </c>
      <c r="G12" s="2669"/>
      <c r="H12" s="136">
        <f>SUMIF(71:71,G12,72:72)-SUMIF(71:71,C12,72:72)+100</f>
        <v>100</v>
      </c>
      <c r="I12" s="432"/>
      <c r="J12" s="136">
        <f>SUMIF(71:71,I12,72:72)-SUMIF(71:71,C12,72:72)+100</f>
        <v>100</v>
      </c>
      <c r="K12" s="613"/>
      <c r="L12" s="1135"/>
      <c r="M12" s="1136"/>
      <c r="N12" s="1136"/>
      <c r="O12" s="1136"/>
      <c r="P12" s="3218"/>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68">
        <f>D12/J12</f>
        <v>1</v>
      </c>
    </row>
    <row r="13" spans="1:29" ht="15">
      <c r="A13" s="428"/>
      <c r="B13" s="2599">
        <v>111</v>
      </c>
      <c r="C13" s="434"/>
      <c r="D13" s="435">
        <v>100</v>
      </c>
      <c r="E13" s="432"/>
      <c r="F13" s="136">
        <f>SUMIF(73:73,E13,74:74)-SUMIF(73:73,C13,74:74)+100</f>
        <v>100</v>
      </c>
      <c r="G13" s="2669"/>
      <c r="H13" s="435">
        <f>SUMIF(73:73,G13,74:74)-SUMIF(73:73,C13,74:74)+100</f>
        <v>100</v>
      </c>
      <c r="I13" s="432"/>
      <c r="J13" s="435">
        <f>SUMIF(73:73,I13,74:74)-SUMIF(73:73,C13,74:74)+100</f>
        <v>100</v>
      </c>
      <c r="K13" s="613"/>
      <c r="L13" s="1143"/>
      <c r="M13" s="1134"/>
      <c r="N13" s="1134"/>
      <c r="O13" s="1134"/>
      <c r="P13" s="3218"/>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68">
        <f t="shared" si="5"/>
        <v>1</v>
      </c>
    </row>
    <row r="14" spans="1:29" ht="15.75" thickBot="1">
      <c r="A14" s="436"/>
      <c r="B14" s="2601">
        <v>111</v>
      </c>
      <c r="C14" s="437"/>
      <c r="D14" s="438">
        <v>100</v>
      </c>
      <c r="E14" s="628"/>
      <c r="F14" s="438">
        <f>SUMIF(75:75,E14,76:76)-SUMIF(75:75,C14,76:76)+100</f>
        <v>100</v>
      </c>
      <c r="G14" s="2669"/>
      <c r="H14" s="438">
        <f>SUMIF(75:75,G14,76:76)-SUMIF(75:75,C14,76:76)+100</f>
        <v>100</v>
      </c>
      <c r="I14" s="432"/>
      <c r="J14" s="438">
        <f>SUMIF(75:75,I14,76:76)-SUMIF(75:75,C14,76:76)+100</f>
        <v>100</v>
      </c>
      <c r="K14" s="613"/>
      <c r="L14" s="1143"/>
      <c r="M14" s="1134"/>
      <c r="N14" s="1134"/>
      <c r="O14" s="1134"/>
      <c r="P14" s="3218"/>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68">
        <f t="shared" si="5"/>
        <v>1</v>
      </c>
    </row>
    <row r="15" spans="1:29" ht="71.25">
      <c r="A15" s="440" t="s">
        <v>2563</v>
      </c>
      <c r="B15" s="629" t="s">
        <v>2691</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6" t="s">
        <v>2564</v>
      </c>
      <c r="Q15" s="1812" t="str">
        <f t="shared" si="6"/>
        <v>办公集聚程度</v>
      </c>
      <c r="R15" s="774" t="s">
        <v>17</v>
      </c>
      <c r="S15" s="775">
        <f t="shared" si="0"/>
        <v>100</v>
      </c>
      <c r="T15" s="774" t="s">
        <v>17</v>
      </c>
      <c r="U15" s="775">
        <f t="shared" si="1"/>
        <v>100</v>
      </c>
      <c r="V15" s="774" t="s">
        <v>17</v>
      </c>
      <c r="W15" s="775">
        <f t="shared" si="2"/>
        <v>100</v>
      </c>
      <c r="X15" s="1815"/>
      <c r="Y15" s="3209" t="s">
        <v>2564</v>
      </c>
      <c r="Z15" s="1816" t="str">
        <f t="shared" si="7"/>
        <v>办公集聚程度</v>
      </c>
      <c r="AA15" s="1813">
        <f t="shared" si="3"/>
        <v>1</v>
      </c>
      <c r="AB15" s="1813">
        <f t="shared" si="4"/>
        <v>1</v>
      </c>
      <c r="AC15" s="2671">
        <f t="shared" si="5"/>
        <v>1</v>
      </c>
    </row>
    <row r="16" spans="1:29" ht="15">
      <c r="A16" s="428"/>
      <c r="B16" s="630"/>
      <c r="C16" s="2610"/>
      <c r="D16" s="448"/>
      <c r="E16" s="447"/>
      <c r="F16" s="448"/>
      <c r="G16" s="2610"/>
      <c r="H16" s="450"/>
      <c r="I16" s="447"/>
      <c r="J16" s="448"/>
      <c r="K16" s="615"/>
      <c r="L16" s="1143"/>
      <c r="M16" s="1134"/>
      <c r="N16" s="1134"/>
      <c r="O16" s="1134"/>
      <c r="P16" s="3257"/>
      <c r="Q16" s="1812"/>
      <c r="R16" s="774"/>
      <c r="S16" s="775"/>
      <c r="T16" s="774"/>
      <c r="U16" s="775"/>
      <c r="V16" s="774"/>
      <c r="W16" s="775"/>
      <c r="X16" s="1815"/>
      <c r="Y16" s="3210"/>
      <c r="Z16" s="1816"/>
      <c r="AA16" s="1813">
        <v>1</v>
      </c>
      <c r="AB16" s="1813">
        <v>1</v>
      </c>
      <c r="AC16" s="2671">
        <v>1</v>
      </c>
    </row>
    <row r="17" spans="1:29" ht="71.25">
      <c r="A17" s="428"/>
      <c r="B17" s="631" t="s">
        <v>2102</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7"/>
      <c r="Q17" s="1812" t="str">
        <f>B17</f>
        <v>交通便捷度</v>
      </c>
      <c r="R17" s="774" t="s">
        <v>17</v>
      </c>
      <c r="S17" s="775">
        <f>F17</f>
        <v>100</v>
      </c>
      <c r="T17" s="774" t="s">
        <v>17</v>
      </c>
      <c r="U17" s="775">
        <f>H17</f>
        <v>100</v>
      </c>
      <c r="V17" s="774" t="s">
        <v>17</v>
      </c>
      <c r="W17" s="775">
        <f>J17</f>
        <v>100</v>
      </c>
      <c r="X17" s="1815"/>
      <c r="Y17" s="3210"/>
      <c r="Z17" s="1816" t="str">
        <f>Q17</f>
        <v>交通便捷度</v>
      </c>
      <c r="AA17" s="1813">
        <f t="shared" si="3"/>
        <v>1</v>
      </c>
      <c r="AB17" s="1813">
        <f t="shared" si="4"/>
        <v>1</v>
      </c>
      <c r="AC17" s="2671">
        <f t="shared" si="5"/>
        <v>1</v>
      </c>
    </row>
    <row r="18" spans="1:29" ht="15">
      <c r="A18" s="428"/>
      <c r="B18" s="632"/>
      <c r="C18" s="2673"/>
      <c r="D18" s="450"/>
      <c r="E18" s="2608"/>
      <c r="F18" s="450"/>
      <c r="G18" s="2609"/>
      <c r="H18" s="448"/>
      <c r="I18" s="2609"/>
      <c r="J18" s="448"/>
      <c r="K18" s="615"/>
      <c r="L18" s="1143"/>
      <c r="M18" s="1134"/>
      <c r="N18" s="1134"/>
      <c r="O18" s="1134"/>
      <c r="P18" s="3257"/>
      <c r="Q18" s="1812"/>
      <c r="R18" s="774"/>
      <c r="S18" s="775"/>
      <c r="T18" s="774"/>
      <c r="U18" s="775"/>
      <c r="V18" s="774"/>
      <c r="W18" s="775"/>
      <c r="X18" s="1815"/>
      <c r="Y18" s="3210"/>
      <c r="Z18" s="1816"/>
      <c r="AA18" s="1813">
        <v>1</v>
      </c>
      <c r="AB18" s="1813">
        <v>1</v>
      </c>
      <c r="AC18" s="2671">
        <v>1</v>
      </c>
    </row>
    <row r="19" spans="1:29" ht="42.75">
      <c r="A19" s="428"/>
      <c r="B19" s="631" t="s">
        <v>2692</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7"/>
      <c r="Q19" s="1812" t="str">
        <f>B19</f>
        <v>公共配套设施</v>
      </c>
      <c r="R19" s="774" t="s">
        <v>17</v>
      </c>
      <c r="S19" s="775">
        <f>F19</f>
        <v>100</v>
      </c>
      <c r="T19" s="774" t="s">
        <v>17</v>
      </c>
      <c r="U19" s="775">
        <f>H19</f>
        <v>100</v>
      </c>
      <c r="V19" s="774" t="s">
        <v>17</v>
      </c>
      <c r="W19" s="775">
        <f>J19</f>
        <v>100</v>
      </c>
      <c r="X19" s="1815"/>
      <c r="Y19" s="3210"/>
      <c r="Z19" s="1816" t="str">
        <f>Q19</f>
        <v>公共配套设施</v>
      </c>
      <c r="AA19" s="1813">
        <f t="shared" si="3"/>
        <v>1</v>
      </c>
      <c r="AB19" s="1813">
        <f t="shared" si="4"/>
        <v>1</v>
      </c>
      <c r="AC19" s="2671">
        <f t="shared" si="5"/>
        <v>1</v>
      </c>
    </row>
    <row r="20" spans="1:29" ht="15">
      <c r="A20" s="428"/>
      <c r="B20" s="632"/>
      <c r="C20" s="2610"/>
      <c r="D20" s="448"/>
      <c r="E20" s="2603"/>
      <c r="F20" s="448"/>
      <c r="G20" s="2604"/>
      <c r="H20" s="448"/>
      <c r="I20" s="2604"/>
      <c r="J20" s="448"/>
      <c r="K20" s="615"/>
      <c r="L20" s="1143"/>
      <c r="M20" s="1134"/>
      <c r="N20" s="1134"/>
      <c r="O20" s="1134"/>
      <c r="P20" s="3257"/>
      <c r="Q20" s="1812"/>
      <c r="R20" s="774"/>
      <c r="S20" s="775"/>
      <c r="T20" s="774"/>
      <c r="U20" s="775"/>
      <c r="V20" s="774"/>
      <c r="W20" s="775"/>
      <c r="X20" s="1815"/>
      <c r="Y20" s="3210"/>
      <c r="Z20" s="1816"/>
      <c r="AA20" s="1813">
        <v>1</v>
      </c>
      <c r="AB20" s="1813">
        <v>1</v>
      </c>
      <c r="AC20" s="2671">
        <v>1</v>
      </c>
    </row>
    <row r="21" spans="1:29" ht="28.5">
      <c r="A21" s="428"/>
      <c r="B21" s="633" t="s">
        <v>2693</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7"/>
      <c r="Q21" s="1812" t="str">
        <f>B21</f>
        <v>基础设施水平</v>
      </c>
      <c r="R21" s="774" t="s">
        <v>17</v>
      </c>
      <c r="S21" s="775">
        <f>F21</f>
        <v>100</v>
      </c>
      <c r="T21" s="774" t="s">
        <v>17</v>
      </c>
      <c r="U21" s="775">
        <f>H21</f>
        <v>100</v>
      </c>
      <c r="V21" s="774" t="s">
        <v>17</v>
      </c>
      <c r="W21" s="775">
        <f>J21</f>
        <v>100</v>
      </c>
      <c r="X21" s="1815"/>
      <c r="Y21" s="3210"/>
      <c r="Z21" s="1816" t="str">
        <f>Q21</f>
        <v>基础设施水平</v>
      </c>
      <c r="AA21" s="1813">
        <f t="shared" ref="AA21" si="8">D21/F21</f>
        <v>1</v>
      </c>
      <c r="AB21" s="1813">
        <f t="shared" ref="AB21" si="9">D21/H21</f>
        <v>1</v>
      </c>
      <c r="AC21" s="2671">
        <f t="shared" ref="AC21" si="10">D21/J21</f>
        <v>1</v>
      </c>
    </row>
    <row r="22" spans="1:29" ht="15">
      <c r="A22" s="428"/>
      <c r="B22" s="633"/>
      <c r="C22" s="2673"/>
      <c r="D22" s="448"/>
      <c r="E22" s="447"/>
      <c r="F22" s="448"/>
      <c r="G22" s="2610"/>
      <c r="H22" s="448"/>
      <c r="I22" s="2610"/>
      <c r="J22" s="448"/>
      <c r="K22" s="1386"/>
      <c r="L22" s="1143"/>
      <c r="M22" s="1134"/>
      <c r="N22" s="1134"/>
      <c r="O22" s="1134"/>
      <c r="P22" s="3257"/>
      <c r="Q22" s="1812"/>
      <c r="R22" s="774"/>
      <c r="S22" s="775"/>
      <c r="T22" s="774"/>
      <c r="U22" s="775"/>
      <c r="V22" s="774"/>
      <c r="W22" s="775"/>
      <c r="X22" s="1815"/>
      <c r="Y22" s="3210"/>
      <c r="Z22" s="1816"/>
      <c r="AA22" s="1813">
        <v>1</v>
      </c>
      <c r="AB22" s="1813">
        <v>1</v>
      </c>
      <c r="AC22" s="2671">
        <v>1</v>
      </c>
    </row>
    <row r="23" spans="1:29" ht="42.75">
      <c r="A23" s="428"/>
      <c r="B23" s="631" t="s">
        <v>2694</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7"/>
      <c r="Q23" s="1812" t="str">
        <f>B23</f>
        <v>环境质量</v>
      </c>
      <c r="R23" s="774" t="s">
        <v>17</v>
      </c>
      <c r="S23" s="775">
        <f>F23</f>
        <v>100</v>
      </c>
      <c r="T23" s="774" t="s">
        <v>17</v>
      </c>
      <c r="U23" s="775">
        <f>H23</f>
        <v>100</v>
      </c>
      <c r="V23" s="774" t="s">
        <v>17</v>
      </c>
      <c r="W23" s="775">
        <f>J23</f>
        <v>100</v>
      </c>
      <c r="X23" s="1815"/>
      <c r="Y23" s="3210"/>
      <c r="Z23" s="1816" t="str">
        <f>Q23</f>
        <v>环境质量</v>
      </c>
      <c r="AA23" s="1813">
        <f t="shared" si="3"/>
        <v>1</v>
      </c>
      <c r="AB23" s="1813">
        <f t="shared" si="4"/>
        <v>1</v>
      </c>
      <c r="AC23" s="2671">
        <f t="shared" si="5"/>
        <v>1</v>
      </c>
    </row>
    <row r="24" spans="1:29" ht="15">
      <c r="A24" s="428"/>
      <c r="B24" s="633"/>
      <c r="C24" s="2610"/>
      <c r="D24" s="448"/>
      <c r="E24" s="2603"/>
      <c r="F24" s="448"/>
      <c r="G24" s="2604"/>
      <c r="H24" s="448"/>
      <c r="I24" s="2604"/>
      <c r="J24" s="448"/>
      <c r="K24" s="615"/>
      <c r="L24" s="1143"/>
      <c r="M24" s="1134"/>
      <c r="N24" s="1134"/>
      <c r="O24" s="1134"/>
      <c r="P24" s="3257"/>
      <c r="Q24" s="1812"/>
      <c r="R24" s="774"/>
      <c r="S24" s="775"/>
      <c r="T24" s="774"/>
      <c r="U24" s="775"/>
      <c r="V24" s="774"/>
      <c r="W24" s="775"/>
      <c r="X24" s="1815"/>
      <c r="Y24" s="3210"/>
      <c r="Z24" s="1816"/>
      <c r="AA24" s="1813">
        <v>1</v>
      </c>
      <c r="AB24" s="1813">
        <v>1</v>
      </c>
      <c r="AC24" s="2671">
        <v>1</v>
      </c>
    </row>
    <row r="25" spans="1:29" ht="27">
      <c r="A25" s="404"/>
      <c r="B25" s="631" t="s">
        <v>2695</v>
      </c>
      <c r="C25" s="2614"/>
      <c r="D25" s="435">
        <v>100</v>
      </c>
      <c r="E25" s="434"/>
      <c r="F25" s="435">
        <f>SUMIF(87:87,E26,88:88)-SUMIF(87:87,C26,88:88)+100</f>
        <v>100</v>
      </c>
      <c r="G25" s="2614"/>
      <c r="H25" s="435">
        <f>SUMIF(87:87,G26,88:88)-SUMIF(87:87,C26,88:88)+100</f>
        <v>100</v>
      </c>
      <c r="I25" s="434"/>
      <c r="J25" s="435">
        <f>SUMIF(87:87,I26,88:88)-SUMIF(87:87,C26,88:88)+100</f>
        <v>100</v>
      </c>
      <c r="K25" s="614"/>
      <c r="L25" s="1143"/>
      <c r="M25" s="1134"/>
      <c r="N25" s="1134"/>
      <c r="O25" s="1134"/>
      <c r="P25" s="3257"/>
      <c r="Q25" s="1812" t="str">
        <f>B25</f>
        <v>毗邻道路的类型与等级</v>
      </c>
      <c r="R25" s="774" t="s">
        <v>17</v>
      </c>
      <c r="S25" s="775">
        <f>F25</f>
        <v>100</v>
      </c>
      <c r="T25" s="774" t="s">
        <v>17</v>
      </c>
      <c r="U25" s="775">
        <f>H25</f>
        <v>100</v>
      </c>
      <c r="V25" s="774" t="s">
        <v>17</v>
      </c>
      <c r="W25" s="775">
        <f>J25</f>
        <v>100</v>
      </c>
      <c r="X25" s="1815"/>
      <c r="Y25" s="3210"/>
      <c r="Z25" s="1816" t="str">
        <f>Q25</f>
        <v>毗邻道路的类型与等级</v>
      </c>
      <c r="AA25" s="1813">
        <f t="shared" si="3"/>
        <v>1</v>
      </c>
      <c r="AB25" s="1813">
        <f t="shared" si="4"/>
        <v>1</v>
      </c>
      <c r="AC25" s="2671">
        <f t="shared" si="5"/>
        <v>1</v>
      </c>
    </row>
    <row r="26" spans="1:29" ht="15">
      <c r="A26" s="404"/>
      <c r="B26" s="632"/>
      <c r="C26" s="634"/>
      <c r="D26" s="435"/>
      <c r="E26" s="616"/>
      <c r="F26" s="435"/>
      <c r="G26" s="634"/>
      <c r="H26" s="435"/>
      <c r="I26" s="616"/>
      <c r="J26" s="435"/>
      <c r="K26" s="615"/>
      <c r="L26" s="1143"/>
      <c r="M26" s="1134"/>
      <c r="N26" s="1134"/>
      <c r="O26" s="1134"/>
      <c r="P26" s="3257"/>
      <c r="Q26" s="1812"/>
      <c r="R26" s="774"/>
      <c r="S26" s="775"/>
      <c r="T26" s="774"/>
      <c r="U26" s="775"/>
      <c r="V26" s="774"/>
      <c r="W26" s="775"/>
      <c r="X26" s="1815"/>
      <c r="Y26" s="3210"/>
      <c r="Z26" s="1816"/>
      <c r="AA26" s="1813">
        <v>1</v>
      </c>
      <c r="AB26" s="1813">
        <v>1</v>
      </c>
      <c r="AC26" s="267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7"/>
      <c r="Q27" s="1812" t="str">
        <f t="shared" ref="Q27:Q47" si="11">B27</f>
        <v>楼层</v>
      </c>
      <c r="R27" s="774" t="s">
        <v>17</v>
      </c>
      <c r="S27" s="775">
        <f>F27</f>
        <v>100</v>
      </c>
      <c r="T27" s="774" t="s">
        <v>17</v>
      </c>
      <c r="U27" s="775">
        <f>H27</f>
        <v>100</v>
      </c>
      <c r="V27" s="774" t="s">
        <v>17</v>
      </c>
      <c r="W27" s="775">
        <f>J27</f>
        <v>100</v>
      </c>
      <c r="X27" s="1815"/>
      <c r="Y27" s="3210"/>
      <c r="Z27" s="1816" t="str">
        <f>Q27</f>
        <v>楼层</v>
      </c>
      <c r="AA27" s="1813">
        <f t="shared" si="3"/>
        <v>1</v>
      </c>
      <c r="AB27" s="1813">
        <f t="shared" si="4"/>
        <v>1</v>
      </c>
      <c r="AC27" s="2671">
        <f t="shared" si="5"/>
        <v>1</v>
      </c>
    </row>
    <row r="28" spans="1:29" s="117" customFormat="1" ht="15">
      <c r="A28" s="431"/>
      <c r="B28" s="631" t="s">
        <v>2696</v>
      </c>
      <c r="C28" s="2674"/>
      <c r="D28" s="462">
        <v>100</v>
      </c>
      <c r="E28" s="2662"/>
      <c r="F28" s="462">
        <f>SUMIF(91:91,E28,92:92)-SUMIF(91:91,C28,92:92)+100</f>
        <v>100</v>
      </c>
      <c r="G28" s="2674"/>
      <c r="H28" s="462">
        <f>SUMIF(91:91,G28,92:92)-SUMIF(91:91,C28,92:92)+100</f>
        <v>100</v>
      </c>
      <c r="I28" s="2662"/>
      <c r="J28" s="462">
        <f>SUMIF(91:91,I28,92:92)-SUMIF(91:91,C28,92:92)+100</f>
        <v>100</v>
      </c>
      <c r="K28" s="612"/>
      <c r="L28" s="1135"/>
      <c r="M28" s="1136"/>
      <c r="N28" s="1136"/>
      <c r="O28" s="1136"/>
      <c r="P28" s="3257"/>
      <c r="Q28" s="1797" t="str">
        <f t="shared" si="11"/>
        <v>朝向</v>
      </c>
      <c r="R28" s="770" t="s">
        <v>17</v>
      </c>
      <c r="S28" s="771">
        <f>F28</f>
        <v>100</v>
      </c>
      <c r="T28" s="770" t="s">
        <v>17</v>
      </c>
      <c r="U28" s="771">
        <f>H28</f>
        <v>100</v>
      </c>
      <c r="V28" s="770" t="s">
        <v>17</v>
      </c>
      <c r="W28" s="771">
        <f>J28</f>
        <v>100</v>
      </c>
      <c r="X28" s="772"/>
      <c r="Y28" s="3210"/>
      <c r="Z28" s="55" t="str">
        <f>Q28</f>
        <v>朝向</v>
      </c>
      <c r="AA28" s="1813">
        <f>D28/F28</f>
        <v>1</v>
      </c>
      <c r="AB28" s="1813">
        <f>D28/H28</f>
        <v>1</v>
      </c>
      <c r="AC28" s="2671">
        <f>D28/J28</f>
        <v>1</v>
      </c>
    </row>
    <row r="29" spans="1:29" ht="15">
      <c r="A29" s="428"/>
      <c r="B29" s="2675">
        <v>111</v>
      </c>
      <c r="C29" s="2614"/>
      <c r="D29" s="435">
        <v>100</v>
      </c>
      <c r="E29" s="432"/>
      <c r="F29" s="435">
        <f>SUMIF(93:93,E29,94:94)-SUMIF(93:93,C29,94:94)+100</f>
        <v>100</v>
      </c>
      <c r="G29" s="2669"/>
      <c r="H29" s="435">
        <f>SUMIF(93:93,G29,94:94)-SUMIF(93:93,C29,94:94)+100</f>
        <v>100</v>
      </c>
      <c r="I29" s="432"/>
      <c r="J29" s="435">
        <f>SUMIF(93:93,I29,94:94)-SUMIF(93:93,C29,94:94)+100</f>
        <v>100</v>
      </c>
      <c r="K29" s="613"/>
      <c r="L29" s="1143"/>
      <c r="M29" s="1134"/>
      <c r="N29" s="1134"/>
      <c r="O29" s="1134"/>
      <c r="P29" s="3257"/>
      <c r="Q29" s="1812">
        <f t="shared" si="11"/>
        <v>111</v>
      </c>
      <c r="R29" s="774" t="s">
        <v>17</v>
      </c>
      <c r="S29" s="775">
        <f t="shared" ref="S29:S47" si="12">F29</f>
        <v>100</v>
      </c>
      <c r="T29" s="774" t="s">
        <v>17</v>
      </c>
      <c r="U29" s="775">
        <f t="shared" ref="U29:U47" si="13">H29</f>
        <v>100</v>
      </c>
      <c r="V29" s="774" t="s">
        <v>17</v>
      </c>
      <c r="W29" s="775">
        <f t="shared" ref="W29:W47" si="14">J29</f>
        <v>100</v>
      </c>
      <c r="X29" s="1815"/>
      <c r="Y29" s="3210"/>
      <c r="Z29" s="1816">
        <f t="shared" ref="Z29:Z47" si="15">Q29</f>
        <v>111</v>
      </c>
      <c r="AA29" s="1813">
        <f t="shared" si="3"/>
        <v>1</v>
      </c>
      <c r="AB29" s="1813">
        <f t="shared" si="4"/>
        <v>1</v>
      </c>
      <c r="AC29" s="2671">
        <f t="shared" si="5"/>
        <v>1</v>
      </c>
    </row>
    <row r="30" spans="1:29" ht="15">
      <c r="A30" s="428"/>
      <c r="B30" s="2675">
        <v>111</v>
      </c>
      <c r="C30" s="2614"/>
      <c r="D30" s="435">
        <v>100</v>
      </c>
      <c r="E30" s="432"/>
      <c r="F30" s="435">
        <f>SUMIF(95:95,E30,96:96)-SUMIF(95:95,C30,96:96)+100</f>
        <v>100</v>
      </c>
      <c r="G30" s="2669"/>
      <c r="H30" s="435">
        <f>SUMIF(95:95,G30,96:96)-SUMIF(95:95,C30,96:96)+100</f>
        <v>100</v>
      </c>
      <c r="I30" s="432"/>
      <c r="J30" s="435">
        <f>SUMIF(95:95,I30,96:96)-SUMIF(95:95,C30,96:96)+100</f>
        <v>100</v>
      </c>
      <c r="K30" s="613"/>
      <c r="L30" s="1143"/>
      <c r="M30" s="1134"/>
      <c r="N30" s="1134"/>
      <c r="O30" s="1134"/>
      <c r="P30" s="3257"/>
      <c r="Q30" s="1812">
        <f t="shared" si="11"/>
        <v>111</v>
      </c>
      <c r="R30" s="774" t="s">
        <v>17</v>
      </c>
      <c r="S30" s="775">
        <f t="shared" si="12"/>
        <v>100</v>
      </c>
      <c r="T30" s="774" t="s">
        <v>17</v>
      </c>
      <c r="U30" s="775">
        <f t="shared" si="13"/>
        <v>100</v>
      </c>
      <c r="V30" s="774" t="s">
        <v>17</v>
      </c>
      <c r="W30" s="775">
        <f t="shared" si="14"/>
        <v>100</v>
      </c>
      <c r="X30" s="1815"/>
      <c r="Y30" s="3210"/>
      <c r="Z30" s="1816">
        <f t="shared" si="15"/>
        <v>111</v>
      </c>
      <c r="AA30" s="1813">
        <f t="shared" si="3"/>
        <v>1</v>
      </c>
      <c r="AB30" s="1813">
        <f t="shared" si="4"/>
        <v>1</v>
      </c>
      <c r="AC30" s="2671">
        <f t="shared" si="5"/>
        <v>1</v>
      </c>
    </row>
    <row r="31" spans="1:29" ht="15">
      <c r="A31" s="428"/>
      <c r="B31" s="2675">
        <v>111</v>
      </c>
      <c r="C31" s="2614"/>
      <c r="D31" s="435">
        <v>100</v>
      </c>
      <c r="E31" s="432"/>
      <c r="F31" s="435">
        <f>SUMIF(97:97,E31,98:98)-SUMIF(97:97,C31,98:98)+100</f>
        <v>100</v>
      </c>
      <c r="G31" s="2669"/>
      <c r="H31" s="435">
        <f>SUMIF(97:97,G31,98:98)-SUMIF(97:97,C31,98:98)+100</f>
        <v>100</v>
      </c>
      <c r="I31" s="432"/>
      <c r="J31" s="435">
        <f>SUMIF(97:97,I31,98:98)-SUMIF(97:97,C31,98:98)+100</f>
        <v>100</v>
      </c>
      <c r="K31" s="613"/>
      <c r="L31" s="1143"/>
      <c r="M31" s="1134"/>
      <c r="N31" s="1134"/>
      <c r="O31" s="1134"/>
      <c r="P31" s="3257"/>
      <c r="Q31" s="1812">
        <f t="shared" si="11"/>
        <v>111</v>
      </c>
      <c r="R31" s="774" t="s">
        <v>17</v>
      </c>
      <c r="S31" s="775">
        <f t="shared" si="12"/>
        <v>100</v>
      </c>
      <c r="T31" s="774" t="s">
        <v>17</v>
      </c>
      <c r="U31" s="775">
        <f t="shared" si="13"/>
        <v>100</v>
      </c>
      <c r="V31" s="774" t="s">
        <v>17</v>
      </c>
      <c r="W31" s="775">
        <f t="shared" si="14"/>
        <v>100</v>
      </c>
      <c r="X31" s="1815"/>
      <c r="Y31" s="3210"/>
      <c r="Z31" s="1816">
        <f t="shared" si="15"/>
        <v>111</v>
      </c>
      <c r="AA31" s="1813">
        <f t="shared" si="3"/>
        <v>1</v>
      </c>
      <c r="AB31" s="1813">
        <f t="shared" si="4"/>
        <v>1</v>
      </c>
      <c r="AC31" s="2671">
        <f t="shared" si="5"/>
        <v>1</v>
      </c>
    </row>
    <row r="32" spans="1:29" ht="15.75" thickBot="1">
      <c r="A32" s="436"/>
      <c r="B32" s="635">
        <v>111</v>
      </c>
      <c r="C32" s="2615"/>
      <c r="D32" s="438">
        <v>100</v>
      </c>
      <c r="E32" s="628"/>
      <c r="F32" s="438">
        <f>SUMIF(99:99,E32,100:100)-SUMIF(99:99,C32,100:100)+100</f>
        <v>100</v>
      </c>
      <c r="G32" s="2669"/>
      <c r="H32" s="438">
        <f>SUMIF(99:99,G32,100:100)-SUMIF(99:99,C32,100:100)+100</f>
        <v>100</v>
      </c>
      <c r="I32" s="432"/>
      <c r="J32" s="438">
        <f>SUMIF(99:99,I32,100:100)-SUMIF(99:99,C32,100:100)+100</f>
        <v>100</v>
      </c>
      <c r="K32" s="613"/>
      <c r="L32" s="1143"/>
      <c r="M32" s="1134"/>
      <c r="N32" s="1134"/>
      <c r="O32" s="1134"/>
      <c r="P32" s="3257"/>
      <c r="Q32" s="1812">
        <f t="shared" si="11"/>
        <v>111</v>
      </c>
      <c r="R32" s="774" t="s">
        <v>17</v>
      </c>
      <c r="S32" s="775">
        <f t="shared" si="12"/>
        <v>100</v>
      </c>
      <c r="T32" s="774" t="s">
        <v>17</v>
      </c>
      <c r="U32" s="775">
        <f t="shared" si="13"/>
        <v>100</v>
      </c>
      <c r="V32" s="774" t="s">
        <v>17</v>
      </c>
      <c r="W32" s="775">
        <f t="shared" si="14"/>
        <v>100</v>
      </c>
      <c r="X32" s="1815"/>
      <c r="Y32" s="3210"/>
      <c r="Z32" s="1816">
        <f t="shared" si="15"/>
        <v>111</v>
      </c>
      <c r="AA32" s="1813">
        <f t="shared" si="3"/>
        <v>1</v>
      </c>
      <c r="AB32" s="1813">
        <f t="shared" si="4"/>
        <v>1</v>
      </c>
      <c r="AC32" s="2671">
        <f t="shared" si="5"/>
        <v>1</v>
      </c>
    </row>
    <row r="33" spans="1:29" ht="15">
      <c r="A33" s="440" t="s">
        <v>2567</v>
      </c>
      <c r="B33" s="71" t="s">
        <v>2697</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3"/>
      <c r="M33" s="1134"/>
      <c r="N33" s="1134"/>
      <c r="O33" s="1134"/>
      <c r="P33" s="3252" t="s">
        <v>2569</v>
      </c>
      <c r="Q33" s="1812" t="str">
        <f t="shared" si="11"/>
        <v>建筑类型</v>
      </c>
      <c r="R33" s="774" t="s">
        <v>17</v>
      </c>
      <c r="S33" s="775">
        <f t="shared" si="12"/>
        <v>100</v>
      </c>
      <c r="T33" s="774" t="s">
        <v>17</v>
      </c>
      <c r="U33" s="775">
        <f t="shared" si="13"/>
        <v>100</v>
      </c>
      <c r="V33" s="774" t="s">
        <v>17</v>
      </c>
      <c r="W33" s="775">
        <f t="shared" si="14"/>
        <v>100</v>
      </c>
      <c r="X33" s="1815"/>
      <c r="Y33" s="3212" t="s">
        <v>2569</v>
      </c>
      <c r="Z33" s="1816" t="str">
        <f t="shared" si="15"/>
        <v>建筑类型</v>
      </c>
      <c r="AA33" s="1813">
        <f t="shared" si="3"/>
        <v>1</v>
      </c>
      <c r="AB33" s="1813">
        <f t="shared" si="4"/>
        <v>1</v>
      </c>
      <c r="AC33" s="2671">
        <f t="shared" si="5"/>
        <v>1</v>
      </c>
    </row>
    <row r="34" spans="1:29" s="471" customFormat="1" ht="15">
      <c r="A34" s="468"/>
      <c r="B34" s="422" t="s">
        <v>2570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3"/>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813" t="e">
        <f t="shared" si="3"/>
        <v>#N/A</v>
      </c>
      <c r="AB34" s="1813" t="e">
        <f t="shared" si="4"/>
        <v>#N/A</v>
      </c>
      <c r="AC34" s="2671"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3"/>
      <c r="Q35" s="1812" t="str">
        <f t="shared" si="11"/>
        <v>建筑结构</v>
      </c>
      <c r="R35" s="774" t="s">
        <v>17</v>
      </c>
      <c r="S35" s="775">
        <f t="shared" si="12"/>
        <v>100</v>
      </c>
      <c r="T35" s="774" t="s">
        <v>17</v>
      </c>
      <c r="U35" s="775">
        <f t="shared" si="13"/>
        <v>100</v>
      </c>
      <c r="V35" s="774" t="s">
        <v>17</v>
      </c>
      <c r="W35" s="775">
        <f t="shared" si="14"/>
        <v>100</v>
      </c>
      <c r="X35" s="1815"/>
      <c r="Y35" s="3212"/>
      <c r="Z35" s="1816" t="str">
        <f t="shared" si="15"/>
        <v>建筑结构</v>
      </c>
      <c r="AA35" s="1813">
        <f t="shared" si="3"/>
        <v>1</v>
      </c>
      <c r="AB35" s="1813">
        <f t="shared" si="4"/>
        <v>1</v>
      </c>
      <c r="AC35" s="2671">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3"/>
      <c r="Q36" s="1812" t="str">
        <f t="shared" si="11"/>
        <v>公共部分装修</v>
      </c>
      <c r="R36" s="774" t="s">
        <v>17</v>
      </c>
      <c r="S36" s="775">
        <f t="shared" si="12"/>
        <v>100</v>
      </c>
      <c r="T36" s="774" t="s">
        <v>17</v>
      </c>
      <c r="U36" s="775">
        <f t="shared" si="13"/>
        <v>100</v>
      </c>
      <c r="V36" s="774" t="s">
        <v>17</v>
      </c>
      <c r="W36" s="775">
        <f t="shared" si="14"/>
        <v>100</v>
      </c>
      <c r="X36" s="1815"/>
      <c r="Y36" s="3212"/>
      <c r="Z36" s="1816" t="str">
        <f t="shared" si="15"/>
        <v>公共部分装修</v>
      </c>
      <c r="AA36" s="1813">
        <f t="shared" si="3"/>
        <v>1</v>
      </c>
      <c r="AB36" s="1813">
        <f t="shared" si="4"/>
        <v>1</v>
      </c>
      <c r="AC36" s="2671">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3"/>
      <c r="Q37" s="1812" t="str">
        <f t="shared" si="11"/>
        <v>成新度</v>
      </c>
      <c r="R37" s="774" t="s">
        <v>17</v>
      </c>
      <c r="S37" s="775" t="e">
        <f t="shared" si="12"/>
        <v>#N/A</v>
      </c>
      <c r="T37" s="774" t="s">
        <v>17</v>
      </c>
      <c r="U37" s="775" t="e">
        <f t="shared" si="13"/>
        <v>#N/A</v>
      </c>
      <c r="V37" s="774" t="s">
        <v>17</v>
      </c>
      <c r="W37" s="775" t="e">
        <f t="shared" si="14"/>
        <v>#N/A</v>
      </c>
      <c r="X37" s="1815"/>
      <c r="Y37" s="3212"/>
      <c r="Z37" s="1816" t="str">
        <f t="shared" si="15"/>
        <v>成新度</v>
      </c>
      <c r="AA37" s="1813" t="e">
        <f t="shared" si="3"/>
        <v>#N/A</v>
      </c>
      <c r="AB37" s="1813" t="e">
        <f t="shared" si="4"/>
        <v>#N/A</v>
      </c>
      <c r="AC37" s="2671" t="e">
        <f t="shared" si="5"/>
        <v>#N/A</v>
      </c>
    </row>
    <row r="38" spans="1:29" s="117" customFormat="1" ht="15">
      <c r="A38" s="473"/>
      <c r="B38" s="422" t="s">
        <v>2698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3"/>
      <c r="Q38" s="1797"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68">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3" t="s">
        <v>2569</v>
      </c>
      <c r="Q39" s="1812" t="str">
        <f t="shared" si="11"/>
        <v>物业管理</v>
      </c>
      <c r="R39" s="774" t="s">
        <v>17</v>
      </c>
      <c r="S39" s="775">
        <f t="shared" si="12"/>
        <v>100</v>
      </c>
      <c r="T39" s="774" t="s">
        <v>17</v>
      </c>
      <c r="U39" s="775">
        <f t="shared" si="13"/>
        <v>100</v>
      </c>
      <c r="V39" s="774" t="s">
        <v>17</v>
      </c>
      <c r="W39" s="775">
        <f t="shared" si="14"/>
        <v>100</v>
      </c>
      <c r="X39" s="1815"/>
      <c r="Y39" s="3212" t="s">
        <v>2569</v>
      </c>
      <c r="Z39" s="1816" t="str">
        <f t="shared" si="15"/>
        <v>物业管理</v>
      </c>
      <c r="AA39" s="1813">
        <f t="shared" si="3"/>
        <v>1</v>
      </c>
      <c r="AB39" s="1813">
        <f t="shared" si="4"/>
        <v>1</v>
      </c>
      <c r="AC39" s="2671">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3"/>
      <c r="Q40" s="1812" t="str">
        <f t="shared" si="11"/>
        <v>市政基础设施</v>
      </c>
      <c r="R40" s="774" t="s">
        <v>17</v>
      </c>
      <c r="S40" s="775">
        <f t="shared" si="12"/>
        <v>100</v>
      </c>
      <c r="T40" s="774" t="s">
        <v>17</v>
      </c>
      <c r="U40" s="775">
        <f t="shared" si="13"/>
        <v>100</v>
      </c>
      <c r="V40" s="774" t="s">
        <v>17</v>
      </c>
      <c r="W40" s="775">
        <f t="shared" si="14"/>
        <v>100</v>
      </c>
      <c r="X40" s="1815"/>
      <c r="Y40" s="3212"/>
      <c r="Z40" s="1816" t="str">
        <f t="shared" si="15"/>
        <v>市政基础设施</v>
      </c>
      <c r="AA40" s="1813">
        <f t="shared" si="3"/>
        <v>1</v>
      </c>
      <c r="AB40" s="1813">
        <f t="shared" si="4"/>
        <v>1</v>
      </c>
      <c r="AC40" s="2671">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3"/>
      <c r="Q41" s="1812" t="str">
        <f t="shared" si="11"/>
        <v>层高</v>
      </c>
      <c r="R41" s="774" t="s">
        <v>17</v>
      </c>
      <c r="S41" s="775">
        <f t="shared" si="12"/>
        <v>100</v>
      </c>
      <c r="T41" s="774" t="s">
        <v>17</v>
      </c>
      <c r="U41" s="775">
        <f t="shared" si="13"/>
        <v>100</v>
      </c>
      <c r="V41" s="774" t="s">
        <v>17</v>
      </c>
      <c r="W41" s="775">
        <f t="shared" si="14"/>
        <v>100</v>
      </c>
      <c r="X41" s="1815"/>
      <c r="Y41" s="3212"/>
      <c r="Z41" s="1816" t="str">
        <f t="shared" si="15"/>
        <v>层高</v>
      </c>
      <c r="AA41" s="1813">
        <f t="shared" si="3"/>
        <v>1</v>
      </c>
      <c r="AB41" s="1813">
        <f t="shared" si="4"/>
        <v>1</v>
      </c>
      <c r="AC41" s="2671">
        <f t="shared" si="5"/>
        <v>1</v>
      </c>
    </row>
    <row r="42" spans="1:29" s="471" customFormat="1" ht="15">
      <c r="A42" s="468"/>
      <c r="B42" s="1814"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3"/>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13">
        <f t="shared" si="3"/>
        <v>1</v>
      </c>
      <c r="AB42" s="1813">
        <f t="shared" si="4"/>
        <v>1</v>
      </c>
      <c r="AC42" s="2671">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3"/>
      <c r="Q43" s="1812" t="str">
        <f t="shared" si="11"/>
        <v>内部装修</v>
      </c>
      <c r="R43" s="774" t="s">
        <v>17</v>
      </c>
      <c r="S43" s="775">
        <f t="shared" si="12"/>
        <v>100</v>
      </c>
      <c r="T43" s="774" t="s">
        <v>17</v>
      </c>
      <c r="U43" s="775">
        <f t="shared" si="13"/>
        <v>100</v>
      </c>
      <c r="V43" s="774" t="s">
        <v>17</v>
      </c>
      <c r="W43" s="775">
        <f t="shared" si="14"/>
        <v>100</v>
      </c>
      <c r="X43" s="1815"/>
      <c r="Y43" s="3212"/>
      <c r="Z43" s="1816" t="str">
        <f t="shared" si="15"/>
        <v>内部装修</v>
      </c>
      <c r="AA43" s="1813">
        <f t="shared" si="3"/>
        <v>1</v>
      </c>
      <c r="AB43" s="1813">
        <f t="shared" si="4"/>
        <v>1</v>
      </c>
      <c r="AC43" s="2671">
        <f t="shared" si="5"/>
        <v>1</v>
      </c>
    </row>
    <row r="44" spans="1:29" ht="15">
      <c r="A44" s="472"/>
      <c r="B44" s="422" t="s">
        <v>2580</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3"/>
      <c r="M44" s="1134"/>
      <c r="N44" s="1134"/>
      <c r="O44" s="1134"/>
      <c r="P44" s="3253"/>
      <c r="Q44" s="1812" t="str">
        <f t="shared" si="11"/>
        <v>内部装修维护情况</v>
      </c>
      <c r="R44" s="774" t="s">
        <v>17</v>
      </c>
      <c r="S44" s="775">
        <f t="shared" si="12"/>
        <v>100</v>
      </c>
      <c r="T44" s="774" t="s">
        <v>17</v>
      </c>
      <c r="U44" s="775">
        <f t="shared" si="13"/>
        <v>100</v>
      </c>
      <c r="V44" s="774" t="s">
        <v>17</v>
      </c>
      <c r="W44" s="775">
        <f t="shared" si="14"/>
        <v>100</v>
      </c>
      <c r="X44" s="1815"/>
      <c r="Y44" s="3212"/>
      <c r="Z44" s="1816" t="str">
        <f t="shared" si="15"/>
        <v>内部装修维护情况</v>
      </c>
      <c r="AA44" s="1813">
        <f t="shared" si="3"/>
        <v>1</v>
      </c>
      <c r="AB44" s="1813">
        <f t="shared" si="4"/>
        <v>1</v>
      </c>
      <c r="AC44" s="267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3"/>
      <c r="Q45" s="1797">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6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3"/>
      <c r="Q46" s="1812">
        <f t="shared" si="11"/>
        <v>111</v>
      </c>
      <c r="R46" s="774" t="s">
        <v>17</v>
      </c>
      <c r="S46" s="775">
        <f t="shared" si="12"/>
        <v>100</v>
      </c>
      <c r="T46" s="774" t="s">
        <v>17</v>
      </c>
      <c r="U46" s="775">
        <f t="shared" si="13"/>
        <v>100</v>
      </c>
      <c r="V46" s="774" t="s">
        <v>17</v>
      </c>
      <c r="W46" s="775">
        <f t="shared" si="14"/>
        <v>100</v>
      </c>
      <c r="X46" s="1815"/>
      <c r="Y46" s="3212"/>
      <c r="Z46" s="1816">
        <f t="shared" si="15"/>
        <v>111</v>
      </c>
      <c r="AA46" s="1813">
        <f t="shared" si="3"/>
        <v>1</v>
      </c>
      <c r="AB46" s="1813">
        <f t="shared" si="4"/>
        <v>1</v>
      </c>
      <c r="AC46" s="2671">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4"/>
      <c r="Q47" s="1812">
        <f t="shared" si="11"/>
        <v>111</v>
      </c>
      <c r="R47" s="774" t="s">
        <v>17</v>
      </c>
      <c r="S47" s="775">
        <f t="shared" si="12"/>
        <v>100</v>
      </c>
      <c r="T47" s="774" t="s">
        <v>17</v>
      </c>
      <c r="U47" s="775">
        <f t="shared" si="13"/>
        <v>100</v>
      </c>
      <c r="V47" s="774" t="s">
        <v>17</v>
      </c>
      <c r="W47" s="775">
        <f t="shared" si="14"/>
        <v>100</v>
      </c>
      <c r="X47" s="1815"/>
      <c r="Y47" s="3255"/>
      <c r="Z47" s="1816">
        <f t="shared" si="15"/>
        <v>111</v>
      </c>
      <c r="AA47" s="1813">
        <f t="shared" si="3"/>
        <v>1</v>
      </c>
      <c r="AB47" s="1813">
        <f t="shared" si="4"/>
        <v>1</v>
      </c>
      <c r="AC47" s="2671">
        <f t="shared" si="5"/>
        <v>1</v>
      </c>
    </row>
    <row r="48" spans="1:29" ht="15">
      <c r="A48" s="479" t="s">
        <v>2581</v>
      </c>
      <c r="B48" s="480"/>
      <c r="C48" s="1410" t="s">
        <v>1</v>
      </c>
      <c r="D48" s="1411"/>
      <c r="E48" s="1412"/>
      <c r="F48" s="1413"/>
      <c r="G48" s="1414"/>
      <c r="H48" s="1415"/>
      <c r="I48" s="1412"/>
      <c r="J48" s="485"/>
      <c r="K48" s="783"/>
      <c r="L48" s="1146"/>
      <c r="M48" s="1134"/>
      <c r="N48" s="1134"/>
      <c r="O48" s="1134"/>
      <c r="P48" s="3218" t="str">
        <f>A48</f>
        <v>成交单价（元/平方米）</v>
      </c>
      <c r="Q48" s="3194"/>
      <c r="R48" s="3251">
        <f>E48</f>
        <v>0</v>
      </c>
      <c r="S48" s="3251"/>
      <c r="T48" s="3251">
        <f>G48</f>
        <v>0</v>
      </c>
      <c r="U48" s="3251"/>
      <c r="V48" s="3251">
        <f>I48</f>
        <v>0</v>
      </c>
      <c r="W48" s="3251"/>
      <c r="X48" s="446"/>
      <c r="Y48" s="781"/>
      <c r="Z48" s="446"/>
      <c r="AA48" s="446"/>
      <c r="AB48" s="446"/>
      <c r="AC48" s="630"/>
    </row>
    <row r="49" spans="1:29" ht="15.75" thickBot="1">
      <c r="A49" s="486" t="s">
        <v>2673</v>
      </c>
      <c r="B49" s="487"/>
      <c r="C49" s="1416" t="e">
        <f>R50</f>
        <v>#DIV/0!</v>
      </c>
      <c r="D49" s="1417"/>
      <c r="E49" s="1418" t="e">
        <f>R49</f>
        <v>#DIV/0!</v>
      </c>
      <c r="F49" s="1418"/>
      <c r="G49" s="1416" t="e">
        <f>T49</f>
        <v>#DIV/0!</v>
      </c>
      <c r="H49" s="1417"/>
      <c r="I49" s="1418" t="e">
        <f>V49</f>
        <v>#DIV/0!</v>
      </c>
      <c r="J49" s="489"/>
      <c r="K49" s="784"/>
      <c r="L49" s="1146"/>
      <c r="M49" s="1134"/>
      <c r="N49" s="1134"/>
      <c r="O49" s="1134"/>
      <c r="P49" s="3218" t="str">
        <f>A49</f>
        <v>比较价值（元/平方米）</v>
      </c>
      <c r="Q49" s="3194"/>
      <c r="R49" s="3251" t="e">
        <f>IF(F1="售价",ROUND(PRODUCT(R48,AA7:AA47),0),ROUND(PRODUCT(R48,AA7:AA47),1))</f>
        <v>#DIV/0!</v>
      </c>
      <c r="S49" s="3251"/>
      <c r="T49" s="3251" t="e">
        <f>IF(F1="售价",ROUND(PRODUCT(T48,AB7:AB47),0),ROUND(PRODUCT(T48,AB7:AB47),1))</f>
        <v>#DIV/0!</v>
      </c>
      <c r="U49" s="3251"/>
      <c r="V49" s="3251" t="e">
        <f>IF(F1="售价",ROUND(PRODUCT(V48,AC7:AC47),0),ROUND(PRODUCT(V48,AC7:AC47),1))</f>
        <v>#DIV/0!</v>
      </c>
      <c r="W49" s="3251"/>
      <c r="X49" s="446"/>
      <c r="Y49" s="446"/>
      <c r="Z49" s="446"/>
      <c r="AA49" s="446"/>
      <c r="AB49" s="446"/>
      <c r="AC49" s="630"/>
    </row>
    <row r="50" spans="1:29" ht="15.75" thickBot="1">
      <c r="A50" s="492" t="s">
        <v>2674</v>
      </c>
      <c r="B50" s="493"/>
      <c r="C50" s="1420" t="e">
        <f>R50</f>
        <v>#DIV/0!</v>
      </c>
      <c r="D50" s="1420"/>
      <c r="E50" s="1420"/>
      <c r="F50" s="1420"/>
      <c r="G50" s="1420"/>
      <c r="H50" s="1420"/>
      <c r="I50" s="1420"/>
      <c r="J50" s="494"/>
      <c r="K50" s="785"/>
      <c r="L50" s="1146"/>
      <c r="M50" s="1134"/>
      <c r="N50" s="1134"/>
      <c r="O50" s="1134"/>
      <c r="P50" s="3270" t="str">
        <f>A50</f>
        <v>估价对象XX用房的比较价值（楼面单价，元/平方米）</v>
      </c>
      <c r="Q50" s="3271"/>
      <c r="R50" s="3272" t="e">
        <f>IF(F1="售价",ROUND(AVERAGE(R49:V49),0),ROUND(AVERAGE(R49:V49),1))</f>
        <v>#DIV/0!</v>
      </c>
      <c r="S50" s="3272"/>
      <c r="T50" s="3272"/>
      <c r="U50" s="3272"/>
      <c r="V50" s="3272"/>
      <c r="W50" s="3272"/>
      <c r="X50" s="2651"/>
      <c r="Y50" s="2651"/>
      <c r="Z50" s="2651"/>
      <c r="AA50" s="2651"/>
      <c r="AB50" s="2651"/>
      <c r="AC50" s="265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7"/>
    </row>
    <row r="56" spans="1:29" s="502" customFormat="1">
      <c r="A56" s="1148"/>
      <c r="B56" s="1149"/>
      <c r="C56" s="1153"/>
      <c r="D56" s="1148"/>
      <c r="E56" s="1148"/>
      <c r="F56" s="1148"/>
      <c r="G56" s="1148"/>
      <c r="H56" s="1148"/>
      <c r="I56" s="1148"/>
      <c r="J56" s="1148"/>
      <c r="K56" s="1151"/>
      <c r="L56" s="1152"/>
      <c r="M56" s="1148"/>
      <c r="N56" s="1148"/>
      <c r="O56" s="1148"/>
      <c r="P56" s="2677"/>
    </row>
    <row r="57" spans="1:29">
      <c r="A57" s="1147"/>
      <c r="B57" s="1149"/>
      <c r="C57" s="1153"/>
      <c r="D57" s="1147"/>
      <c r="E57" s="1147"/>
      <c r="F57" s="1147"/>
      <c r="G57" s="1147"/>
      <c r="H57" s="1147"/>
      <c r="I57" s="1147"/>
      <c r="J57" s="1147"/>
      <c r="K57" s="1108"/>
      <c r="L57" s="1109"/>
      <c r="M57" s="1147"/>
      <c r="N57" s="1147"/>
      <c r="O57" s="1147"/>
    </row>
    <row r="58" spans="1:29" ht="21.75" thickBot="1">
      <c r="A58" s="763" t="s">
        <v>2678</v>
      </c>
      <c r="B58" s="759"/>
      <c r="C58" s="764"/>
      <c r="D58" s="764"/>
      <c r="E58" s="764"/>
      <c r="F58" s="765"/>
      <c r="G58" s="765"/>
      <c r="H58" s="764"/>
      <c r="I58" s="764"/>
      <c r="J58" s="764"/>
      <c r="K58" s="766"/>
      <c r="L58" s="1164"/>
      <c r="M58" s="1162"/>
      <c r="N58" s="1162"/>
      <c r="O58" s="1162"/>
      <c r="P58" s="2678"/>
      <c r="Q58" s="504"/>
    </row>
    <row r="59" spans="1:29" s="508" customFormat="1" ht="15">
      <c r="A59" s="505" t="s">
        <v>2552</v>
      </c>
      <c r="B59" s="506"/>
      <c r="C59" s="1576" t="str">
        <f>YEAR(C7)&amp;"-"&amp;MONTH(C7)</f>
        <v>2018-3</v>
      </c>
      <c r="D59" s="1577">
        <f>EDATE(C59,-1)</f>
        <v>43132</v>
      </c>
      <c r="E59" s="1577">
        <f>EDATE(D59,-1)</f>
        <v>43101</v>
      </c>
      <c r="F59" s="1577">
        <f t="shared" ref="F59:O59" si="16">EDATE(E59,-1)</f>
        <v>43070</v>
      </c>
      <c r="G59" s="1577">
        <f t="shared" si="16"/>
        <v>43040</v>
      </c>
      <c r="H59" s="1577">
        <f t="shared" si="16"/>
        <v>43009</v>
      </c>
      <c r="I59" s="1577">
        <f t="shared" si="16"/>
        <v>42979</v>
      </c>
      <c r="J59" s="1577">
        <f t="shared" si="16"/>
        <v>42948</v>
      </c>
      <c r="K59" s="1577">
        <f t="shared" si="16"/>
        <v>42917</v>
      </c>
      <c r="L59" s="1577">
        <f t="shared" si="16"/>
        <v>42887</v>
      </c>
      <c r="M59" s="1577">
        <f t="shared" si="16"/>
        <v>42856</v>
      </c>
      <c r="N59" s="1577">
        <f t="shared" si="16"/>
        <v>42826</v>
      </c>
      <c r="O59" s="1577">
        <f t="shared" si="16"/>
        <v>42795</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2589</v>
      </c>
      <c r="B61" s="516"/>
      <c r="C61" s="517"/>
      <c r="D61" s="518"/>
      <c r="E61" s="518"/>
      <c r="F61" s="518"/>
      <c r="G61" s="518"/>
      <c r="H61" s="518"/>
      <c r="I61" s="518"/>
      <c r="J61" s="518"/>
      <c r="K61" s="518"/>
      <c r="L61" s="518"/>
      <c r="M61" s="519"/>
      <c r="N61" s="518"/>
      <c r="O61" s="519"/>
      <c r="P61" s="2679"/>
      <c r="Q61" s="504"/>
    </row>
    <row r="62" spans="1:29" s="117" customFormat="1" ht="15">
      <c r="A62" s="521" t="s">
        <v>2554</v>
      </c>
      <c r="B62" s="510"/>
      <c r="C62" s="522" t="s">
        <v>2656</v>
      </c>
      <c r="D62" s="523"/>
      <c r="E62" s="523"/>
      <c r="F62" s="523"/>
      <c r="G62" s="523"/>
      <c r="H62" s="523"/>
      <c r="I62" s="523"/>
      <c r="J62" s="523"/>
      <c r="K62" s="523"/>
      <c r="L62" s="524"/>
      <c r="M62" s="525"/>
      <c r="N62" s="1154"/>
      <c r="O62" s="1154"/>
      <c r="P62" s="2680"/>
      <c r="Q62" s="504"/>
    </row>
    <row r="63" spans="1:29" s="117" customFormat="1" ht="15.75" thickBot="1">
      <c r="A63" s="521"/>
      <c r="B63" s="510"/>
      <c r="C63" s="511">
        <v>100</v>
      </c>
      <c r="D63" s="512"/>
      <c r="E63" s="512"/>
      <c r="F63" s="512"/>
      <c r="G63" s="512"/>
      <c r="H63" s="512"/>
      <c r="I63" s="512"/>
      <c r="J63" s="512"/>
      <c r="K63" s="512"/>
      <c r="L63" s="512"/>
      <c r="M63" s="514"/>
      <c r="N63" s="1154"/>
      <c r="O63" s="1154"/>
      <c r="P63" s="2679"/>
      <c r="Q63" s="504"/>
    </row>
    <row r="64" spans="1:29">
      <c r="A64" s="527" t="s">
        <v>2592</v>
      </c>
      <c r="B64" s="528" t="s">
        <v>2558</v>
      </c>
      <c r="C64" s="529">
        <f>C9</f>
        <v>0</v>
      </c>
      <c r="D64" s="530"/>
      <c r="E64" s="530"/>
      <c r="F64" s="530"/>
      <c r="G64" s="530"/>
      <c r="H64" s="530"/>
      <c r="I64" s="530"/>
      <c r="J64" s="530"/>
      <c r="K64" s="531"/>
      <c r="L64" s="532"/>
      <c r="M64" s="533"/>
      <c r="N64" s="1155"/>
      <c r="O64" s="1155"/>
      <c r="P64" s="2681"/>
      <c r="Q64" s="504"/>
    </row>
    <row r="65" spans="1:17" ht="15.75" thickBot="1">
      <c r="A65" s="534"/>
      <c r="B65" s="535"/>
      <c r="C65" s="536">
        <v>100</v>
      </c>
      <c r="D65" s="536"/>
      <c r="E65" s="536"/>
      <c r="F65" s="536"/>
      <c r="G65" s="536"/>
      <c r="H65" s="536"/>
      <c r="I65" s="536"/>
      <c r="J65" s="536"/>
      <c r="K65" s="536"/>
      <c r="L65" s="536"/>
      <c r="M65" s="537"/>
      <c r="N65" s="1156"/>
      <c r="O65" s="1156"/>
      <c r="P65" s="268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5"/>
      <c r="O66" s="1155"/>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1"/>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1"/>
      <c r="Q68" s="504"/>
    </row>
    <row r="69" spans="1:17" ht="15">
      <c r="A69" s="534"/>
      <c r="B69" s="548"/>
      <c r="C69" s="549"/>
      <c r="D69" s="549"/>
      <c r="E69" s="549"/>
      <c r="F69" s="549"/>
      <c r="G69" s="549"/>
      <c r="H69" s="549"/>
      <c r="I69" s="549"/>
      <c r="J69" s="549"/>
      <c r="K69" s="550"/>
      <c r="L69" s="551"/>
      <c r="M69" s="552"/>
      <c r="N69" s="1155"/>
      <c r="O69" s="1155"/>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1"/>
      <c r="Q70" s="504"/>
    </row>
    <row r="71" spans="1:17" s="471" customFormat="1" ht="15.75" thickTop="1">
      <c r="A71" s="553"/>
      <c r="B71" s="538">
        <f>B12</f>
        <v>111</v>
      </c>
      <c r="C71" s="554"/>
      <c r="D71" s="554"/>
      <c r="E71" s="554"/>
      <c r="F71" s="554"/>
      <c r="G71" s="554"/>
      <c r="H71" s="555"/>
      <c r="I71" s="555"/>
      <c r="J71" s="555"/>
      <c r="K71" s="555"/>
      <c r="L71" s="556"/>
      <c r="M71" s="557"/>
      <c r="N71" s="1157"/>
      <c r="O71" s="1157"/>
      <c r="P71" s="2682"/>
      <c r="Q71" s="559"/>
    </row>
    <row r="72" spans="1:17" s="471" customFormat="1" ht="15.75" thickBot="1">
      <c r="A72" s="553"/>
      <c r="B72" s="543"/>
      <c r="C72" s="560"/>
      <c r="D72" s="536"/>
      <c r="E72" s="536"/>
      <c r="F72" s="536"/>
      <c r="G72" s="536"/>
      <c r="H72" s="536"/>
      <c r="I72" s="536"/>
      <c r="J72" s="536"/>
      <c r="K72" s="536"/>
      <c r="L72" s="536"/>
      <c r="M72" s="537"/>
      <c r="N72" s="1156"/>
      <c r="O72" s="1156"/>
      <c r="P72" s="2682"/>
      <c r="Q72" s="559"/>
    </row>
    <row r="73" spans="1:17" s="471" customFormat="1" ht="15.75" thickTop="1">
      <c r="A73" s="553"/>
      <c r="B73" s="538">
        <f>B13</f>
        <v>111</v>
      </c>
      <c r="C73" s="554"/>
      <c r="D73" s="554"/>
      <c r="E73" s="554"/>
      <c r="F73" s="554"/>
      <c r="G73" s="554"/>
      <c r="H73" s="555"/>
      <c r="I73" s="555"/>
      <c r="J73" s="555"/>
      <c r="K73" s="555"/>
      <c r="L73" s="556"/>
      <c r="M73" s="557"/>
      <c r="N73" s="1157"/>
      <c r="O73" s="1157"/>
      <c r="P73" s="2683"/>
      <c r="Q73" s="561"/>
    </row>
    <row r="74" spans="1:17" s="471" customFormat="1" ht="15.75" thickBot="1">
      <c r="A74" s="553"/>
      <c r="B74" s="543"/>
      <c r="C74" s="560"/>
      <c r="D74" s="560"/>
      <c r="E74" s="560"/>
      <c r="F74" s="560"/>
      <c r="G74" s="560"/>
      <c r="H74" s="562"/>
      <c r="I74" s="562"/>
      <c r="J74" s="562"/>
      <c r="K74" s="562"/>
      <c r="L74" s="562"/>
      <c r="M74" s="563"/>
      <c r="N74" s="1157"/>
      <c r="O74" s="1157"/>
      <c r="P74" s="2682"/>
      <c r="Q74" s="559"/>
    </row>
    <row r="75" spans="1:17" s="471" customFormat="1" ht="15.75" thickTop="1">
      <c r="A75" s="553"/>
      <c r="B75" s="546">
        <f>B14</f>
        <v>111</v>
      </c>
      <c r="C75" s="523"/>
      <c r="D75" s="523"/>
      <c r="E75" s="523"/>
      <c r="F75" s="523"/>
      <c r="G75" s="523"/>
      <c r="H75" s="564"/>
      <c r="I75" s="564"/>
      <c r="J75" s="564"/>
      <c r="K75" s="564"/>
      <c r="L75" s="565"/>
      <c r="M75" s="566"/>
      <c r="N75" s="1157"/>
      <c r="O75" s="1157"/>
      <c r="P75" s="2684"/>
      <c r="Q75" s="559"/>
    </row>
    <row r="76" spans="1:17" s="471" customFormat="1" ht="15.75" thickBot="1">
      <c r="A76" s="568"/>
      <c r="B76" s="569"/>
      <c r="C76" s="570"/>
      <c r="D76" s="570"/>
      <c r="E76" s="570"/>
      <c r="F76" s="570"/>
      <c r="G76" s="570"/>
      <c r="H76" s="571"/>
      <c r="I76" s="571"/>
      <c r="J76" s="571"/>
      <c r="K76" s="571"/>
      <c r="L76" s="571"/>
      <c r="M76" s="572"/>
      <c r="N76" s="1157"/>
      <c r="O76" s="1157"/>
      <c r="P76" s="268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5"/>
      <c r="O77" s="1155"/>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5"/>
      <c r="O79" s="1155"/>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5"/>
      <c r="O81" s="1155"/>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1"/>
      <c r="Q82" s="504"/>
    </row>
    <row r="83" spans="1:17" ht="15.75" thickTop="1">
      <c r="A83" s="534"/>
      <c r="B83" s="546" t="s">
        <v>2693</v>
      </c>
      <c r="C83" s="660" t="s">
        <v>2679</v>
      </c>
      <c r="D83" s="660" t="s">
        <v>2680</v>
      </c>
      <c r="E83" s="660" t="s">
        <v>2681</v>
      </c>
      <c r="F83" s="660" t="s">
        <v>2682</v>
      </c>
      <c r="G83" s="660" t="s">
        <v>2683</v>
      </c>
      <c r="H83" s="539"/>
      <c r="I83" s="539"/>
      <c r="J83" s="539"/>
      <c r="K83" s="539"/>
      <c r="L83" s="539"/>
      <c r="M83" s="1385"/>
      <c r="N83" s="1156"/>
      <c r="O83" s="1156"/>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5"/>
      <c r="O85" s="1155"/>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1"/>
      <c r="Q86" s="504"/>
    </row>
    <row r="87" spans="1:17" s="117" customFormat="1" ht="27.75" thickTop="1">
      <c r="A87" s="579"/>
      <c r="B87" s="538" t="s">
        <v>2703</v>
      </c>
      <c r="C87" s="554"/>
      <c r="D87" s="554"/>
      <c r="E87" s="554"/>
      <c r="F87" s="554"/>
      <c r="G87" s="554"/>
      <c r="H87" s="554"/>
      <c r="I87" s="554"/>
      <c r="J87" s="554"/>
      <c r="K87" s="554"/>
      <c r="L87" s="580"/>
      <c r="M87" s="581"/>
      <c r="N87" s="1154"/>
      <c r="O87" s="1154"/>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1"/>
      <c r="Q88" s="504"/>
    </row>
    <row r="89" spans="1:17" s="117" customFormat="1" ht="15.75" thickTop="1">
      <c r="A89" s="579"/>
      <c r="B89" s="538" t="str">
        <f>B27</f>
        <v>楼层</v>
      </c>
      <c r="C89" s="554"/>
      <c r="D89" s="554"/>
      <c r="E89" s="554"/>
      <c r="F89" s="2632"/>
      <c r="G89" s="554"/>
      <c r="H89" s="554"/>
      <c r="I89" s="554"/>
      <c r="J89" s="554"/>
      <c r="K89" s="554"/>
      <c r="L89" s="554"/>
      <c r="M89" s="581"/>
      <c r="N89" s="1154"/>
      <c r="O89" s="1154"/>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2"/>
      <c r="Q92" s="559"/>
    </row>
    <row r="93" spans="1:17" ht="15.75" thickTop="1">
      <c r="A93" s="534"/>
      <c r="B93" s="538">
        <f>B29</f>
        <v>111</v>
      </c>
      <c r="C93" s="554"/>
      <c r="D93" s="554"/>
      <c r="E93" s="554"/>
      <c r="F93" s="554"/>
      <c r="G93" s="554"/>
      <c r="H93" s="554"/>
      <c r="I93" s="554"/>
      <c r="J93" s="554"/>
      <c r="K93" s="554"/>
      <c r="L93" s="580"/>
      <c r="M93" s="581"/>
      <c r="N93" s="1155"/>
      <c r="O93" s="1155"/>
      <c r="P93" s="2681"/>
      <c r="Q93" s="504"/>
    </row>
    <row r="94" spans="1:17" ht="15.75" thickBot="1">
      <c r="A94" s="534"/>
      <c r="B94" s="543"/>
      <c r="C94" s="560"/>
      <c r="D94" s="536"/>
      <c r="E94" s="536"/>
      <c r="F94" s="536"/>
      <c r="G94" s="536"/>
      <c r="H94" s="536"/>
      <c r="I94" s="536"/>
      <c r="J94" s="536"/>
      <c r="K94" s="536"/>
      <c r="L94" s="536"/>
      <c r="M94" s="537"/>
      <c r="N94" s="1156"/>
      <c r="O94" s="1156"/>
      <c r="P94" s="2681"/>
      <c r="Q94" s="504"/>
    </row>
    <row r="95" spans="1:17" ht="15.75" thickTop="1">
      <c r="A95" s="534"/>
      <c r="B95" s="538">
        <f>B30</f>
        <v>111</v>
      </c>
      <c r="C95" s="554"/>
      <c r="D95" s="554"/>
      <c r="E95" s="554"/>
      <c r="F95" s="554"/>
      <c r="G95" s="583"/>
      <c r="H95" s="583"/>
      <c r="I95" s="583"/>
      <c r="J95" s="583"/>
      <c r="K95" s="584"/>
      <c r="L95" s="585"/>
      <c r="M95" s="586"/>
      <c r="N95" s="1155"/>
      <c r="O95" s="1155"/>
      <c r="P95" s="2681"/>
      <c r="Q95" s="504"/>
    </row>
    <row r="96" spans="1:17" ht="15.75" thickBot="1">
      <c r="A96" s="534"/>
      <c r="B96" s="543"/>
      <c r="C96" s="560"/>
      <c r="D96" s="560"/>
      <c r="E96" s="560"/>
      <c r="F96" s="560"/>
      <c r="G96" s="536"/>
      <c r="H96" s="536"/>
      <c r="I96" s="536"/>
      <c r="J96" s="536"/>
      <c r="K96" s="536"/>
      <c r="L96" s="536"/>
      <c r="M96" s="537"/>
      <c r="N96" s="1156"/>
      <c r="O96" s="1156"/>
      <c r="P96" s="2681"/>
      <c r="Q96" s="504"/>
    </row>
    <row r="97" spans="1:17" ht="15.75" thickTop="1">
      <c r="A97" s="534"/>
      <c r="B97" s="538">
        <f>B31</f>
        <v>111</v>
      </c>
      <c r="C97" s="554"/>
      <c r="D97" s="554"/>
      <c r="E97" s="554"/>
      <c r="F97" s="554"/>
      <c r="G97" s="583"/>
      <c r="H97" s="583"/>
      <c r="I97" s="583"/>
      <c r="J97" s="583"/>
      <c r="K97" s="584"/>
      <c r="L97" s="585"/>
      <c r="M97" s="586"/>
      <c r="N97" s="1155"/>
      <c r="O97" s="1155"/>
      <c r="P97" s="2681"/>
      <c r="Q97" s="504"/>
    </row>
    <row r="98" spans="1:17" ht="15.75" thickBot="1">
      <c r="A98" s="534"/>
      <c r="B98" s="543"/>
      <c r="C98" s="560"/>
      <c r="D98" s="536"/>
      <c r="E98" s="536"/>
      <c r="F98" s="536"/>
      <c r="G98" s="536"/>
      <c r="H98" s="536"/>
      <c r="I98" s="536"/>
      <c r="J98" s="536"/>
      <c r="K98" s="536"/>
      <c r="L98" s="536"/>
      <c r="M98" s="537"/>
      <c r="N98" s="1156"/>
      <c r="O98" s="1156"/>
      <c r="P98" s="2681"/>
      <c r="Q98" s="504"/>
    </row>
    <row r="99" spans="1:17" ht="15.75" thickTop="1">
      <c r="A99" s="534"/>
      <c r="B99" s="546">
        <f>B32</f>
        <v>111</v>
      </c>
      <c r="C99" s="523"/>
      <c r="D99" s="523"/>
      <c r="E99" s="523"/>
      <c r="F99" s="523"/>
      <c r="G99" s="587"/>
      <c r="H99" s="587"/>
      <c r="I99" s="587"/>
      <c r="J99" s="587"/>
      <c r="K99" s="588"/>
      <c r="L99" s="589"/>
      <c r="M99" s="590"/>
      <c r="N99" s="1155"/>
      <c r="O99" s="1155"/>
      <c r="P99" s="2681"/>
      <c r="Q99" s="504"/>
    </row>
    <row r="100" spans="1:17" ht="15.75" thickBot="1">
      <c r="A100" s="2633"/>
      <c r="B100" s="569"/>
      <c r="C100" s="570"/>
      <c r="D100" s="570"/>
      <c r="E100" s="570"/>
      <c r="F100" s="570"/>
      <c r="G100" s="591"/>
      <c r="H100" s="591"/>
      <c r="I100" s="591"/>
      <c r="J100" s="591"/>
      <c r="K100" s="591"/>
      <c r="L100" s="591"/>
      <c r="M100" s="592"/>
      <c r="N100" s="1156"/>
      <c r="O100" s="1156"/>
      <c r="P100" s="2681"/>
      <c r="Q100" s="504"/>
    </row>
    <row r="101" spans="1:17">
      <c r="A101" s="527" t="s">
        <v>2567</v>
      </c>
      <c r="B101" s="528" t="s">
        <v>2616</v>
      </c>
      <c r="C101" s="530"/>
      <c r="D101" s="530"/>
      <c r="E101" s="530"/>
      <c r="F101" s="530"/>
      <c r="G101" s="530"/>
      <c r="H101" s="530"/>
      <c r="I101" s="530"/>
      <c r="J101" s="530"/>
      <c r="K101" s="531"/>
      <c r="L101" s="532"/>
      <c r="M101" s="533"/>
      <c r="N101" s="1155"/>
      <c r="O101" s="1155"/>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1"/>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1"/>
      <c r="Q103" s="504"/>
    </row>
    <row r="104" spans="1:17" s="471" customFormat="1">
      <c r="A104" s="593"/>
      <c r="B104" s="594"/>
      <c r="C104" s="595"/>
      <c r="D104" s="595"/>
      <c r="E104" s="595"/>
      <c r="F104" s="595"/>
      <c r="G104" s="595"/>
      <c r="H104" s="595"/>
      <c r="I104" s="595"/>
      <c r="J104" s="596"/>
      <c r="K104" s="596"/>
      <c r="L104" s="597"/>
      <c r="M104" s="598"/>
      <c r="N104" s="1157"/>
      <c r="O104" s="1157"/>
      <c r="P104" s="268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2"/>
      <c r="Q105" s="559"/>
    </row>
    <row r="106" spans="1:17" ht="15" thickTop="1">
      <c r="A106" s="599"/>
      <c r="B106" s="538" t="s">
        <v>2618</v>
      </c>
      <c r="C106" s="554"/>
      <c r="D106" s="554"/>
      <c r="E106" s="583"/>
      <c r="F106" s="583"/>
      <c r="G106" s="583"/>
      <c r="H106" s="583"/>
      <c r="I106" s="583"/>
      <c r="J106" s="583"/>
      <c r="K106" s="584"/>
      <c r="L106" s="585"/>
      <c r="M106" s="586"/>
      <c r="N106" s="1155"/>
      <c r="O106" s="1155"/>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1"/>
      <c r="Q107" s="504"/>
    </row>
    <row r="108" spans="1:17" ht="15" thickTop="1">
      <c r="A108" s="599"/>
      <c r="B108" s="538" t="s">
        <v>2620</v>
      </c>
      <c r="C108" s="554"/>
      <c r="D108" s="554"/>
      <c r="E108" s="554"/>
      <c r="F108" s="583"/>
      <c r="G108" s="583"/>
      <c r="H108" s="583"/>
      <c r="I108" s="583"/>
      <c r="J108" s="583"/>
      <c r="K108" s="584"/>
      <c r="L108" s="585"/>
      <c r="M108" s="586"/>
      <c r="N108" s="1155"/>
      <c r="O108" s="1155"/>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1"/>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1"/>
      <c r="Q112" s="504"/>
    </row>
    <row r="113" spans="1:17" s="471" customFormat="1" ht="15" thickTop="1">
      <c r="A113" s="593"/>
      <c r="B113" s="538" t="s">
        <v>2704</v>
      </c>
      <c r="C113" s="554"/>
      <c r="D113" s="554"/>
      <c r="E113" s="554"/>
      <c r="F113" s="554"/>
      <c r="G113" s="554"/>
      <c r="H113" s="583"/>
      <c r="I113" s="583"/>
      <c r="J113" s="583"/>
      <c r="K113" s="584"/>
      <c r="L113" s="585"/>
      <c r="M113" s="586"/>
      <c r="N113" s="1157"/>
      <c r="O113" s="1157"/>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2"/>
      <c r="Q114" s="559"/>
    </row>
    <row r="115" spans="1:17" ht="15" thickTop="1">
      <c r="A115" s="599"/>
      <c r="B115" s="538" t="s">
        <v>2621</v>
      </c>
      <c r="C115" s="554"/>
      <c r="D115" s="554"/>
      <c r="E115" s="583"/>
      <c r="F115" s="583"/>
      <c r="G115" s="583"/>
      <c r="H115" s="583"/>
      <c r="I115" s="583"/>
      <c r="J115" s="583"/>
      <c r="K115" s="584"/>
      <c r="L115" s="585"/>
      <c r="M115" s="586"/>
      <c r="N115" s="1155"/>
      <c r="O115" s="1155"/>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1"/>
      <c r="Q116" s="504"/>
    </row>
    <row r="117" spans="1:17" ht="15" thickTop="1">
      <c r="A117" s="599"/>
      <c r="B117" s="538" t="s">
        <v>2622</v>
      </c>
      <c r="C117" s="554"/>
      <c r="D117" s="554"/>
      <c r="E117" s="554"/>
      <c r="F117" s="554"/>
      <c r="G117" s="554"/>
      <c r="H117" s="583"/>
      <c r="I117" s="583"/>
      <c r="J117" s="583"/>
      <c r="K117" s="584"/>
      <c r="L117" s="585"/>
      <c r="M117" s="586"/>
      <c r="N117" s="1155"/>
      <c r="O117" s="1155"/>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1"/>
      <c r="Q118" s="504"/>
    </row>
    <row r="119" spans="1:17" ht="15" thickTop="1">
      <c r="A119" s="599"/>
      <c r="B119" s="636" t="s">
        <v>2705</v>
      </c>
      <c r="C119" s="583"/>
      <c r="D119" s="583"/>
      <c r="E119" s="583"/>
      <c r="F119" s="583"/>
      <c r="G119" s="583"/>
      <c r="H119" s="583"/>
      <c r="I119" s="583"/>
      <c r="J119" s="583"/>
      <c r="K119" s="583"/>
      <c r="L119" s="2686"/>
      <c r="M119" s="2687"/>
      <c r="N119" s="1156"/>
      <c r="O119" s="1156"/>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1"/>
      <c r="Q120" s="504"/>
    </row>
    <row r="121" spans="1:17" s="471" customFormat="1" ht="15" thickTop="1">
      <c r="A121" s="593"/>
      <c r="B121" s="538" t="s">
        <v>2688</v>
      </c>
      <c r="C121" s="554"/>
      <c r="D121" s="554"/>
      <c r="E121" s="554"/>
      <c r="F121" s="583"/>
      <c r="G121" s="555"/>
      <c r="H121" s="555"/>
      <c r="I121" s="555"/>
      <c r="J121" s="555"/>
      <c r="K121" s="555"/>
      <c r="L121" s="556"/>
      <c r="M121" s="557"/>
      <c r="N121" s="1157"/>
      <c r="O121" s="1157"/>
      <c r="P121" s="268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2"/>
      <c r="Q122" s="559"/>
    </row>
    <row r="123" spans="1:17" ht="15" thickTop="1">
      <c r="A123" s="599"/>
      <c r="B123" s="538" t="s">
        <v>2624</v>
      </c>
      <c r="C123" s="554"/>
      <c r="D123" s="554"/>
      <c r="E123" s="554"/>
      <c r="F123" s="583"/>
      <c r="G123" s="583"/>
      <c r="H123" s="583"/>
      <c r="I123" s="583"/>
      <c r="J123" s="583"/>
      <c r="K123" s="584"/>
      <c r="L123" s="585"/>
      <c r="M123" s="586"/>
      <c r="N123" s="1155"/>
      <c r="O123" s="1155"/>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5"/>
      <c r="O125" s="1155"/>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2"/>
      <c r="Q128" s="559"/>
    </row>
    <row r="129" spans="1:17" ht="15" thickTop="1">
      <c r="A129" s="599"/>
      <c r="B129" s="538">
        <f>B46</f>
        <v>111</v>
      </c>
      <c r="C129" s="554"/>
      <c r="D129" s="554"/>
      <c r="E129" s="554"/>
      <c r="F129" s="554"/>
      <c r="G129" s="583"/>
      <c r="H129" s="583"/>
      <c r="I129" s="583"/>
      <c r="J129" s="583"/>
      <c r="K129" s="584"/>
      <c r="L129" s="585"/>
      <c r="M129" s="586"/>
      <c r="N129" s="1155"/>
      <c r="O129" s="1155"/>
      <c r="P129" s="2681"/>
      <c r="Q129" s="504"/>
    </row>
    <row r="130" spans="1:17" ht="15.75" thickBot="1">
      <c r="A130" s="534"/>
      <c r="B130" s="543"/>
      <c r="C130" s="560"/>
      <c r="D130" s="560"/>
      <c r="E130" s="560"/>
      <c r="F130" s="560"/>
      <c r="G130" s="536"/>
      <c r="H130" s="536"/>
      <c r="I130" s="536"/>
      <c r="J130" s="536"/>
      <c r="K130" s="536"/>
      <c r="L130" s="536"/>
      <c r="M130" s="537"/>
      <c r="N130" s="1156"/>
      <c r="O130" s="1156"/>
      <c r="P130" s="2681"/>
      <c r="Q130" s="504"/>
    </row>
    <row r="131" spans="1:17" ht="15" thickTop="1">
      <c r="A131" s="599"/>
      <c r="B131" s="546">
        <f>B47</f>
        <v>111</v>
      </c>
      <c r="C131" s="523"/>
      <c r="D131" s="523"/>
      <c r="E131" s="523"/>
      <c r="F131" s="523"/>
      <c r="G131" s="587"/>
      <c r="H131" s="587"/>
      <c r="I131" s="587"/>
      <c r="J131" s="587"/>
      <c r="K131" s="523"/>
      <c r="L131" s="524"/>
      <c r="M131" s="590"/>
      <c r="N131" s="1155"/>
      <c r="O131" s="1155"/>
      <c r="P131" s="2681"/>
      <c r="Q131" s="504"/>
    </row>
    <row r="132" spans="1:17" ht="15.75" thickBot="1">
      <c r="A132" s="2633"/>
      <c r="B132" s="569"/>
      <c r="C132" s="570"/>
      <c r="D132" s="570"/>
      <c r="E132" s="570"/>
      <c r="F132" s="570"/>
      <c r="G132" s="591"/>
      <c r="H132" s="591"/>
      <c r="I132" s="591"/>
      <c r="J132" s="591"/>
      <c r="K132" s="591"/>
      <c r="L132" s="591"/>
      <c r="M132" s="592"/>
      <c r="N132" s="1156"/>
      <c r="O132" s="1156"/>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U43" sqref="U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2532</v>
      </c>
      <c r="B1" s="2666" t="s">
        <v>2706</v>
      </c>
      <c r="C1" s="1622" t="s">
        <v>2534</v>
      </c>
      <c r="D1" s="1623"/>
      <c r="E1" s="1632"/>
      <c r="F1" s="2584"/>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2334</v>
      </c>
      <c r="B2" s="1421" t="e">
        <f ca="1">IF(C2="——",ROUND(C43*D3/10000,0),ROUND(C43*D3/10000,0)-D2)</f>
        <v>#DIV/0!</v>
      </c>
      <c r="C2" s="2586"/>
      <c r="D2" s="1127" t="e">
        <f ca="1">SUMIF(INDIRECT("'"&amp;F2&amp;"'"&amp;"!A:A"),"承租人权益价值",INDIRECT("'"&amp;F2&amp;"'"&amp;"!c:c"))</f>
        <v>#REF!</v>
      </c>
      <c r="E2" s="2587" t="s">
        <v>2335</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2336</v>
      </c>
      <c r="B3" s="609" t="e">
        <f ca="1">IF(C2="——",C43,ROUND(B2*10000/D3,0))</f>
        <v>#DIV/0!</v>
      </c>
      <c r="C3" s="400" t="s">
        <v>2648</v>
      </c>
      <c r="D3" s="399">
        <f>IF(D1="",'数据-汇总表'!E3,SUMIF('数据-汇总表'!$C19:$C33,D1,'数据-汇总表'!$E19:$E33))</f>
        <v>296702.55000000005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95" t="s">
        <v>2650</v>
      </c>
      <c r="D4" s="3196"/>
      <c r="E4" s="3197" t="s">
        <v>2651</v>
      </c>
      <c r="F4" s="3198"/>
      <c r="G4" s="3195" t="s">
        <v>2652</v>
      </c>
      <c r="H4" s="3196"/>
      <c r="I4" s="3195" t="s">
        <v>2653</v>
      </c>
      <c r="J4" s="3196"/>
      <c r="K4" s="610" t="s">
        <v>2654</v>
      </c>
      <c r="L4" s="1133"/>
      <c r="M4" s="1134"/>
      <c r="N4" s="1134"/>
      <c r="O4" s="1134"/>
      <c r="P4" s="3199" t="s">
        <v>2655</v>
      </c>
      <c r="Q4" s="3200"/>
      <c r="R4" s="3182" t="s">
        <v>2651</v>
      </c>
      <c r="S4" s="3183"/>
      <c r="T4" s="3182" t="s">
        <v>2652</v>
      </c>
      <c r="U4" s="3183"/>
      <c r="V4" s="3207" t="s">
        <v>2653</v>
      </c>
      <c r="W4" s="3207"/>
      <c r="X4" s="1815"/>
      <c r="Y4" s="3182" t="s">
        <v>2655</v>
      </c>
      <c r="Z4" s="3183"/>
      <c r="AA4" s="3177" t="s">
        <v>2651</v>
      </c>
      <c r="AB4" s="3178" t="s">
        <v>2652</v>
      </c>
      <c r="AC4" s="3177" t="s">
        <v>2653</v>
      </c>
    </row>
    <row r="5" spans="1:29" ht="15">
      <c r="A5" s="404"/>
      <c r="B5" s="405"/>
      <c r="C5" s="3188" t="s">
        <v>2546</v>
      </c>
      <c r="D5" s="3189"/>
      <c r="E5" s="3186" t="s">
        <v>2547</v>
      </c>
      <c r="F5" s="3187"/>
      <c r="G5" s="3188" t="s">
        <v>2548</v>
      </c>
      <c r="H5" s="3189"/>
      <c r="I5" s="3188" t="s">
        <v>2549</v>
      </c>
      <c r="J5" s="3189"/>
      <c r="K5" s="610"/>
      <c r="L5" s="1133"/>
      <c r="M5" s="1134"/>
      <c r="N5" s="1134"/>
      <c r="O5" s="1134"/>
      <c r="P5" s="3201"/>
      <c r="Q5" s="3202"/>
      <c r="R5" s="3184"/>
      <c r="S5" s="3185"/>
      <c r="T5" s="3184"/>
      <c r="U5" s="3185"/>
      <c r="V5" s="3207"/>
      <c r="W5" s="3207"/>
      <c r="X5" s="1815"/>
      <c r="Y5" s="3184"/>
      <c r="Z5" s="3185"/>
      <c r="AA5" s="3178"/>
      <c r="AB5" s="3178"/>
      <c r="AC5" s="3178"/>
    </row>
    <row r="6" spans="1:29" ht="15.75" thickBot="1">
      <c r="A6" s="406"/>
      <c r="B6" s="407"/>
      <c r="C6" s="3190" t="s">
        <v>2550</v>
      </c>
      <c r="D6" s="3191"/>
      <c r="E6" s="3192" t="s">
        <v>2550</v>
      </c>
      <c r="F6" s="3193"/>
      <c r="G6" s="3190" t="s">
        <v>2550</v>
      </c>
      <c r="H6" s="3191"/>
      <c r="I6" s="3190" t="s">
        <v>2550</v>
      </c>
      <c r="J6" s="3191"/>
      <c r="K6" s="610" t="s">
        <v>2551</v>
      </c>
      <c r="L6" s="1133"/>
      <c r="M6" s="1134"/>
      <c r="N6" s="1134"/>
      <c r="O6" s="1134"/>
      <c r="P6" s="3203"/>
      <c r="Q6" s="3204"/>
      <c r="R6" s="3184"/>
      <c r="S6" s="3185"/>
      <c r="T6" s="3205"/>
      <c r="U6" s="3206"/>
      <c r="V6" s="3207"/>
      <c r="W6" s="3207"/>
      <c r="X6" s="1815"/>
      <c r="Y6" s="3205"/>
      <c r="Z6" s="3206"/>
      <c r="AA6" s="3179"/>
      <c r="AB6" s="3179"/>
      <c r="AC6" s="3179"/>
    </row>
    <row r="7" spans="1:29" s="117" customFormat="1" ht="15.75" thickBot="1">
      <c r="A7" s="408" t="s">
        <v>2552</v>
      </c>
      <c r="B7" s="409"/>
      <c r="C7" s="410">
        <f>'数据-取费表'!B2</f>
        <v>43186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0" t="s">
        <v>2553</v>
      </c>
      <c r="Q7" s="3208"/>
      <c r="R7" s="770" t="s">
        <v>17</v>
      </c>
      <c r="S7" s="771">
        <f t="shared" ref="S7:S15" si="0">F7</f>
        <v>0</v>
      </c>
      <c r="T7" s="770" t="s">
        <v>17</v>
      </c>
      <c r="U7" s="771">
        <f t="shared" ref="U7:U15" si="1">H7</f>
        <v>0</v>
      </c>
      <c r="V7" s="770" t="s">
        <v>17</v>
      </c>
      <c r="W7" s="771">
        <f t="shared" ref="W7:W15" si="2">J7</f>
        <v>0</v>
      </c>
      <c r="X7" s="772"/>
      <c r="Y7" s="3180" t="s">
        <v>2553</v>
      </c>
      <c r="Z7" s="3181"/>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0" t="s">
        <v>2556</v>
      </c>
      <c r="Q8" s="3181"/>
      <c r="R8" s="770" t="s">
        <v>17</v>
      </c>
      <c r="S8" s="771">
        <f t="shared" si="0"/>
        <v>0</v>
      </c>
      <c r="T8" s="770" t="s">
        <v>17</v>
      </c>
      <c r="U8" s="771">
        <f t="shared" si="1"/>
        <v>0</v>
      </c>
      <c r="V8" s="770" t="s">
        <v>17</v>
      </c>
      <c r="W8" s="771">
        <f t="shared" si="2"/>
        <v>0</v>
      </c>
      <c r="X8" s="772"/>
      <c r="Y8" s="3180" t="s">
        <v>2556</v>
      </c>
      <c r="Z8" s="3181"/>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4" t="s">
        <v>2559</v>
      </c>
      <c r="Q9" s="1797" t="str">
        <f t="shared" ref="Q9:Q15" si="6">B9</f>
        <v>用途</v>
      </c>
      <c r="R9" s="770" t="s">
        <v>17</v>
      </c>
      <c r="S9" s="771">
        <f t="shared" si="0"/>
        <v>100</v>
      </c>
      <c r="T9" s="770" t="s">
        <v>17</v>
      </c>
      <c r="U9" s="771">
        <f t="shared" si="1"/>
        <v>100</v>
      </c>
      <c r="V9" s="770" t="s">
        <v>17</v>
      </c>
      <c r="W9" s="771">
        <f t="shared" si="2"/>
        <v>100</v>
      </c>
      <c r="X9" s="772"/>
      <c r="Y9" s="3040"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4"/>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4"/>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89"/>
      <c r="H12" s="136">
        <f>SUMIF(64:64,G12,65:65)-SUMIF(64:64,C12,65:65)+100</f>
        <v>100</v>
      </c>
      <c r="I12" s="469"/>
      <c r="J12" s="136">
        <f>SUMIF(64:64,I12,65:65)-SUMIF(64:64,C12,65:65)+100</f>
        <v>100</v>
      </c>
      <c r="K12" s="613"/>
      <c r="L12" s="1135"/>
      <c r="M12" s="1136"/>
      <c r="N12" s="1136"/>
      <c r="O12" s="1137"/>
      <c r="P12" s="3194"/>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89"/>
      <c r="H13" s="435">
        <f>SUMIF(66:66,G13,67:67)-SUMIF(66:66,C13,67:67)+100</f>
        <v>100</v>
      </c>
      <c r="I13" s="469"/>
      <c r="J13" s="435">
        <f>SUMIF(66:66,I13,67:67)-SUMIF(66:66,C13,67:67)+100</f>
        <v>100</v>
      </c>
      <c r="K13" s="613"/>
      <c r="L13" s="1143"/>
      <c r="M13" s="1134"/>
      <c r="N13" s="1134"/>
      <c r="O13" s="1142"/>
      <c r="P13" s="3194"/>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89"/>
      <c r="H14" s="438">
        <f>SUMIF(68:68,G14,69:69)-SUMIF(68:68,C14,69:69)+100</f>
        <v>100</v>
      </c>
      <c r="I14" s="469"/>
      <c r="J14" s="438">
        <f>SUMIF(68:68,I14,69:69)-SUMIF(68:68,C14,69:69)+100</f>
        <v>100</v>
      </c>
      <c r="K14" s="613"/>
      <c r="L14" s="1143"/>
      <c r="M14" s="1134"/>
      <c r="N14" s="1134"/>
      <c r="O14" s="1142"/>
      <c r="P14" s="3194"/>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2563</v>
      </c>
      <c r="B15" s="69" t="s">
        <v>2707</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9" t="s">
        <v>2564</v>
      </c>
      <c r="Q15" s="1812" t="str">
        <f t="shared" si="6"/>
        <v>产业集聚程度</v>
      </c>
      <c r="R15" s="774" t="s">
        <v>17</v>
      </c>
      <c r="S15" s="775">
        <f t="shared" si="0"/>
        <v>100</v>
      </c>
      <c r="T15" s="774" t="s">
        <v>17</v>
      </c>
      <c r="U15" s="775">
        <f t="shared" si="1"/>
        <v>100</v>
      </c>
      <c r="V15" s="774" t="s">
        <v>17</v>
      </c>
      <c r="W15" s="775">
        <f t="shared" si="2"/>
        <v>100</v>
      </c>
      <c r="X15" s="1815"/>
      <c r="Y15" s="3209" t="s">
        <v>2564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10"/>
      <c r="Q16" s="1812"/>
      <c r="R16" s="774"/>
      <c r="S16" s="775"/>
      <c r="T16" s="774"/>
      <c r="U16" s="775"/>
      <c r="V16" s="774"/>
      <c r="W16" s="775"/>
      <c r="X16" s="1815"/>
      <c r="Y16" s="3210"/>
      <c r="Z16" s="1816"/>
      <c r="AA16" s="1813">
        <v>1</v>
      </c>
      <c r="AB16" s="1813">
        <v>1</v>
      </c>
      <c r="AC16" s="1813">
        <v>1</v>
      </c>
    </row>
    <row r="17" spans="1:29" ht="85.5">
      <c r="A17" s="428"/>
      <c r="B17" s="451" t="s">
        <v>2102</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0"/>
      <c r="Q17" s="1812" t="str">
        <f>B17</f>
        <v>交通便捷度</v>
      </c>
      <c r="R17" s="774" t="s">
        <v>17</v>
      </c>
      <c r="S17" s="775">
        <f>F17</f>
        <v>100</v>
      </c>
      <c r="T17" s="774" t="s">
        <v>17</v>
      </c>
      <c r="U17" s="775">
        <f>H17</f>
        <v>100</v>
      </c>
      <c r="V17" s="774" t="s">
        <v>17</v>
      </c>
      <c r="W17" s="775">
        <f>J17</f>
        <v>100</v>
      </c>
      <c r="X17" s="1815"/>
      <c r="Y17" s="3210"/>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3"/>
      <c r="M18" s="1134"/>
      <c r="N18" s="1134"/>
      <c r="O18" s="1142"/>
      <c r="P18" s="3210"/>
      <c r="Q18" s="1812"/>
      <c r="R18" s="774"/>
      <c r="S18" s="775"/>
      <c r="T18" s="774"/>
      <c r="U18" s="775"/>
      <c r="V18" s="774"/>
      <c r="W18" s="775"/>
      <c r="X18" s="1815"/>
      <c r="Y18" s="3210"/>
      <c r="Z18" s="1816"/>
      <c r="AA18" s="1813">
        <v>1</v>
      </c>
      <c r="AB18" s="1813">
        <v>1</v>
      </c>
      <c r="AC18" s="1813">
        <v>1</v>
      </c>
    </row>
    <row r="19" spans="1:29" ht="42.75">
      <c r="A19" s="428"/>
      <c r="B19" s="451" t="s">
        <v>2692</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0"/>
      <c r="Q19" s="1812" t="str">
        <f>B19</f>
        <v>公共配套设施</v>
      </c>
      <c r="R19" s="774" t="s">
        <v>17</v>
      </c>
      <c r="S19" s="775">
        <f>F19</f>
        <v>100</v>
      </c>
      <c r="T19" s="774" t="s">
        <v>17</v>
      </c>
      <c r="U19" s="775">
        <f>H19</f>
        <v>100</v>
      </c>
      <c r="V19" s="774" t="s">
        <v>17</v>
      </c>
      <c r="W19" s="775">
        <f>J19</f>
        <v>100</v>
      </c>
      <c r="X19" s="1815"/>
      <c r="Y19" s="3210"/>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3"/>
      <c r="M20" s="1134"/>
      <c r="N20" s="1134"/>
      <c r="O20" s="1142"/>
      <c r="P20" s="3210"/>
      <c r="Q20" s="1812"/>
      <c r="R20" s="774"/>
      <c r="S20" s="775"/>
      <c r="T20" s="774"/>
      <c r="U20" s="775"/>
      <c r="V20" s="774"/>
      <c r="W20" s="775"/>
      <c r="X20" s="1815"/>
      <c r="Y20" s="3210"/>
      <c r="Z20" s="1816"/>
      <c r="AA20" s="1813">
        <v>1</v>
      </c>
      <c r="AB20" s="1813">
        <v>1</v>
      </c>
      <c r="AC20" s="1813">
        <v>1</v>
      </c>
    </row>
    <row r="21" spans="1:29" ht="28.5">
      <c r="A21" s="428"/>
      <c r="B21" s="1387" t="s">
        <v>2693</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0"/>
      <c r="Q21" s="1812" t="str">
        <f>B21</f>
        <v>基础设施水平</v>
      </c>
      <c r="R21" s="774" t="s">
        <v>17</v>
      </c>
      <c r="S21" s="775">
        <f>F21</f>
        <v>100</v>
      </c>
      <c r="T21" s="774" t="s">
        <v>17</v>
      </c>
      <c r="U21" s="775">
        <f>H21</f>
        <v>100</v>
      </c>
      <c r="V21" s="774" t="s">
        <v>17</v>
      </c>
      <c r="W21" s="775">
        <f>J21</f>
        <v>100</v>
      </c>
      <c r="X21" s="1815"/>
      <c r="Y21" s="3210"/>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9"/>
      <c r="G22" s="447"/>
      <c r="H22" s="448"/>
      <c r="I22" s="447"/>
      <c r="J22" s="448"/>
      <c r="K22" s="1386"/>
      <c r="L22" s="1143"/>
      <c r="M22" s="1134"/>
      <c r="N22" s="1134"/>
      <c r="O22" s="1142"/>
      <c r="P22" s="3210"/>
      <c r="Q22" s="1812"/>
      <c r="R22" s="774"/>
      <c r="S22" s="775"/>
      <c r="T22" s="774"/>
      <c r="U22" s="775"/>
      <c r="V22" s="774"/>
      <c r="W22" s="775"/>
      <c r="X22" s="1815"/>
      <c r="Y22" s="3210"/>
      <c r="Z22" s="1816"/>
      <c r="AA22" s="1813">
        <v>1</v>
      </c>
      <c r="AB22" s="1813">
        <v>1</v>
      </c>
      <c r="AC22" s="1813">
        <v>1</v>
      </c>
    </row>
    <row r="23" spans="1:29" ht="71.25">
      <c r="A23" s="428"/>
      <c r="B23" s="451" t="s">
        <v>2694</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0"/>
      <c r="Q23" s="1812" t="str">
        <f>B23</f>
        <v>环境质量</v>
      </c>
      <c r="R23" s="774" t="s">
        <v>17</v>
      </c>
      <c r="S23" s="775">
        <f>F23</f>
        <v>100</v>
      </c>
      <c r="T23" s="774" t="s">
        <v>17</v>
      </c>
      <c r="U23" s="775">
        <f>H23</f>
        <v>100</v>
      </c>
      <c r="V23" s="774" t="s">
        <v>17</v>
      </c>
      <c r="W23" s="775">
        <f>J23</f>
        <v>100</v>
      </c>
      <c r="X23" s="1815"/>
      <c r="Y23" s="3210"/>
      <c r="Z23" s="1816" t="str">
        <f>Q23</f>
        <v>环境质量</v>
      </c>
      <c r="AA23" s="1813">
        <f t="shared" si="3"/>
        <v>1</v>
      </c>
      <c r="AB23" s="1813">
        <f t="shared" si="4"/>
        <v>1</v>
      </c>
      <c r="AC23" s="1813">
        <f t="shared" si="5"/>
        <v>1</v>
      </c>
    </row>
    <row r="24" spans="1:29" ht="15">
      <c r="A24" s="428"/>
      <c r="B24" s="1387"/>
      <c r="C24" s="447"/>
      <c r="D24" s="448"/>
      <c r="E24" s="2604"/>
      <c r="F24" s="449"/>
      <c r="G24" s="2603"/>
      <c r="H24" s="448"/>
      <c r="I24" s="2604"/>
      <c r="J24" s="448"/>
      <c r="K24" s="615"/>
      <c r="L24" s="1143"/>
      <c r="M24" s="1134"/>
      <c r="N24" s="1134"/>
      <c r="O24" s="1142"/>
      <c r="P24" s="3210"/>
      <c r="Q24" s="1812"/>
      <c r="R24" s="774"/>
      <c r="S24" s="775"/>
      <c r="T24" s="774"/>
      <c r="U24" s="775"/>
      <c r="V24" s="774"/>
      <c r="W24" s="775"/>
      <c r="X24" s="1815"/>
      <c r="Y24" s="3210"/>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0"/>
      <c r="Q25" s="1812">
        <f>B25</f>
        <v>111</v>
      </c>
      <c r="R25" s="774" t="s">
        <v>17</v>
      </c>
      <c r="S25" s="775">
        <f>F25</f>
        <v>100</v>
      </c>
      <c r="T25" s="774" t="s">
        <v>17</v>
      </c>
      <c r="U25" s="775">
        <f>H25</f>
        <v>100</v>
      </c>
      <c r="V25" s="774" t="s">
        <v>17</v>
      </c>
      <c r="W25" s="775">
        <f>J25</f>
        <v>100</v>
      </c>
      <c r="X25" s="1815"/>
      <c r="Y25" s="3210"/>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0"/>
      <c r="Q26" s="1812">
        <f t="shared" ref="Q26:Q40" si="11">B26</f>
        <v>111</v>
      </c>
      <c r="R26" s="774" t="s">
        <v>17</v>
      </c>
      <c r="S26" s="775">
        <f>F26</f>
        <v>100</v>
      </c>
      <c r="T26" s="774" t="s">
        <v>17</v>
      </c>
      <c r="U26" s="775">
        <f>H26</f>
        <v>100</v>
      </c>
      <c r="V26" s="774" t="s">
        <v>17</v>
      </c>
      <c r="W26" s="775">
        <f>J26</f>
        <v>100</v>
      </c>
      <c r="X26" s="1815"/>
      <c r="Y26" s="3210"/>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0"/>
      <c r="Q27" s="1797">
        <f t="shared" si="11"/>
        <v>111</v>
      </c>
      <c r="R27" s="770" t="s">
        <v>17</v>
      </c>
      <c r="S27" s="771">
        <f>F27</f>
        <v>100</v>
      </c>
      <c r="T27" s="770" t="s">
        <v>17</v>
      </c>
      <c r="U27" s="771">
        <f>H27</f>
        <v>100</v>
      </c>
      <c r="V27" s="770" t="s">
        <v>17</v>
      </c>
      <c r="W27" s="771">
        <f>J27</f>
        <v>100</v>
      </c>
      <c r="X27" s="772"/>
      <c r="Y27" s="3210"/>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0"/>
      <c r="Q28" s="1812">
        <f t="shared" si="11"/>
        <v>111</v>
      </c>
      <c r="R28" s="774" t="s">
        <v>17</v>
      </c>
      <c r="S28" s="775">
        <f t="shared" ref="S28:S40" si="12">F28</f>
        <v>100</v>
      </c>
      <c r="T28" s="774" t="s">
        <v>17</v>
      </c>
      <c r="U28" s="775">
        <f t="shared" ref="U28:U40" si="13">H28</f>
        <v>100</v>
      </c>
      <c r="V28" s="774" t="s">
        <v>17</v>
      </c>
      <c r="W28" s="775">
        <f t="shared" ref="W28:W40" si="14">J28</f>
        <v>100</v>
      </c>
      <c r="X28" s="1815"/>
      <c r="Y28" s="3210"/>
      <c r="Z28" s="1816">
        <f t="shared" ref="Z28:Z40" si="15">Q28</f>
        <v>111</v>
      </c>
      <c r="AA28" s="1813">
        <f t="shared" si="3"/>
        <v>1</v>
      </c>
      <c r="AB28" s="1813">
        <f t="shared" si="4"/>
        <v>1</v>
      </c>
      <c r="AC28" s="1813">
        <f t="shared" si="5"/>
        <v>1</v>
      </c>
    </row>
    <row r="29" spans="1:29" ht="15">
      <c r="A29" s="466" t="s">
        <v>2567</v>
      </c>
      <c r="B29" s="71" t="s">
        <v>2697</v>
      </c>
      <c r="C29" s="2676"/>
      <c r="D29" s="467">
        <v>100</v>
      </c>
      <c r="E29" s="2676"/>
      <c r="F29" s="461">
        <f>SUMIF(88:88,E29,89:89)-SUMIF(88:88,C29,89:89)+100</f>
        <v>100</v>
      </c>
      <c r="G29" s="2676"/>
      <c r="H29" s="435">
        <f>SUMIF(88:88,G29,89:89)-SUMIF(88:88,C29,89:89)+100</f>
        <v>100</v>
      </c>
      <c r="I29" s="2676"/>
      <c r="J29" s="467">
        <f>SUMIF(88:88,I29,89:89)-SUMIF(88:88,C29,89:89)+100</f>
        <v>100</v>
      </c>
      <c r="K29" s="612"/>
      <c r="L29" s="1143"/>
      <c r="M29" s="1134"/>
      <c r="N29" s="1134"/>
      <c r="O29" s="1142"/>
      <c r="P29" s="3211" t="s">
        <v>2569</v>
      </c>
      <c r="Q29" s="1812" t="str">
        <f t="shared" si="11"/>
        <v>建筑类型</v>
      </c>
      <c r="R29" s="774" t="s">
        <v>17</v>
      </c>
      <c r="S29" s="775">
        <f t="shared" si="12"/>
        <v>100</v>
      </c>
      <c r="T29" s="774" t="s">
        <v>17</v>
      </c>
      <c r="U29" s="775">
        <f t="shared" si="13"/>
        <v>100</v>
      </c>
      <c r="V29" s="774" t="s">
        <v>17</v>
      </c>
      <c r="W29" s="775">
        <f t="shared" si="14"/>
        <v>100</v>
      </c>
      <c r="X29" s="1815"/>
      <c r="Y29" s="3212" t="s">
        <v>2569</v>
      </c>
      <c r="Z29" s="1816" t="str">
        <f t="shared" si="15"/>
        <v>建筑类型</v>
      </c>
      <c r="AA29" s="1813">
        <f t="shared" si="3"/>
        <v>1</v>
      </c>
      <c r="AB29" s="1813">
        <f t="shared" si="4"/>
        <v>1</v>
      </c>
      <c r="AC29" s="1813">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13" t="e">
        <f t="shared" si="3"/>
        <v>#N/A</v>
      </c>
      <c r="AB30" s="1813" t="e">
        <f t="shared" si="4"/>
        <v>#N/A</v>
      </c>
      <c r="AC30" s="1813"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2"/>
      <c r="Q31" s="1812" t="str">
        <f t="shared" si="11"/>
        <v>建筑结构</v>
      </c>
      <c r="R31" s="774" t="s">
        <v>17</v>
      </c>
      <c r="S31" s="775">
        <f t="shared" si="12"/>
        <v>100</v>
      </c>
      <c r="T31" s="774" t="s">
        <v>17</v>
      </c>
      <c r="U31" s="775">
        <f t="shared" si="13"/>
        <v>100</v>
      </c>
      <c r="V31" s="774" t="s">
        <v>17</v>
      </c>
      <c r="W31" s="775">
        <f t="shared" si="14"/>
        <v>100</v>
      </c>
      <c r="X31" s="1815"/>
      <c r="Y31" s="3212"/>
      <c r="Z31" s="1816" t="str">
        <f t="shared" si="15"/>
        <v>建筑结构</v>
      </c>
      <c r="AA31" s="1813">
        <f t="shared" si="3"/>
        <v>1</v>
      </c>
      <c r="AB31" s="1813">
        <f t="shared" si="4"/>
        <v>1</v>
      </c>
      <c r="AC31" s="1813">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2"/>
      <c r="Q32" s="1812" t="str">
        <f t="shared" si="11"/>
        <v>公共部分装修</v>
      </c>
      <c r="R32" s="774" t="s">
        <v>17</v>
      </c>
      <c r="S32" s="775">
        <f t="shared" si="12"/>
        <v>100</v>
      </c>
      <c r="T32" s="774" t="s">
        <v>17</v>
      </c>
      <c r="U32" s="775">
        <f t="shared" si="13"/>
        <v>100</v>
      </c>
      <c r="V32" s="774" t="s">
        <v>17</v>
      </c>
      <c r="W32" s="775">
        <f t="shared" si="14"/>
        <v>100</v>
      </c>
      <c r="X32" s="1815"/>
      <c r="Y32" s="3212"/>
      <c r="Z32" s="1816" t="str">
        <f t="shared" si="15"/>
        <v>公共部分装修</v>
      </c>
      <c r="AA32" s="1813">
        <f t="shared" si="3"/>
        <v>1</v>
      </c>
      <c r="AB32" s="1813">
        <f t="shared" si="4"/>
        <v>1</v>
      </c>
      <c r="AC32" s="1813">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2"/>
      <c r="Q33" s="1812" t="str">
        <f t="shared" si="11"/>
        <v>成新度</v>
      </c>
      <c r="R33" s="774" t="s">
        <v>17</v>
      </c>
      <c r="S33" s="775" t="e">
        <f t="shared" si="12"/>
        <v>#N/A</v>
      </c>
      <c r="T33" s="774" t="s">
        <v>17</v>
      </c>
      <c r="U33" s="775" t="e">
        <f t="shared" si="13"/>
        <v>#N/A</v>
      </c>
      <c r="V33" s="774" t="s">
        <v>17</v>
      </c>
      <c r="W33" s="775" t="e">
        <f t="shared" si="14"/>
        <v>#N/A</v>
      </c>
      <c r="X33" s="1815"/>
      <c r="Y33" s="3212"/>
      <c r="Z33" s="1816" t="str">
        <f t="shared" si="15"/>
        <v>成新度</v>
      </c>
      <c r="AA33" s="1813" t="e">
        <f t="shared" si="3"/>
        <v>#N/A</v>
      </c>
      <c r="AB33" s="1813" t="e">
        <f t="shared" si="4"/>
        <v>#N/A</v>
      </c>
      <c r="AC33" s="1813"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2"/>
      <c r="Q34" s="1797"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2" t="s">
        <v>2569</v>
      </c>
      <c r="Q35" s="1812" t="str">
        <f t="shared" si="11"/>
        <v>市政基础设施</v>
      </c>
      <c r="R35" s="774" t="s">
        <v>17</v>
      </c>
      <c r="S35" s="775">
        <f t="shared" si="12"/>
        <v>100</v>
      </c>
      <c r="T35" s="774" t="s">
        <v>17</v>
      </c>
      <c r="U35" s="775">
        <f t="shared" si="13"/>
        <v>100</v>
      </c>
      <c r="V35" s="774" t="s">
        <v>17</v>
      </c>
      <c r="W35" s="775">
        <f t="shared" si="14"/>
        <v>100</v>
      </c>
      <c r="X35" s="1815"/>
      <c r="Y35" s="3212" t="s">
        <v>2569</v>
      </c>
      <c r="Z35" s="1816" t="str">
        <f t="shared" si="15"/>
        <v>市政基础设施</v>
      </c>
      <c r="AA35" s="1813">
        <f t="shared" si="3"/>
        <v>1</v>
      </c>
      <c r="AB35" s="1813">
        <f t="shared" si="4"/>
        <v>1</v>
      </c>
      <c r="AC35" s="1813">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2"/>
      <c r="Q36" s="1812" t="str">
        <f t="shared" si="11"/>
        <v>内部装修</v>
      </c>
      <c r="R36" s="774" t="s">
        <v>17</v>
      </c>
      <c r="S36" s="775">
        <f t="shared" si="12"/>
        <v>100</v>
      </c>
      <c r="T36" s="774" t="s">
        <v>17</v>
      </c>
      <c r="U36" s="775">
        <f t="shared" si="13"/>
        <v>100</v>
      </c>
      <c r="V36" s="774" t="s">
        <v>17</v>
      </c>
      <c r="W36" s="775">
        <f t="shared" si="14"/>
        <v>100</v>
      </c>
      <c r="X36" s="1815"/>
      <c r="Y36" s="3212"/>
      <c r="Z36" s="1816" t="str">
        <f t="shared" si="15"/>
        <v>内部装修</v>
      </c>
      <c r="AA36" s="1813">
        <f t="shared" si="3"/>
        <v>1</v>
      </c>
      <c r="AB36" s="1813">
        <f t="shared" si="4"/>
        <v>1</v>
      </c>
      <c r="AC36" s="1813">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2"/>
      <c r="Q37" s="1812" t="str">
        <f t="shared" si="11"/>
        <v>内部装修状况</v>
      </c>
      <c r="R37" s="774" t="s">
        <v>17</v>
      </c>
      <c r="S37" s="775">
        <f t="shared" si="12"/>
        <v>100</v>
      </c>
      <c r="T37" s="774" t="s">
        <v>17</v>
      </c>
      <c r="U37" s="775">
        <f t="shared" si="13"/>
        <v>100</v>
      </c>
      <c r="V37" s="774" t="s">
        <v>17</v>
      </c>
      <c r="W37" s="775">
        <f t="shared" si="14"/>
        <v>100</v>
      </c>
      <c r="X37" s="1815"/>
      <c r="Y37" s="3212"/>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2"/>
      <c r="Q39" s="1812">
        <f t="shared" si="11"/>
        <v>111</v>
      </c>
      <c r="R39" s="774" t="s">
        <v>17</v>
      </c>
      <c r="S39" s="775">
        <f t="shared" si="12"/>
        <v>100</v>
      </c>
      <c r="T39" s="774" t="s">
        <v>17</v>
      </c>
      <c r="U39" s="775">
        <f t="shared" si="13"/>
        <v>100</v>
      </c>
      <c r="V39" s="774" t="s">
        <v>17</v>
      </c>
      <c r="W39" s="775">
        <f t="shared" si="14"/>
        <v>100</v>
      </c>
      <c r="X39" s="1815"/>
      <c r="Y39" s="3212"/>
      <c r="Z39" s="1816">
        <f t="shared" si="15"/>
        <v>111</v>
      </c>
      <c r="AA39" s="1813">
        <f t="shared" si="3"/>
        <v>1</v>
      </c>
      <c r="AB39" s="1813">
        <f t="shared" si="4"/>
        <v>1</v>
      </c>
      <c r="AC39" s="1813">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5"/>
      <c r="Q40" s="1812">
        <f t="shared" si="11"/>
        <v>111</v>
      </c>
      <c r="R40" s="774" t="s">
        <v>17</v>
      </c>
      <c r="S40" s="775">
        <f t="shared" si="12"/>
        <v>100</v>
      </c>
      <c r="T40" s="774" t="s">
        <v>17</v>
      </c>
      <c r="U40" s="775">
        <f t="shared" si="13"/>
        <v>100</v>
      </c>
      <c r="V40" s="774" t="s">
        <v>17</v>
      </c>
      <c r="W40" s="775">
        <f t="shared" si="14"/>
        <v>100</v>
      </c>
      <c r="X40" s="1815"/>
      <c r="Y40" s="3255"/>
      <c r="Z40" s="1816">
        <f t="shared" si="15"/>
        <v>111</v>
      </c>
      <c r="AA40" s="1813">
        <f t="shared" si="3"/>
        <v>1</v>
      </c>
      <c r="AB40" s="1813">
        <f t="shared" si="4"/>
        <v>1</v>
      </c>
      <c r="AC40" s="1813">
        <f t="shared" si="5"/>
        <v>1</v>
      </c>
    </row>
    <row r="41" spans="1:29" ht="15">
      <c r="A41" s="479" t="s">
        <v>2581</v>
      </c>
      <c r="B41" s="480"/>
      <c r="C41" s="1410" t="s">
        <v>1</v>
      </c>
      <c r="D41" s="1411"/>
      <c r="E41" s="1412"/>
      <c r="F41" s="1413"/>
      <c r="G41" s="1414"/>
      <c r="H41" s="1415"/>
      <c r="I41" s="1412"/>
      <c r="J41" s="1415"/>
      <c r="K41" s="783"/>
      <c r="L41" s="1146"/>
      <c r="M41" s="1147"/>
      <c r="N41" s="1134"/>
      <c r="O41" s="1147"/>
      <c r="P41" s="3194" t="str">
        <f>A41</f>
        <v>成交单价（元/平方米）</v>
      </c>
      <c r="Q41" s="3194"/>
      <c r="R41" s="3251">
        <f>E41</f>
        <v>0</v>
      </c>
      <c r="S41" s="3251"/>
      <c r="T41" s="3251">
        <f>G41</f>
        <v>0</v>
      </c>
      <c r="U41" s="3251"/>
      <c r="V41" s="3251">
        <f>I41</f>
        <v>0</v>
      </c>
      <c r="W41" s="3251"/>
      <c r="X41" s="759"/>
      <c r="Y41" s="781"/>
      <c r="Z41" s="759"/>
      <c r="AA41" s="759"/>
      <c r="AB41" s="759"/>
      <c r="AC41" s="759"/>
    </row>
    <row r="42" spans="1:29" ht="15.75" thickBot="1">
      <c r="A42" s="486" t="s">
        <v>2673</v>
      </c>
      <c r="B42" s="487"/>
      <c r="C42" s="1416" t="e">
        <f>R43</f>
        <v>#DIV/0!</v>
      </c>
      <c r="D42" s="1417"/>
      <c r="E42" s="1418" t="e">
        <f>R42</f>
        <v>#DIV/0!</v>
      </c>
      <c r="F42" s="1418"/>
      <c r="G42" s="1416" t="e">
        <f>T42</f>
        <v>#DIV/0!</v>
      </c>
      <c r="H42" s="1417"/>
      <c r="I42" s="1418" t="e">
        <f>V42</f>
        <v>#DIV/0!</v>
      </c>
      <c r="J42" s="1417"/>
      <c r="K42" s="784"/>
      <c r="L42" s="1146"/>
      <c r="M42" s="1147"/>
      <c r="N42" s="1134"/>
      <c r="O42" s="1147"/>
      <c r="P42" s="3194" t="str">
        <f>A42</f>
        <v>比较价值（元/平方米）</v>
      </c>
      <c r="Q42" s="3194"/>
      <c r="R42" s="3251" t="e">
        <f>IF(F1="售价",ROUND(PRODUCT(R41,AA7:AA40),0),ROUND(PRODUCT(R41,AA7:AA40),1))</f>
        <v>#DIV/0!</v>
      </c>
      <c r="S42" s="3251"/>
      <c r="T42" s="3251" t="e">
        <f>IF(F1="售价",ROUND(PRODUCT(T41,AB7:AB40),0),ROUND(PRODUCT(T41,AB7:AB40),1))</f>
        <v>#DIV/0!</v>
      </c>
      <c r="U42" s="3251"/>
      <c r="V42" s="3251" t="e">
        <f>IF(F1="售价",ROUND(PRODUCT(V41,AC7:AC40),0),ROUND(PRODUCT(V41,AC7:AC40),1))</f>
        <v>#DIV/0!</v>
      </c>
      <c r="W42" s="3251"/>
      <c r="X42" s="759"/>
      <c r="Y42" s="759"/>
      <c r="Z42" s="759"/>
      <c r="AA42" s="759"/>
      <c r="AB42" s="759"/>
      <c r="AC42" s="759"/>
    </row>
    <row r="43" spans="1:29" ht="15.75" thickBot="1">
      <c r="A43" s="492" t="s">
        <v>2674</v>
      </c>
      <c r="B43" s="493"/>
      <c r="C43" s="1420" t="e">
        <f>R43</f>
        <v>#DIV/0!</v>
      </c>
      <c r="D43" s="1420"/>
      <c r="E43" s="1420"/>
      <c r="F43" s="1420"/>
      <c r="G43" s="1420"/>
      <c r="H43" s="1420"/>
      <c r="I43" s="1420"/>
      <c r="J43" s="1420"/>
      <c r="K43" s="785"/>
      <c r="L43" s="1146"/>
      <c r="M43" s="1147"/>
      <c r="N43" s="1147"/>
      <c r="O43" s="1147"/>
      <c r="P43" s="3214" t="str">
        <f>A43</f>
        <v>估价对象XX用房的比较价值（楼面单价，元/平方米）</v>
      </c>
      <c r="Q43" s="3215"/>
      <c r="R43" s="3250" t="e">
        <f>IF(F1="售价",ROUND(AVERAGE(R42:V42),0),ROUND(AVERAGE(R42:V42),1))</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2678</v>
      </c>
      <c r="B51" s="759"/>
      <c r="C51" s="764"/>
      <c r="D51" s="764"/>
      <c r="E51" s="764"/>
      <c r="F51" s="765"/>
      <c r="G51" s="765"/>
      <c r="H51" s="764"/>
      <c r="I51" s="764"/>
      <c r="J51" s="764"/>
      <c r="K51" s="1163"/>
      <c r="L51" s="1164"/>
      <c r="M51" s="1162"/>
      <c r="N51" s="1162"/>
      <c r="O51" s="1162"/>
      <c r="P51" s="503"/>
      <c r="Q51" s="504"/>
    </row>
    <row r="52" spans="1:17" s="508" customFormat="1" ht="15">
      <c r="A52" s="505" t="s">
        <v>2552</v>
      </c>
      <c r="B52" s="506"/>
      <c r="C52" s="1576" t="str">
        <f>YEAR(C7)&amp;"-"&amp;MONTH(C7)</f>
        <v>2018-3</v>
      </c>
      <c r="D52" s="1577">
        <f>EDATE(C52,-1)</f>
        <v>43132</v>
      </c>
      <c r="E52" s="1577">
        <f t="shared" ref="E52:O52" si="16">EDATE(D52,-1)</f>
        <v>43101</v>
      </c>
      <c r="F52" s="1577">
        <f t="shared" si="16"/>
        <v>43070</v>
      </c>
      <c r="G52" s="1577">
        <f t="shared" si="16"/>
        <v>43040</v>
      </c>
      <c r="H52" s="1577">
        <f t="shared" si="16"/>
        <v>43009</v>
      </c>
      <c r="I52" s="1577">
        <f t="shared" si="16"/>
        <v>42979</v>
      </c>
      <c r="J52" s="1577">
        <f t="shared" si="16"/>
        <v>42948</v>
      </c>
      <c r="K52" s="1577">
        <f t="shared" si="16"/>
        <v>42917</v>
      </c>
      <c r="L52" s="1577">
        <f t="shared" si="16"/>
        <v>42887</v>
      </c>
      <c r="M52" s="1577">
        <f t="shared" si="16"/>
        <v>42856</v>
      </c>
      <c r="N52" s="1577">
        <f t="shared" si="16"/>
        <v>42826</v>
      </c>
      <c r="O52" s="1577">
        <f t="shared" si="16"/>
        <v>42795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2592</v>
      </c>
      <c r="B57" s="528" t="s">
        <v>2558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3"/>
      <c r="B87" s="569"/>
      <c r="C87" s="570"/>
      <c r="D87" s="570"/>
      <c r="E87" s="570"/>
      <c r="F87" s="570"/>
      <c r="G87" s="591"/>
      <c r="H87" s="591"/>
      <c r="I87" s="591"/>
      <c r="J87" s="591"/>
      <c r="K87" s="591"/>
      <c r="L87" s="591"/>
      <c r="M87" s="592"/>
      <c r="N87" s="1156"/>
      <c r="O87" s="1156"/>
      <c r="P87" s="45"/>
      <c r="Q87" s="504"/>
    </row>
    <row r="88" spans="1:17">
      <c r="A88" s="527" t="s">
        <v>2567</v>
      </c>
      <c r="B88" s="528" t="s">
        <v>2616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U43" sqref="U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2711</v>
      </c>
      <c r="B1" s="1621"/>
      <c r="C1" s="1622" t="s">
        <v>2534</v>
      </c>
      <c r="D1" s="1623"/>
      <c r="E1" s="1624"/>
      <c r="F1" s="2584"/>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2334</v>
      </c>
      <c r="B2" s="1421" t="e">
        <f ca="1">IF(C2="——",IF(B37="元/平方米",ROUND(C39*D3/10000,0),ROUND(F3*C39/10000,0)),IF(B37="元/平方米",ROUND(C39*D3/10000,0),ROUND(F3*C39/10000,0))-D2)</f>
        <v>#DIV/0!</v>
      </c>
      <c r="C2" s="2586"/>
      <c r="D2" s="1127" t="e">
        <f ca="1">SUMIF(INDIRECT("'"&amp;F2&amp;"'"&amp;"!A:A"),"承租人权益价值",INDIRECT("'"&amp;F2&amp;"'"&amp;"!c:c"))</f>
        <v>#REF!</v>
      </c>
      <c r="E2" s="2587" t="s">
        <v>2335</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2336</v>
      </c>
      <c r="B3" s="609" t="e">
        <f ca="1">IF(AND(C2="——",B37="元/平方米"),C39,ROUND(B2*10000/D3,0))</f>
        <v>#DIV/0!</v>
      </c>
      <c r="C3" s="400" t="s">
        <v>2648</v>
      </c>
      <c r="D3" s="399">
        <f>SUMIF('数据-汇总表'!$C19:$C33,D1,'数据-汇总表'!$E19:$E33)</f>
        <v>0</v>
      </c>
      <c r="E3" s="400" t="s">
        <v>2712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2649</v>
      </c>
      <c r="B4" s="402"/>
      <c r="C4" s="3195" t="s">
        <v>2650</v>
      </c>
      <c r="D4" s="3196"/>
      <c r="E4" s="3197" t="s">
        <v>2651</v>
      </c>
      <c r="F4" s="3198"/>
      <c r="G4" s="3195" t="s">
        <v>2652</v>
      </c>
      <c r="H4" s="3196"/>
      <c r="I4" s="3195" t="s">
        <v>2653</v>
      </c>
      <c r="J4" s="3196"/>
      <c r="K4" s="610" t="s">
        <v>2654</v>
      </c>
      <c r="L4" s="1133"/>
      <c r="M4" s="1134"/>
      <c r="N4" s="1134"/>
      <c r="O4" s="1134"/>
      <c r="P4" s="3199" t="s">
        <v>2655</v>
      </c>
      <c r="Q4" s="3200"/>
      <c r="R4" s="3182" t="s">
        <v>2651</v>
      </c>
      <c r="S4" s="3183"/>
      <c r="T4" s="3182" t="s">
        <v>2652</v>
      </c>
      <c r="U4" s="3183"/>
      <c r="V4" s="3207" t="s">
        <v>2653</v>
      </c>
      <c r="W4" s="3207"/>
      <c r="X4" s="1815"/>
      <c r="Y4" s="3182" t="s">
        <v>2655</v>
      </c>
      <c r="Z4" s="3183"/>
      <c r="AA4" s="3177" t="s">
        <v>2651</v>
      </c>
      <c r="AB4" s="3178" t="s">
        <v>2652</v>
      </c>
      <c r="AC4" s="3177" t="s">
        <v>2653</v>
      </c>
    </row>
    <row r="5" spans="1:29" ht="15">
      <c r="A5" s="404"/>
      <c r="B5" s="405"/>
      <c r="C5" s="3188" t="s">
        <v>2546</v>
      </c>
      <c r="D5" s="3189"/>
      <c r="E5" s="3186" t="s">
        <v>2547</v>
      </c>
      <c r="F5" s="3187"/>
      <c r="G5" s="3188" t="s">
        <v>2548</v>
      </c>
      <c r="H5" s="3189"/>
      <c r="I5" s="3188" t="s">
        <v>2549</v>
      </c>
      <c r="J5" s="3189"/>
      <c r="K5" s="610"/>
      <c r="L5" s="1133"/>
      <c r="M5" s="1134"/>
      <c r="N5" s="1134"/>
      <c r="O5" s="1134"/>
      <c r="P5" s="3201"/>
      <c r="Q5" s="3202"/>
      <c r="R5" s="3184"/>
      <c r="S5" s="3185"/>
      <c r="T5" s="3184"/>
      <c r="U5" s="3185"/>
      <c r="V5" s="3207"/>
      <c r="W5" s="3207"/>
      <c r="X5" s="1815"/>
      <c r="Y5" s="3184"/>
      <c r="Z5" s="3185"/>
      <c r="AA5" s="3178"/>
      <c r="AB5" s="3178"/>
      <c r="AC5" s="3178"/>
    </row>
    <row r="6" spans="1:29" ht="15.75" thickBot="1">
      <c r="A6" s="406"/>
      <c r="B6" s="407"/>
      <c r="C6" s="3190" t="s">
        <v>2550</v>
      </c>
      <c r="D6" s="3191"/>
      <c r="E6" s="3192" t="s">
        <v>2550</v>
      </c>
      <c r="F6" s="3193"/>
      <c r="G6" s="3190" t="s">
        <v>2550</v>
      </c>
      <c r="H6" s="3191"/>
      <c r="I6" s="3190" t="s">
        <v>2550</v>
      </c>
      <c r="J6" s="3191"/>
      <c r="K6" s="610" t="s">
        <v>2551</v>
      </c>
      <c r="L6" s="1133"/>
      <c r="M6" s="1134"/>
      <c r="N6" s="1134"/>
      <c r="O6" s="1134"/>
      <c r="P6" s="3203"/>
      <c r="Q6" s="3204"/>
      <c r="R6" s="3184"/>
      <c r="S6" s="3185"/>
      <c r="T6" s="3205"/>
      <c r="U6" s="3206"/>
      <c r="V6" s="3207"/>
      <c r="W6" s="3207"/>
      <c r="X6" s="1815"/>
      <c r="Y6" s="3205"/>
      <c r="Z6" s="3206"/>
      <c r="AA6" s="3179"/>
      <c r="AB6" s="3179"/>
      <c r="AC6" s="3179"/>
    </row>
    <row r="7" spans="1:29" s="117" customFormat="1" ht="15.75" thickBot="1">
      <c r="A7" s="408" t="s">
        <v>2552</v>
      </c>
      <c r="B7" s="409"/>
      <c r="C7" s="410">
        <f>'数据-取费表'!B2</f>
        <v>43186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0" t="s">
        <v>2553</v>
      </c>
      <c r="Q7" s="3208"/>
      <c r="R7" s="770" t="s">
        <v>17</v>
      </c>
      <c r="S7" s="771">
        <f t="shared" ref="S7:S14" si="0">F7</f>
        <v>0</v>
      </c>
      <c r="T7" s="770" t="s">
        <v>17</v>
      </c>
      <c r="U7" s="771">
        <f t="shared" ref="U7:U14" si="1">H7</f>
        <v>0</v>
      </c>
      <c r="V7" s="770" t="s">
        <v>17</v>
      </c>
      <c r="W7" s="771">
        <f t="shared" ref="W7:W14" si="2">J7</f>
        <v>0</v>
      </c>
      <c r="X7" s="772"/>
      <c r="Y7" s="3180" t="s">
        <v>2553</v>
      </c>
      <c r="Z7" s="3181"/>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0" t="s">
        <v>2556</v>
      </c>
      <c r="Q8" s="3181"/>
      <c r="R8" s="770" t="s">
        <v>17</v>
      </c>
      <c r="S8" s="771">
        <f t="shared" si="0"/>
        <v>0</v>
      </c>
      <c r="T8" s="770" t="s">
        <v>17</v>
      </c>
      <c r="U8" s="771">
        <f t="shared" si="1"/>
        <v>0</v>
      </c>
      <c r="V8" s="770" t="s">
        <v>17</v>
      </c>
      <c r="W8" s="771">
        <f t="shared" si="2"/>
        <v>0</v>
      </c>
      <c r="X8" s="772"/>
      <c r="Y8" s="3180" t="s">
        <v>2556</v>
      </c>
      <c r="Z8" s="3181"/>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4" t="s">
        <v>2559</v>
      </c>
      <c r="Q9" s="1797" t="str">
        <f t="shared" ref="Q9:Q14" si="6">B9</f>
        <v>用途</v>
      </c>
      <c r="R9" s="770" t="s">
        <v>17</v>
      </c>
      <c r="S9" s="771">
        <f t="shared" si="0"/>
        <v>100</v>
      </c>
      <c r="T9" s="770" t="s">
        <v>17</v>
      </c>
      <c r="U9" s="771">
        <f t="shared" si="1"/>
        <v>100</v>
      </c>
      <c r="V9" s="770" t="s">
        <v>17</v>
      </c>
      <c r="W9" s="771">
        <f t="shared" si="2"/>
        <v>100</v>
      </c>
      <c r="X9" s="772"/>
      <c r="Y9" s="3040"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4"/>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4"/>
      <c r="Q11" s="1797">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4"/>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4"/>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01" t="s">
        <v>2563</v>
      </c>
      <c r="B14" s="629" t="s">
        <v>2713</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9" t="s">
        <v>2564</v>
      </c>
      <c r="Q14" s="1812" t="str">
        <f t="shared" si="6"/>
        <v>交通便捷度</v>
      </c>
      <c r="R14" s="774" t="s">
        <v>17</v>
      </c>
      <c r="S14" s="775">
        <f t="shared" si="0"/>
        <v>100</v>
      </c>
      <c r="T14" s="774" t="s">
        <v>17</v>
      </c>
      <c r="U14" s="775">
        <f t="shared" si="1"/>
        <v>100</v>
      </c>
      <c r="V14" s="774" t="s">
        <v>17</v>
      </c>
      <c r="W14" s="775">
        <f t="shared" si="2"/>
        <v>100</v>
      </c>
      <c r="X14" s="1815"/>
      <c r="Y14" s="3209" t="s">
        <v>2564</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10"/>
      <c r="Q15" s="1812"/>
      <c r="R15" s="774"/>
      <c r="S15" s="775"/>
      <c r="T15" s="774"/>
      <c r="U15" s="775"/>
      <c r="V15" s="774"/>
      <c r="W15" s="775"/>
      <c r="X15" s="1815"/>
      <c r="Y15" s="3210"/>
      <c r="Z15" s="1816"/>
      <c r="AA15" s="1813">
        <v>1</v>
      </c>
      <c r="AB15" s="1813">
        <v>1</v>
      </c>
      <c r="AC15" s="1813">
        <v>1</v>
      </c>
    </row>
    <row r="16" spans="1:29" ht="42.75">
      <c r="A16" s="404"/>
      <c r="B16" s="631" t="s">
        <v>2692</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0"/>
      <c r="Q16" s="1812" t="str">
        <f>B16</f>
        <v>公共配套设施</v>
      </c>
      <c r="R16" s="774" t="s">
        <v>17</v>
      </c>
      <c r="S16" s="775">
        <f>F16</f>
        <v>100</v>
      </c>
      <c r="T16" s="774" t="s">
        <v>17</v>
      </c>
      <c r="U16" s="775">
        <f>H16</f>
        <v>100</v>
      </c>
      <c r="V16" s="774" t="s">
        <v>17</v>
      </c>
      <c r="W16" s="775">
        <f>J16</f>
        <v>100</v>
      </c>
      <c r="X16" s="1815"/>
      <c r="Y16" s="3210"/>
      <c r="Z16" s="1816" t="str">
        <f>Q16</f>
        <v>公共配套设施</v>
      </c>
      <c r="AA16" s="1813">
        <f t="shared" si="3"/>
        <v>1</v>
      </c>
      <c r="AB16" s="1813">
        <f t="shared" si="4"/>
        <v>1</v>
      </c>
      <c r="AC16" s="1813">
        <f t="shared" si="5"/>
        <v>1</v>
      </c>
    </row>
    <row r="17" spans="1:29" ht="15">
      <c r="A17" s="404"/>
      <c r="B17" s="632"/>
      <c r="C17" s="2607"/>
      <c r="D17" s="448"/>
      <c r="E17" s="447"/>
      <c r="F17" s="449"/>
      <c r="G17" s="447"/>
      <c r="H17" s="448"/>
      <c r="I17" s="447"/>
      <c r="J17" s="448"/>
      <c r="K17" s="615"/>
      <c r="L17" s="1143"/>
      <c r="M17" s="1134"/>
      <c r="N17" s="1134"/>
      <c r="O17" s="1134"/>
      <c r="P17" s="3210"/>
      <c r="Q17" s="1812"/>
      <c r="R17" s="774"/>
      <c r="S17" s="775"/>
      <c r="T17" s="774"/>
      <c r="U17" s="775"/>
      <c r="V17" s="774"/>
      <c r="W17" s="775"/>
      <c r="X17" s="1815"/>
      <c r="Y17" s="3210"/>
      <c r="Z17" s="1816"/>
      <c r="AA17" s="1813">
        <v>1</v>
      </c>
      <c r="AB17" s="1813">
        <v>1</v>
      </c>
      <c r="AC17" s="1813">
        <v>1</v>
      </c>
    </row>
    <row r="18" spans="1:29" ht="28.5">
      <c r="A18" s="404"/>
      <c r="B18" s="633" t="s">
        <v>2693</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0"/>
      <c r="Q18" s="1812" t="str">
        <f>B18</f>
        <v>基础设施水平</v>
      </c>
      <c r="R18" s="774" t="s">
        <v>17</v>
      </c>
      <c r="S18" s="775">
        <f>F18</f>
        <v>100</v>
      </c>
      <c r="T18" s="774" t="s">
        <v>17</v>
      </c>
      <c r="U18" s="775">
        <f>H18</f>
        <v>100</v>
      </c>
      <c r="V18" s="774" t="s">
        <v>17</v>
      </c>
      <c r="W18" s="775">
        <f>J18</f>
        <v>100</v>
      </c>
      <c r="X18" s="1815"/>
      <c r="Y18" s="3210"/>
      <c r="Z18" s="1816" t="str">
        <f>Q18</f>
        <v>基础设施水平</v>
      </c>
      <c r="AA18" s="1813">
        <f t="shared" ref="AA18" si="8">D18/F18</f>
        <v>1</v>
      </c>
      <c r="AB18" s="1813">
        <f t="shared" ref="AB18" si="9">D18/H18</f>
        <v>1</v>
      </c>
      <c r="AC18" s="1813">
        <f t="shared" ref="AC18" si="10">D18/J18</f>
        <v>1</v>
      </c>
    </row>
    <row r="19" spans="1:29" ht="15">
      <c r="A19" s="404"/>
      <c r="B19" s="633"/>
      <c r="C19" s="2607"/>
      <c r="D19" s="450"/>
      <c r="E19" s="2607"/>
      <c r="F19" s="453"/>
      <c r="G19" s="2607"/>
      <c r="H19" s="448"/>
      <c r="I19" s="447"/>
      <c r="J19" s="448"/>
      <c r="K19" s="1386"/>
      <c r="L19" s="1143"/>
      <c r="M19" s="1134"/>
      <c r="N19" s="1134"/>
      <c r="O19" s="1134"/>
      <c r="P19" s="3210"/>
      <c r="Q19" s="1812"/>
      <c r="R19" s="774"/>
      <c r="S19" s="775"/>
      <c r="T19" s="774"/>
      <c r="U19" s="775"/>
      <c r="V19" s="774"/>
      <c r="W19" s="775"/>
      <c r="X19" s="1815"/>
      <c r="Y19" s="3210"/>
      <c r="Z19" s="1816"/>
      <c r="AA19" s="1813">
        <v>1</v>
      </c>
      <c r="AB19" s="1813">
        <v>1</v>
      </c>
      <c r="AC19" s="1813">
        <v>1</v>
      </c>
    </row>
    <row r="20" spans="1:29" ht="57">
      <c r="A20" s="404"/>
      <c r="B20" s="631" t="s">
        <v>2714</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0"/>
      <c r="Q20" s="1812" t="str">
        <f>B20</f>
        <v>自然及人文环境</v>
      </c>
      <c r="R20" s="774" t="s">
        <v>17</v>
      </c>
      <c r="S20" s="775">
        <f>F20</f>
        <v>100</v>
      </c>
      <c r="T20" s="774" t="s">
        <v>17</v>
      </c>
      <c r="U20" s="775">
        <f>H20</f>
        <v>100</v>
      </c>
      <c r="V20" s="774" t="s">
        <v>17</v>
      </c>
      <c r="W20" s="775">
        <f>J20</f>
        <v>100</v>
      </c>
      <c r="X20" s="1815"/>
      <c r="Y20" s="3210"/>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10"/>
      <c r="Q21" s="1812"/>
      <c r="R21" s="774"/>
      <c r="S21" s="775"/>
      <c r="T21" s="774"/>
      <c r="U21" s="775"/>
      <c r="V21" s="774"/>
      <c r="W21" s="775"/>
      <c r="X21" s="1815"/>
      <c r="Y21" s="3210"/>
      <c r="Z21" s="1816"/>
      <c r="AA21" s="1813">
        <v>1</v>
      </c>
      <c r="AB21" s="1813">
        <v>1</v>
      </c>
      <c r="AC21" s="1813">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0"/>
      <c r="Q22" s="1812" t="str">
        <f>B22</f>
        <v>楼层</v>
      </c>
      <c r="R22" s="774" t="s">
        <v>17</v>
      </c>
      <c r="S22" s="775">
        <f>F22</f>
        <v>100</v>
      </c>
      <c r="T22" s="774" t="s">
        <v>17</v>
      </c>
      <c r="U22" s="775">
        <f>H22</f>
        <v>100</v>
      </c>
      <c r="V22" s="774" t="s">
        <v>17</v>
      </c>
      <c r="W22" s="775">
        <f>J22</f>
        <v>100</v>
      </c>
      <c r="X22" s="1815"/>
      <c r="Y22" s="3210"/>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0"/>
      <c r="Q23" s="1812">
        <f>B23</f>
        <v>111</v>
      </c>
      <c r="R23" s="774" t="s">
        <v>17</v>
      </c>
      <c r="S23" s="775">
        <f>F23</f>
        <v>100</v>
      </c>
      <c r="T23" s="774" t="s">
        <v>17</v>
      </c>
      <c r="U23" s="775">
        <f>H23</f>
        <v>100</v>
      </c>
      <c r="V23" s="774" t="s">
        <v>17</v>
      </c>
      <c r="W23" s="775">
        <f>J23</f>
        <v>100</v>
      </c>
      <c r="X23" s="1815"/>
      <c r="Y23" s="3210"/>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0"/>
      <c r="Q24" s="1812">
        <f t="shared" ref="Q24:Q36" si="11">B24</f>
        <v>111</v>
      </c>
      <c r="R24" s="774" t="s">
        <v>17</v>
      </c>
      <c r="S24" s="775">
        <f>F24</f>
        <v>100</v>
      </c>
      <c r="T24" s="774" t="s">
        <v>17</v>
      </c>
      <c r="U24" s="775">
        <f>H24</f>
        <v>100</v>
      </c>
      <c r="V24" s="774" t="s">
        <v>17</v>
      </c>
      <c r="W24" s="775">
        <f>J24</f>
        <v>100</v>
      </c>
      <c r="X24" s="1815"/>
      <c r="Y24" s="3210"/>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0"/>
      <c r="Q25" s="1797">
        <f t="shared" si="11"/>
        <v>111</v>
      </c>
      <c r="R25" s="770" t="s">
        <v>17</v>
      </c>
      <c r="S25" s="771">
        <f>F25</f>
        <v>100</v>
      </c>
      <c r="T25" s="770" t="s">
        <v>17</v>
      </c>
      <c r="U25" s="771">
        <f>H25</f>
        <v>100</v>
      </c>
      <c r="V25" s="770" t="s">
        <v>17</v>
      </c>
      <c r="W25" s="771">
        <f>J25</f>
        <v>100</v>
      </c>
      <c r="X25" s="772"/>
      <c r="Y25" s="3210"/>
      <c r="Z25" s="55">
        <f>Q25</f>
        <v>111</v>
      </c>
      <c r="AA25" s="1813">
        <f>D25/F25</f>
        <v>1</v>
      </c>
      <c r="AB25" s="1813">
        <f>D25/H25</f>
        <v>1</v>
      </c>
      <c r="AC25" s="1813">
        <f>D25/J25</f>
        <v>1</v>
      </c>
    </row>
    <row r="26" spans="1:29" ht="15">
      <c r="A26" s="652" t="s">
        <v>2567</v>
      </c>
      <c r="B26" s="70" t="s">
        <v>2716</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1" t="s">
        <v>2569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12" t="s">
        <v>2569</v>
      </c>
      <c r="Z26" s="1816" t="str">
        <f t="shared" ref="Z26:Z36" si="15">Q26</f>
        <v>配套类型</v>
      </c>
      <c r="AA26" s="1813">
        <f t="shared" si="3"/>
        <v>1</v>
      </c>
      <c r="AB26" s="1813">
        <f t="shared" si="4"/>
        <v>1</v>
      </c>
      <c r="AC26" s="1813">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13">
        <f t="shared" si="3"/>
        <v>1</v>
      </c>
      <c r="AB27" s="1813">
        <f t="shared" si="4"/>
        <v>1</v>
      </c>
      <c r="AC27" s="1813">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2"/>
      <c r="Q28" s="1812" t="str">
        <f t="shared" si="11"/>
        <v>公共部分装修</v>
      </c>
      <c r="R28" s="774" t="s">
        <v>17</v>
      </c>
      <c r="S28" s="775">
        <f t="shared" si="12"/>
        <v>100</v>
      </c>
      <c r="T28" s="774" t="s">
        <v>17</v>
      </c>
      <c r="U28" s="775">
        <f t="shared" si="13"/>
        <v>100</v>
      </c>
      <c r="V28" s="774" t="s">
        <v>17</v>
      </c>
      <c r="W28" s="775">
        <f t="shared" si="14"/>
        <v>100</v>
      </c>
      <c r="X28" s="1815"/>
      <c r="Y28" s="3212"/>
      <c r="Z28" s="1816" t="str">
        <f t="shared" si="15"/>
        <v>公共部分装修</v>
      </c>
      <c r="AA28" s="1813">
        <f t="shared" si="3"/>
        <v>1</v>
      </c>
      <c r="AB28" s="1813">
        <f t="shared" si="4"/>
        <v>1</v>
      </c>
      <c r="AC28" s="1813">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2"/>
      <c r="Q29" s="1812" t="str">
        <f t="shared" si="11"/>
        <v>成新率</v>
      </c>
      <c r="R29" s="774" t="s">
        <v>17</v>
      </c>
      <c r="S29" s="775" t="e">
        <f t="shared" si="12"/>
        <v>#N/A</v>
      </c>
      <c r="T29" s="774" t="s">
        <v>17</v>
      </c>
      <c r="U29" s="775" t="e">
        <f t="shared" si="13"/>
        <v>#N/A</v>
      </c>
      <c r="V29" s="774" t="s">
        <v>17</v>
      </c>
      <c r="W29" s="775" t="e">
        <f t="shared" si="14"/>
        <v>#N/A</v>
      </c>
      <c r="X29" s="1815"/>
      <c r="Y29" s="3212"/>
      <c r="Z29" s="1816" t="str">
        <f t="shared" si="15"/>
        <v>成新率</v>
      </c>
      <c r="AA29" s="1813" t="e">
        <f t="shared" si="3"/>
        <v>#N/A</v>
      </c>
      <c r="AB29" s="1813" t="e">
        <f t="shared" si="4"/>
        <v>#N/A</v>
      </c>
      <c r="AC29" s="1813"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2"/>
      <c r="Q30" s="1812" t="str">
        <f t="shared" si="11"/>
        <v>物业等级</v>
      </c>
      <c r="R30" s="774" t="s">
        <v>17</v>
      </c>
      <c r="S30" s="775">
        <f t="shared" si="12"/>
        <v>100</v>
      </c>
      <c r="T30" s="774" t="s">
        <v>17</v>
      </c>
      <c r="U30" s="775">
        <f t="shared" si="13"/>
        <v>100</v>
      </c>
      <c r="V30" s="774" t="s">
        <v>17</v>
      </c>
      <c r="W30" s="775">
        <f t="shared" si="14"/>
        <v>100</v>
      </c>
      <c r="X30" s="1815"/>
      <c r="Y30" s="3212"/>
      <c r="Z30" s="1816" t="str">
        <f t="shared" si="15"/>
        <v>物业等级</v>
      </c>
      <c r="AA30" s="1813">
        <f t="shared" si="3"/>
        <v>1</v>
      </c>
      <c r="AB30" s="1813">
        <f t="shared" si="4"/>
        <v>1</v>
      </c>
      <c r="AC30" s="1813">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2"/>
      <c r="Q31" s="1797"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2" t="s">
        <v>2569</v>
      </c>
      <c r="Q32" s="1812" t="str">
        <f t="shared" si="11"/>
        <v>车位类型</v>
      </c>
      <c r="R32" s="774" t="s">
        <v>17</v>
      </c>
      <c r="S32" s="775">
        <f t="shared" si="12"/>
        <v>100</v>
      </c>
      <c r="T32" s="774" t="s">
        <v>17</v>
      </c>
      <c r="U32" s="775">
        <f t="shared" si="13"/>
        <v>100</v>
      </c>
      <c r="V32" s="774" t="s">
        <v>17</v>
      </c>
      <c r="W32" s="775">
        <f t="shared" si="14"/>
        <v>100</v>
      </c>
      <c r="X32" s="1815"/>
      <c r="Y32" s="3212" t="s">
        <v>2569</v>
      </c>
      <c r="Z32" s="1816" t="str">
        <f t="shared" si="15"/>
        <v>车位类型</v>
      </c>
      <c r="AA32" s="1813">
        <f t="shared" si="3"/>
        <v>1</v>
      </c>
      <c r="AB32" s="1813">
        <f t="shared" si="4"/>
        <v>1</v>
      </c>
      <c r="AC32" s="1813">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2"/>
      <c r="Q33" s="1812" t="str">
        <f t="shared" si="11"/>
        <v>是否直接入户</v>
      </c>
      <c r="R33" s="774" t="s">
        <v>17</v>
      </c>
      <c r="S33" s="775">
        <f t="shared" si="12"/>
        <v>100</v>
      </c>
      <c r="T33" s="774" t="s">
        <v>17</v>
      </c>
      <c r="U33" s="775">
        <f t="shared" si="13"/>
        <v>100</v>
      </c>
      <c r="V33" s="774" t="s">
        <v>17</v>
      </c>
      <c r="W33" s="775">
        <f t="shared" si="14"/>
        <v>100</v>
      </c>
      <c r="X33" s="1815"/>
      <c r="Y33" s="321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2"/>
      <c r="Q34" s="1812">
        <f t="shared" si="11"/>
        <v>111</v>
      </c>
      <c r="R34" s="774" t="s">
        <v>17</v>
      </c>
      <c r="S34" s="775">
        <f t="shared" si="12"/>
        <v>100</v>
      </c>
      <c r="T34" s="774" t="s">
        <v>17</v>
      </c>
      <c r="U34" s="775">
        <f t="shared" si="13"/>
        <v>100</v>
      </c>
      <c r="V34" s="774" t="s">
        <v>17</v>
      </c>
      <c r="W34" s="775">
        <f t="shared" si="14"/>
        <v>100</v>
      </c>
      <c r="X34" s="1815"/>
      <c r="Y34" s="321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2"/>
      <c r="Q36" s="1812">
        <f t="shared" si="11"/>
        <v>111</v>
      </c>
      <c r="R36" s="774" t="s">
        <v>17</v>
      </c>
      <c r="S36" s="775">
        <f t="shared" si="12"/>
        <v>100</v>
      </c>
      <c r="T36" s="774" t="s">
        <v>17</v>
      </c>
      <c r="U36" s="775">
        <f t="shared" si="13"/>
        <v>100</v>
      </c>
      <c r="V36" s="774" t="s">
        <v>17</v>
      </c>
      <c r="W36" s="775">
        <f t="shared" si="14"/>
        <v>100</v>
      </c>
      <c r="X36" s="1815"/>
      <c r="Y36" s="3212"/>
      <c r="Z36" s="1816">
        <f t="shared" si="15"/>
        <v>111</v>
      </c>
      <c r="AA36" s="1813">
        <f t="shared" si="3"/>
        <v>1</v>
      </c>
      <c r="AB36" s="1813">
        <f t="shared" si="4"/>
        <v>1</v>
      </c>
      <c r="AC36" s="1813">
        <f t="shared" si="5"/>
        <v>1</v>
      </c>
    </row>
    <row r="37" spans="1:29" ht="15">
      <c r="A37" s="479" t="s">
        <v>2724</v>
      </c>
      <c r="B37" s="2692" t="s">
        <v>2725</v>
      </c>
      <c r="C37" s="1410" t="s">
        <v>1</v>
      </c>
      <c r="D37" s="1411"/>
      <c r="E37" s="1412"/>
      <c r="F37" s="1413"/>
      <c r="G37" s="1414"/>
      <c r="H37" s="1415"/>
      <c r="I37" s="1412"/>
      <c r="J37" s="1415"/>
      <c r="K37" s="619"/>
      <c r="L37" s="1146"/>
      <c r="M37" s="1147"/>
      <c r="N37" s="1134"/>
      <c r="O37" s="1147"/>
      <c r="P37" s="3194" t="str">
        <f>A37</f>
        <v>成交单价</v>
      </c>
      <c r="Q37" s="3194"/>
      <c r="R37" s="3251">
        <f>E37</f>
        <v>0</v>
      </c>
      <c r="S37" s="3251"/>
      <c r="T37" s="3251">
        <f>G37</f>
        <v>0</v>
      </c>
      <c r="U37" s="3251"/>
      <c r="V37" s="3251">
        <f>I37</f>
        <v>0</v>
      </c>
      <c r="W37" s="3251"/>
      <c r="X37" s="759"/>
      <c r="Y37" s="781"/>
      <c r="Z37" s="759"/>
      <c r="AA37" s="759"/>
      <c r="AB37" s="759"/>
      <c r="AC37" s="759"/>
    </row>
    <row r="38" spans="1:29" ht="15.75" thickBot="1">
      <c r="A38" s="486" t="s">
        <v>2726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4" t="str">
        <f>A38</f>
        <v>比较价值（元/平方米）</v>
      </c>
      <c r="Q38" s="3194"/>
      <c r="R38" s="3251" t="e">
        <f>IF(F1="售价",ROUND(PRODUCT(R37,AA7:AA36),0),ROUND(PRODUCT(R37,AA7:AA36),1))</f>
        <v>#DIV/0!</v>
      </c>
      <c r="S38" s="3251"/>
      <c r="T38" s="3251" t="e">
        <f>IF(F1="售价",ROUND(PRODUCT(T37,AB7:AB36),0),ROUND(PRODUCT(T37,AB7:AB36),1))</f>
        <v>#DIV/0!</v>
      </c>
      <c r="U38" s="3251"/>
      <c r="V38" s="3251" t="e">
        <f>IF(F1="售价",ROUND(PRODUCT(V37,AC7:AC36),0),ROUND(PRODUCT(V37,AC7:AC36),1))</f>
        <v>#DIV/0!</v>
      </c>
      <c r="W38" s="3251"/>
      <c r="X38" s="759"/>
      <c r="Y38" s="759"/>
      <c r="Z38" s="759"/>
      <c r="AA38" s="759"/>
      <c r="AB38" s="759"/>
      <c r="AC38" s="759"/>
    </row>
    <row r="39" spans="1:29" ht="15.75" thickBot="1">
      <c r="A39" s="492" t="s">
        <v>2727</v>
      </c>
      <c r="B39" s="493"/>
      <c r="C39" s="1420" t="e">
        <f>R39</f>
        <v>#DIV/0!</v>
      </c>
      <c r="D39" s="1420"/>
      <c r="E39" s="1420"/>
      <c r="F39" s="1420"/>
      <c r="G39" s="1420"/>
      <c r="H39" s="1420"/>
      <c r="I39" s="1420"/>
      <c r="J39" s="1420"/>
      <c r="K39" s="621"/>
      <c r="L39" s="1146"/>
      <c r="M39" s="1147"/>
      <c r="N39" s="1147"/>
      <c r="O39" s="1147"/>
      <c r="P39" s="3214" t="str">
        <f>A39</f>
        <v>估价对象XX用房的比较价值（楼面单价，元/平方米）</v>
      </c>
      <c r="Q39" s="3215"/>
      <c r="R39" s="3250" t="e">
        <f>IF(F1="售价",ROUND(AVERAGE(R38:V38),0),ROUND(AVERAGE(R38:V38),1))</f>
        <v>#DIV/0!</v>
      </c>
      <c r="S39" s="3250"/>
      <c r="T39" s="3250"/>
      <c r="U39" s="3250"/>
      <c r="V39" s="3250"/>
      <c r="W39" s="325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2732</v>
      </c>
      <c r="B48" s="506"/>
      <c r="C48" s="1576" t="str">
        <f>YEAR(C7)&amp;"-"&amp;MONTH(C7)</f>
        <v>2018-3</v>
      </c>
      <c r="D48" s="1577">
        <f>EDATE(C48,-1)</f>
        <v>43132</v>
      </c>
      <c r="E48" s="1577">
        <f t="shared" ref="E48:O48" si="16">EDATE(D48,-1)</f>
        <v>43101</v>
      </c>
      <c r="F48" s="1577">
        <f t="shared" si="16"/>
        <v>43070</v>
      </c>
      <c r="G48" s="1577">
        <f t="shared" si="16"/>
        <v>43040</v>
      </c>
      <c r="H48" s="1577">
        <f t="shared" si="16"/>
        <v>43009</v>
      </c>
      <c r="I48" s="1577">
        <f t="shared" si="16"/>
        <v>42979</v>
      </c>
      <c r="J48" s="1577">
        <f t="shared" si="16"/>
        <v>42948</v>
      </c>
      <c r="K48" s="1577">
        <f t="shared" si="16"/>
        <v>42917</v>
      </c>
      <c r="L48" s="1577">
        <f t="shared" si="16"/>
        <v>42887</v>
      </c>
      <c r="M48" s="1577">
        <f t="shared" si="16"/>
        <v>42856</v>
      </c>
      <c r="N48" s="1577">
        <f t="shared" si="16"/>
        <v>42826</v>
      </c>
      <c r="O48" s="1577">
        <f t="shared" si="16"/>
        <v>42795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2554</v>
      </c>
      <c r="B51" s="510"/>
      <c r="C51" s="522" t="s">
        <v>2656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2592</v>
      </c>
      <c r="B53" s="528" t="s">
        <v>2558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2607</v>
      </c>
      <c r="C65" s="578" t="s">
        <v>2601</v>
      </c>
      <c r="D65" s="578" t="s">
        <v>2602</v>
      </c>
      <c r="E65" s="578" t="s">
        <v>2603</v>
      </c>
      <c r="F65" s="578" t="s">
        <v>2604</v>
      </c>
      <c r="G65" s="578" t="s">
        <v>2605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2693</v>
      </c>
      <c r="C67" s="660" t="s">
        <v>2679</v>
      </c>
      <c r="D67" s="660" t="s">
        <v>2680</v>
      </c>
      <c r="E67" s="660" t="s">
        <v>2681</v>
      </c>
      <c r="F67" s="660" t="s">
        <v>2682</v>
      </c>
      <c r="G67" s="660" t="s">
        <v>2683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2613</v>
      </c>
      <c r="C69" s="578" t="s">
        <v>2601</v>
      </c>
      <c r="D69" s="578" t="s">
        <v>2602</v>
      </c>
      <c r="E69" s="578" t="s">
        <v>2603</v>
      </c>
      <c r="F69" s="578" t="s">
        <v>2604</v>
      </c>
      <c r="G69" s="578" t="s">
        <v>2605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2567</v>
      </c>
      <c r="B79" s="528" t="s">
        <v>2734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2711</v>
      </c>
      <c r="B1" s="1621"/>
      <c r="C1" s="1622" t="s">
        <v>2534</v>
      </c>
      <c r="D1" s="1623"/>
      <c r="E1" s="1632"/>
      <c r="F1" s="2584"/>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2334</v>
      </c>
      <c r="B2" s="1421" t="e">
        <f ca="1">IF(C2="——",ROUND(C37*D3/10000,0),ROUND(C37*D3/10000,0)-D2)</f>
        <v>#DIV/0!</v>
      </c>
      <c r="C2" s="2586"/>
      <c r="D2" s="1127" t="e">
        <f ca="1">SUMIF(INDIRECT("'"&amp;F2&amp;"'"&amp;"!A:A"),"承租人权益价值",INDIRECT("'"&amp;F2&amp;"'"&amp;"!c:c"))</f>
        <v>#REF!</v>
      </c>
      <c r="E2" s="2587" t="s">
        <v>2335</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 ca="1">IF(C2="——",C37,ROUND(B2*10000/D3,0))</f>
        <v>#DIV/0!</v>
      </c>
      <c r="C3" s="400" t="s">
        <v>2648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95" t="s">
        <v>2650</v>
      </c>
      <c r="D4" s="3196"/>
      <c r="E4" s="3197" t="s">
        <v>2651</v>
      </c>
      <c r="F4" s="3198"/>
      <c r="G4" s="3195" t="s">
        <v>2652</v>
      </c>
      <c r="H4" s="3196"/>
      <c r="I4" s="3195" t="s">
        <v>2653</v>
      </c>
      <c r="J4" s="3196"/>
      <c r="K4" s="610" t="s">
        <v>2654</v>
      </c>
      <c r="L4" s="1133"/>
      <c r="M4" s="1134"/>
      <c r="N4" s="1134"/>
      <c r="O4" s="1134"/>
      <c r="P4" s="3199" t="s">
        <v>2655</v>
      </c>
      <c r="Q4" s="3200"/>
      <c r="R4" s="3182" t="s">
        <v>2651</v>
      </c>
      <c r="S4" s="3183"/>
      <c r="T4" s="3182" t="s">
        <v>2652</v>
      </c>
      <c r="U4" s="3183"/>
      <c r="V4" s="3207" t="s">
        <v>2653</v>
      </c>
      <c r="W4" s="3207"/>
      <c r="X4" s="1815"/>
      <c r="Y4" s="3182" t="s">
        <v>2655</v>
      </c>
      <c r="Z4" s="3183"/>
      <c r="AA4" s="3177" t="s">
        <v>2651</v>
      </c>
      <c r="AB4" s="3178" t="s">
        <v>2652</v>
      </c>
      <c r="AC4" s="3177" t="s">
        <v>2653</v>
      </c>
    </row>
    <row r="5" spans="1:29" ht="15">
      <c r="A5" s="404"/>
      <c r="B5" s="405"/>
      <c r="C5" s="3188" t="s">
        <v>2546</v>
      </c>
      <c r="D5" s="3189"/>
      <c r="E5" s="3186" t="s">
        <v>2547</v>
      </c>
      <c r="F5" s="3187"/>
      <c r="G5" s="3188" t="s">
        <v>2548</v>
      </c>
      <c r="H5" s="3189"/>
      <c r="I5" s="3188" t="s">
        <v>2549</v>
      </c>
      <c r="J5" s="3189"/>
      <c r="K5" s="610"/>
      <c r="L5" s="1133"/>
      <c r="M5" s="1134"/>
      <c r="N5" s="1134"/>
      <c r="O5" s="1134"/>
      <c r="P5" s="3201"/>
      <c r="Q5" s="3202"/>
      <c r="R5" s="3184"/>
      <c r="S5" s="3185"/>
      <c r="T5" s="3184"/>
      <c r="U5" s="3185"/>
      <c r="V5" s="3207"/>
      <c r="W5" s="3207"/>
      <c r="X5" s="1815"/>
      <c r="Y5" s="3184"/>
      <c r="Z5" s="3185"/>
      <c r="AA5" s="3178"/>
      <c r="AB5" s="3178"/>
      <c r="AC5" s="3178"/>
    </row>
    <row r="6" spans="1:29" ht="15.75" thickBot="1">
      <c r="A6" s="406"/>
      <c r="B6" s="407"/>
      <c r="C6" s="3190" t="s">
        <v>2550</v>
      </c>
      <c r="D6" s="3191"/>
      <c r="E6" s="3192" t="s">
        <v>2550</v>
      </c>
      <c r="F6" s="3193"/>
      <c r="G6" s="3190" t="s">
        <v>2550</v>
      </c>
      <c r="H6" s="3191"/>
      <c r="I6" s="3190" t="s">
        <v>2550</v>
      </c>
      <c r="J6" s="3191"/>
      <c r="K6" s="610" t="s">
        <v>2551</v>
      </c>
      <c r="L6" s="1133"/>
      <c r="M6" s="1134"/>
      <c r="N6" s="1134"/>
      <c r="O6" s="1134"/>
      <c r="P6" s="3203"/>
      <c r="Q6" s="3204"/>
      <c r="R6" s="3184"/>
      <c r="S6" s="3185"/>
      <c r="T6" s="3205"/>
      <c r="U6" s="3206"/>
      <c r="V6" s="3207"/>
      <c r="W6" s="3207"/>
      <c r="X6" s="1815"/>
      <c r="Y6" s="3205"/>
      <c r="Z6" s="3206"/>
      <c r="AA6" s="3179"/>
      <c r="AB6" s="3179"/>
      <c r="AC6" s="3179"/>
    </row>
    <row r="7" spans="1:29" s="117" customFormat="1" ht="15.75" thickBot="1">
      <c r="A7" s="408" t="s">
        <v>2552</v>
      </c>
      <c r="B7" s="409"/>
      <c r="C7" s="410">
        <f>'数据-取费表'!B2</f>
        <v>43186</v>
      </c>
      <c r="D7" s="411">
        <v>100</v>
      </c>
      <c r="E7" s="412"/>
      <c r="F7" s="413">
        <f>SUMIF(46:46,YEAR(E7)&amp;"-"&amp;MONTH(E7),47:47)</f>
        <v>0</v>
      </c>
      <c r="G7" s="2693"/>
      <c r="H7" s="411">
        <f>SUMIF(46:46,YEAR(G7)&amp;"-"&amp;MONTH(G7),47:47)</f>
        <v>0</v>
      </c>
      <c r="I7" s="412"/>
      <c r="J7" s="411">
        <f>SUMIF(46:46,YEAR(I7)&amp;"-"&amp;MONTH(I7),47:47)</f>
        <v>0</v>
      </c>
      <c r="K7" s="611"/>
      <c r="L7" s="1135"/>
      <c r="M7" s="1136"/>
      <c r="N7" s="1136"/>
      <c r="O7" s="1136"/>
      <c r="P7" s="3180" t="s">
        <v>2553</v>
      </c>
      <c r="Q7" s="3208"/>
      <c r="R7" s="770" t="s">
        <v>17</v>
      </c>
      <c r="S7" s="771">
        <f t="shared" ref="S7:S14" si="0">F7</f>
        <v>0</v>
      </c>
      <c r="T7" s="770" t="s">
        <v>17</v>
      </c>
      <c r="U7" s="771">
        <f t="shared" ref="U7:U14" si="1">H7</f>
        <v>0</v>
      </c>
      <c r="V7" s="770" t="s">
        <v>17</v>
      </c>
      <c r="W7" s="771">
        <f t="shared" ref="W7:W14" si="2">J7</f>
        <v>0</v>
      </c>
      <c r="X7" s="772"/>
      <c r="Y7" s="3180" t="s">
        <v>2553</v>
      </c>
      <c r="Z7" s="3181"/>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0" t="s">
        <v>2556</v>
      </c>
      <c r="Q8" s="3181"/>
      <c r="R8" s="770" t="s">
        <v>17</v>
      </c>
      <c r="S8" s="771">
        <f t="shared" si="0"/>
        <v>0</v>
      </c>
      <c r="T8" s="770" t="s">
        <v>17</v>
      </c>
      <c r="U8" s="771">
        <f t="shared" si="1"/>
        <v>0</v>
      </c>
      <c r="V8" s="770" t="s">
        <v>17</v>
      </c>
      <c r="W8" s="771">
        <f t="shared" si="2"/>
        <v>0</v>
      </c>
      <c r="X8" s="772"/>
      <c r="Y8" s="3180" t="s">
        <v>2556</v>
      </c>
      <c r="Z8" s="3181"/>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4" t="s">
        <v>2559</v>
      </c>
      <c r="Q9" s="1797" t="str">
        <f t="shared" ref="Q9:Q14" si="6">B9</f>
        <v>用途</v>
      </c>
      <c r="R9" s="770" t="s">
        <v>17</v>
      </c>
      <c r="S9" s="771">
        <f t="shared" si="0"/>
        <v>100</v>
      </c>
      <c r="T9" s="770" t="s">
        <v>17</v>
      </c>
      <c r="U9" s="771">
        <f t="shared" si="1"/>
        <v>100</v>
      </c>
      <c r="V9" s="770" t="s">
        <v>17</v>
      </c>
      <c r="W9" s="771">
        <f t="shared" si="2"/>
        <v>100</v>
      </c>
      <c r="X9" s="772"/>
      <c r="Y9" s="3040"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4"/>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4"/>
      <c r="Q11" s="1797">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4"/>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4"/>
      <c r="H13" s="438">
        <f>SUMIF(59:59,G13,60:60)-SUMIF(59:59,C13,60:60)+100</f>
        <v>100</v>
      </c>
      <c r="I13" s="469"/>
      <c r="J13" s="435">
        <f>SUMIF(59:59,I13,60:60)-SUMIF(59:59,C13,60:60)+100</f>
        <v>100</v>
      </c>
      <c r="K13" s="613"/>
      <c r="L13" s="1143"/>
      <c r="M13" s="1134"/>
      <c r="N13" s="1134"/>
      <c r="O13" s="1142"/>
      <c r="P13" s="3194"/>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40" t="s">
        <v>2563</v>
      </c>
      <c r="B14" s="69" t="s">
        <v>2713</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9" t="s">
        <v>2564</v>
      </c>
      <c r="Q14" s="1812" t="str">
        <f t="shared" si="6"/>
        <v>交通便捷度</v>
      </c>
      <c r="R14" s="774" t="s">
        <v>17</v>
      </c>
      <c r="S14" s="775">
        <f t="shared" si="0"/>
        <v>100</v>
      </c>
      <c r="T14" s="774" t="s">
        <v>17</v>
      </c>
      <c r="U14" s="775">
        <f t="shared" si="1"/>
        <v>100</v>
      </c>
      <c r="V14" s="774" t="s">
        <v>17</v>
      </c>
      <c r="W14" s="775">
        <f t="shared" si="2"/>
        <v>100</v>
      </c>
      <c r="X14" s="1815"/>
      <c r="Y14" s="3209" t="s">
        <v>2564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10"/>
      <c r="Q15" s="1812"/>
      <c r="R15" s="774"/>
      <c r="S15" s="775"/>
      <c r="T15" s="774"/>
      <c r="U15" s="775"/>
      <c r="V15" s="774"/>
      <c r="W15" s="775"/>
      <c r="X15" s="1815"/>
      <c r="Y15" s="3210"/>
      <c r="Z15" s="1816"/>
      <c r="AA15" s="1813">
        <v>1</v>
      </c>
      <c r="AB15" s="1813">
        <v>1</v>
      </c>
      <c r="AC15" s="1813">
        <v>1</v>
      </c>
    </row>
    <row r="16" spans="1:29" ht="42.75">
      <c r="A16" s="428"/>
      <c r="B16" s="451" t="s">
        <v>2692</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0"/>
      <c r="Q16" s="1812" t="str">
        <f>B16</f>
        <v>公共配套设施</v>
      </c>
      <c r="R16" s="774" t="s">
        <v>17</v>
      </c>
      <c r="S16" s="775">
        <f>F16</f>
        <v>100</v>
      </c>
      <c r="T16" s="774" t="s">
        <v>17</v>
      </c>
      <c r="U16" s="775">
        <f>H16</f>
        <v>100</v>
      </c>
      <c r="V16" s="774" t="s">
        <v>17</v>
      </c>
      <c r="W16" s="775">
        <f>J16</f>
        <v>100</v>
      </c>
      <c r="X16" s="1815"/>
      <c r="Y16" s="3210"/>
      <c r="Z16" s="1816" t="str">
        <f>Q16</f>
        <v>公共配套设施</v>
      </c>
      <c r="AA16" s="1813">
        <f t="shared" si="3"/>
        <v>1</v>
      </c>
      <c r="AB16" s="1813">
        <f t="shared" si="4"/>
        <v>1</v>
      </c>
      <c r="AC16" s="1813">
        <f t="shared" si="5"/>
        <v>1</v>
      </c>
    </row>
    <row r="17" spans="1:29" ht="15">
      <c r="A17" s="428"/>
      <c r="B17" s="456"/>
      <c r="C17" s="2607"/>
      <c r="D17" s="448"/>
      <c r="E17" s="447"/>
      <c r="F17" s="449"/>
      <c r="G17" s="447"/>
      <c r="H17" s="448"/>
      <c r="I17" s="447"/>
      <c r="J17" s="448"/>
      <c r="K17" s="615"/>
      <c r="L17" s="1143"/>
      <c r="M17" s="1134"/>
      <c r="N17" s="1134"/>
      <c r="O17" s="1142"/>
      <c r="P17" s="3210"/>
      <c r="Q17" s="1812"/>
      <c r="R17" s="774"/>
      <c r="S17" s="775"/>
      <c r="T17" s="774"/>
      <c r="U17" s="775"/>
      <c r="V17" s="774"/>
      <c r="W17" s="775"/>
      <c r="X17" s="1815"/>
      <c r="Y17" s="3210"/>
      <c r="Z17" s="1816"/>
      <c r="AA17" s="1813">
        <v>1</v>
      </c>
      <c r="AB17" s="1813">
        <v>1</v>
      </c>
      <c r="AC17" s="1813">
        <v>1</v>
      </c>
    </row>
    <row r="18" spans="1:29" ht="28.5">
      <c r="A18" s="428"/>
      <c r="B18" s="1387" t="s">
        <v>2693</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0"/>
      <c r="Q18" s="1812" t="str">
        <f>B18</f>
        <v>基础设施水平</v>
      </c>
      <c r="R18" s="774" t="s">
        <v>17</v>
      </c>
      <c r="S18" s="775">
        <f>F18</f>
        <v>100</v>
      </c>
      <c r="T18" s="774" t="s">
        <v>17</v>
      </c>
      <c r="U18" s="775">
        <f>H18</f>
        <v>100</v>
      </c>
      <c r="V18" s="774" t="s">
        <v>17</v>
      </c>
      <c r="W18" s="775">
        <f>J18</f>
        <v>100</v>
      </c>
      <c r="X18" s="1815"/>
      <c r="Y18" s="3210"/>
      <c r="Z18" s="1816" t="str">
        <f>Q18</f>
        <v>基础设施水平</v>
      </c>
      <c r="AA18" s="1813">
        <f t="shared" ref="AA18" si="8">D18/F18</f>
        <v>1</v>
      </c>
      <c r="AB18" s="1813">
        <f t="shared" ref="AB18" si="9">D18/H18</f>
        <v>1</v>
      </c>
      <c r="AC18" s="1813">
        <f t="shared" ref="AC18" si="10">D18/J18</f>
        <v>1</v>
      </c>
    </row>
    <row r="19" spans="1:29" ht="15">
      <c r="A19" s="428"/>
      <c r="B19" s="1387"/>
      <c r="C19" s="2607"/>
      <c r="D19" s="450"/>
      <c r="E19" s="2607"/>
      <c r="F19" s="453"/>
      <c r="G19" s="2607"/>
      <c r="H19" s="448"/>
      <c r="I19" s="447"/>
      <c r="J19" s="448"/>
      <c r="K19" s="1386"/>
      <c r="L19" s="1143"/>
      <c r="M19" s="1134"/>
      <c r="N19" s="1134"/>
      <c r="O19" s="1142"/>
      <c r="P19" s="3210"/>
      <c r="Q19" s="1812"/>
      <c r="R19" s="774"/>
      <c r="S19" s="775"/>
      <c r="T19" s="774"/>
      <c r="U19" s="775"/>
      <c r="V19" s="774"/>
      <c r="W19" s="775"/>
      <c r="X19" s="1815"/>
      <c r="Y19" s="3210"/>
      <c r="Z19" s="1816"/>
      <c r="AA19" s="1813">
        <v>1</v>
      </c>
      <c r="AB19" s="1813">
        <v>1</v>
      </c>
      <c r="AC19" s="1813">
        <v>1</v>
      </c>
    </row>
    <row r="20" spans="1:29" ht="57">
      <c r="A20" s="428"/>
      <c r="B20" s="451" t="s">
        <v>2714</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0"/>
      <c r="Q20" s="1812" t="str">
        <f>B20</f>
        <v>自然及人文环境</v>
      </c>
      <c r="R20" s="774" t="s">
        <v>17</v>
      </c>
      <c r="S20" s="775">
        <f>F20</f>
        <v>100</v>
      </c>
      <c r="T20" s="774" t="s">
        <v>17</v>
      </c>
      <c r="U20" s="775">
        <f>H20</f>
        <v>100</v>
      </c>
      <c r="V20" s="774" t="s">
        <v>17</v>
      </c>
      <c r="W20" s="775">
        <f>J20</f>
        <v>100</v>
      </c>
      <c r="X20" s="1815"/>
      <c r="Y20" s="3210"/>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10"/>
      <c r="Q21" s="1812"/>
      <c r="R21" s="774"/>
      <c r="S21" s="775"/>
      <c r="T21" s="774"/>
      <c r="U21" s="775"/>
      <c r="V21" s="774"/>
      <c r="W21" s="775"/>
      <c r="X21" s="1815"/>
      <c r="Y21" s="3210"/>
      <c r="Z21" s="1816"/>
      <c r="AA21" s="1813">
        <v>1</v>
      </c>
      <c r="AB21" s="1813">
        <v>1</v>
      </c>
      <c r="AC21" s="1813">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0"/>
      <c r="Q22" s="1812" t="str">
        <f>B22</f>
        <v>楼层</v>
      </c>
      <c r="R22" s="774" t="s">
        <v>17</v>
      </c>
      <c r="S22" s="775">
        <f>F22</f>
        <v>100</v>
      </c>
      <c r="T22" s="774" t="s">
        <v>17</v>
      </c>
      <c r="U22" s="775">
        <f>H22</f>
        <v>100</v>
      </c>
      <c r="V22" s="774" t="s">
        <v>17</v>
      </c>
      <c r="W22" s="775">
        <f>J22</f>
        <v>100</v>
      </c>
      <c r="X22" s="1815"/>
      <c r="Y22" s="3210"/>
      <c r="Z22" s="1816" t="str">
        <f>Q22</f>
        <v>楼层</v>
      </c>
      <c r="AA22" s="1813">
        <f t="shared" si="3"/>
        <v>1</v>
      </c>
      <c r="AB22" s="1813">
        <f t="shared" si="4"/>
        <v>1</v>
      </c>
      <c r="AC22" s="1813">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0"/>
      <c r="Q23" s="1812">
        <f>B23</f>
        <v>111</v>
      </c>
      <c r="R23" s="774" t="s">
        <v>17</v>
      </c>
      <c r="S23" s="775">
        <f>F23</f>
        <v>100</v>
      </c>
      <c r="T23" s="774" t="s">
        <v>17</v>
      </c>
      <c r="U23" s="775">
        <f>H23</f>
        <v>100</v>
      </c>
      <c r="V23" s="774" t="s">
        <v>17</v>
      </c>
      <c r="W23" s="775">
        <f>J23</f>
        <v>100</v>
      </c>
      <c r="X23" s="1815"/>
      <c r="Y23" s="3210"/>
      <c r="Z23" s="1816">
        <f>Q23</f>
        <v>111</v>
      </c>
      <c r="AA23" s="1813">
        <f t="shared" si="3"/>
        <v>1</v>
      </c>
      <c r="AB23" s="1813">
        <f t="shared" si="4"/>
        <v>1</v>
      </c>
      <c r="AC23" s="1813">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0"/>
      <c r="Q24" s="1812">
        <f t="shared" ref="Q24:Q34" si="11">B24</f>
        <v>111</v>
      </c>
      <c r="R24" s="774" t="s">
        <v>17</v>
      </c>
      <c r="S24" s="775">
        <f>F24</f>
        <v>100</v>
      </c>
      <c r="T24" s="774" t="s">
        <v>17</v>
      </c>
      <c r="U24" s="775">
        <f>H24</f>
        <v>100</v>
      </c>
      <c r="V24" s="774" t="s">
        <v>17</v>
      </c>
      <c r="W24" s="775">
        <f>J24</f>
        <v>100</v>
      </c>
      <c r="X24" s="1815"/>
      <c r="Y24" s="3210"/>
      <c r="Z24" s="1816">
        <f>Q24</f>
        <v>111</v>
      </c>
      <c r="AA24" s="1813">
        <f t="shared" si="3"/>
        <v>1</v>
      </c>
      <c r="AB24" s="1813">
        <f t="shared" si="4"/>
        <v>1</v>
      </c>
      <c r="AC24" s="1813">
        <f t="shared" si="5"/>
        <v>1</v>
      </c>
    </row>
    <row r="25" spans="1:29" s="117" customFormat="1" ht="15.75" thickBot="1">
      <c r="A25" s="431"/>
      <c r="B25" s="2599">
        <v>111</v>
      </c>
      <c r="C25" s="2695"/>
      <c r="D25" s="665">
        <v>100</v>
      </c>
      <c r="E25" s="2695"/>
      <c r="F25" s="666">
        <f>SUMIF(75:75,E25,76:76)-SUMIF(75:75,C25,76:76)+100</f>
        <v>100</v>
      </c>
      <c r="G25" s="2695"/>
      <c r="H25" s="665">
        <f>SUMIF(75:75,G25,76:76)-SUMIF(75:75,C25,76:76)+100</f>
        <v>100</v>
      </c>
      <c r="I25" s="2695"/>
      <c r="J25" s="665">
        <f>SUMIF(75:75,I25,76:76)-SUMIF(75:75,C25,76:76)+100</f>
        <v>100</v>
      </c>
      <c r="K25" s="613"/>
      <c r="L25" s="1135"/>
      <c r="M25" s="1136"/>
      <c r="N25" s="1136"/>
      <c r="O25" s="1137"/>
      <c r="P25" s="3210"/>
      <c r="Q25" s="1797">
        <f t="shared" si="11"/>
        <v>111</v>
      </c>
      <c r="R25" s="770" t="s">
        <v>17</v>
      </c>
      <c r="S25" s="771">
        <f>F25</f>
        <v>100</v>
      </c>
      <c r="T25" s="770" t="s">
        <v>17</v>
      </c>
      <c r="U25" s="771">
        <f>H25</f>
        <v>100</v>
      </c>
      <c r="V25" s="770" t="s">
        <v>17</v>
      </c>
      <c r="W25" s="771">
        <f>J25</f>
        <v>100</v>
      </c>
      <c r="X25" s="772"/>
      <c r="Y25" s="3210"/>
      <c r="Z25" s="55">
        <f>Q25</f>
        <v>111</v>
      </c>
      <c r="AA25" s="1813">
        <f>D25/F25</f>
        <v>1</v>
      </c>
      <c r="AB25" s="1813">
        <f>D25/H25</f>
        <v>1</v>
      </c>
      <c r="AC25" s="1813">
        <f>D25/J25</f>
        <v>1</v>
      </c>
    </row>
    <row r="26" spans="1:29" ht="15">
      <c r="A26" s="466" t="s">
        <v>2567</v>
      </c>
      <c r="B26" s="71" t="s">
        <v>2718</v>
      </c>
      <c r="C26" s="2676"/>
      <c r="D26" s="467">
        <v>100</v>
      </c>
      <c r="E26" s="2676"/>
      <c r="F26" s="667">
        <f>SUMIF(77:77,E26,78:78)-SUMIF(77:77,C26,78:78)+100</f>
        <v>100</v>
      </c>
      <c r="G26" s="2676"/>
      <c r="H26" s="467">
        <f>SUMIF(77:77,G26,78:78)-SUMIF(77:77,C26,78:78)+100</f>
        <v>100</v>
      </c>
      <c r="I26" s="2676"/>
      <c r="J26" s="467">
        <f>SUMIF(77:77,I26,78:78)-SUMIF(77:77,C26,78:78)+100</f>
        <v>100</v>
      </c>
      <c r="K26" s="612"/>
      <c r="L26" s="1143"/>
      <c r="M26" s="1134"/>
      <c r="N26" s="1134"/>
      <c r="O26" s="1142"/>
      <c r="P26" s="3211" t="s">
        <v>2569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12" t="s">
        <v>2569</v>
      </c>
      <c r="Z26" s="1816" t="str">
        <f t="shared" ref="Z26:Z34" si="15">Q26</f>
        <v>公共部分装修</v>
      </c>
      <c r="AA26" s="1813">
        <f t="shared" si="3"/>
        <v>1</v>
      </c>
      <c r="AB26" s="1813">
        <f t="shared" si="4"/>
        <v>1</v>
      </c>
      <c r="AC26" s="1813">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13" t="e">
        <f t="shared" si="3"/>
        <v>#N/A</v>
      </c>
      <c r="AB27" s="1813" t="e">
        <f t="shared" si="4"/>
        <v>#N/A</v>
      </c>
      <c r="AC27" s="1813"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2"/>
      <c r="Q28" s="1812" t="str">
        <f t="shared" si="11"/>
        <v>物业等级</v>
      </c>
      <c r="R28" s="774" t="s">
        <v>17</v>
      </c>
      <c r="S28" s="775">
        <f t="shared" si="12"/>
        <v>100</v>
      </c>
      <c r="T28" s="774" t="s">
        <v>17</v>
      </c>
      <c r="U28" s="775">
        <f t="shared" si="13"/>
        <v>100</v>
      </c>
      <c r="V28" s="774" t="s">
        <v>17</v>
      </c>
      <c r="W28" s="775">
        <f t="shared" si="14"/>
        <v>100</v>
      </c>
      <c r="X28" s="1815"/>
      <c r="Y28" s="3212"/>
      <c r="Z28" s="1816" t="str">
        <f t="shared" si="15"/>
        <v>物业等级</v>
      </c>
      <c r="AA28" s="1813">
        <f t="shared" si="3"/>
        <v>1</v>
      </c>
      <c r="AB28" s="1813">
        <f t="shared" si="4"/>
        <v>1</v>
      </c>
      <c r="AC28" s="1813">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2"/>
      <c r="Q29" s="1812" t="str">
        <f t="shared" si="11"/>
        <v>有无电梯</v>
      </c>
      <c r="R29" s="774" t="s">
        <v>17</v>
      </c>
      <c r="S29" s="775">
        <f t="shared" si="12"/>
        <v>100</v>
      </c>
      <c r="T29" s="774" t="s">
        <v>17</v>
      </c>
      <c r="U29" s="775">
        <f t="shared" si="13"/>
        <v>100</v>
      </c>
      <c r="V29" s="774" t="s">
        <v>17</v>
      </c>
      <c r="W29" s="775">
        <f t="shared" si="14"/>
        <v>100</v>
      </c>
      <c r="X29" s="1815"/>
      <c r="Y29" s="3212"/>
      <c r="Z29" s="1816" t="str">
        <f t="shared" si="15"/>
        <v>有无电梯</v>
      </c>
      <c r="AA29" s="1813">
        <f t="shared" si="3"/>
        <v>1</v>
      </c>
      <c r="AB29" s="1813">
        <f t="shared" si="4"/>
        <v>1</v>
      </c>
      <c r="AC29" s="1813">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2"/>
      <c r="Q30" s="1812" t="str">
        <f t="shared" si="11"/>
        <v>建筑面积</v>
      </c>
      <c r="R30" s="774" t="s">
        <v>17</v>
      </c>
      <c r="S30" s="775" t="e">
        <f t="shared" si="12"/>
        <v>#N/A</v>
      </c>
      <c r="T30" s="774" t="s">
        <v>17</v>
      </c>
      <c r="U30" s="775" t="e">
        <f t="shared" si="13"/>
        <v>#N/A</v>
      </c>
      <c r="V30" s="774" t="s">
        <v>17</v>
      </c>
      <c r="W30" s="775" t="e">
        <f t="shared" si="14"/>
        <v>#N/A</v>
      </c>
      <c r="X30" s="1815"/>
      <c r="Y30" s="3212"/>
      <c r="Z30" s="1816" t="str">
        <f t="shared" si="15"/>
        <v>建筑面积</v>
      </c>
      <c r="AA30" s="1813" t="e">
        <f t="shared" si="3"/>
        <v>#N/A</v>
      </c>
      <c r="AB30" s="1813" t="e">
        <f t="shared" si="4"/>
        <v>#N/A</v>
      </c>
      <c r="AC30" s="1813"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2"/>
      <c r="Q31" s="1797"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2" t="s">
        <v>2569</v>
      </c>
      <c r="Q32" s="1812">
        <f t="shared" si="11"/>
        <v>111</v>
      </c>
      <c r="R32" s="774" t="s">
        <v>17</v>
      </c>
      <c r="S32" s="775">
        <f t="shared" si="12"/>
        <v>100</v>
      </c>
      <c r="T32" s="774" t="s">
        <v>17</v>
      </c>
      <c r="U32" s="775">
        <f t="shared" si="13"/>
        <v>100</v>
      </c>
      <c r="V32" s="774" t="s">
        <v>17</v>
      </c>
      <c r="W32" s="775">
        <f t="shared" si="14"/>
        <v>100</v>
      </c>
      <c r="X32" s="1815"/>
      <c r="Y32" s="3212" t="s">
        <v>2569</v>
      </c>
      <c r="Z32" s="1816">
        <f t="shared" si="15"/>
        <v>111</v>
      </c>
      <c r="AA32" s="1813">
        <f t="shared" si="3"/>
        <v>1</v>
      </c>
      <c r="AB32" s="1813">
        <f t="shared" si="4"/>
        <v>1</v>
      </c>
      <c r="AC32" s="1813">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2"/>
      <c r="Q33" s="1812">
        <f t="shared" si="11"/>
        <v>111</v>
      </c>
      <c r="R33" s="774" t="s">
        <v>17</v>
      </c>
      <c r="S33" s="775">
        <f t="shared" si="12"/>
        <v>100</v>
      </c>
      <c r="T33" s="774" t="s">
        <v>17</v>
      </c>
      <c r="U33" s="775">
        <f t="shared" si="13"/>
        <v>100</v>
      </c>
      <c r="V33" s="774" t="s">
        <v>17</v>
      </c>
      <c r="W33" s="775">
        <f t="shared" si="14"/>
        <v>100</v>
      </c>
      <c r="X33" s="1815"/>
      <c r="Y33" s="3212"/>
      <c r="Z33" s="1816">
        <f t="shared" si="15"/>
        <v>111</v>
      </c>
      <c r="AA33" s="1813">
        <f t="shared" si="3"/>
        <v>1</v>
      </c>
      <c r="AB33" s="1813">
        <f t="shared" si="4"/>
        <v>1</v>
      </c>
      <c r="AC33" s="1813">
        <f t="shared" si="5"/>
        <v>1</v>
      </c>
    </row>
    <row r="34" spans="1:29" ht="15.75" thickBot="1">
      <c r="A34" s="478"/>
      <c r="B34" s="2601">
        <v>111</v>
      </c>
      <c r="C34" s="437"/>
      <c r="D34" s="438">
        <v>100</v>
      </c>
      <c r="E34" s="2694"/>
      <c r="F34" s="439">
        <f>SUMIF(95:95,E34,96:96)-SUMIF(95:95,C34,96:96)+100</f>
        <v>100</v>
      </c>
      <c r="G34" s="2694"/>
      <c r="H34" s="438">
        <f>SUMIF(95:95,G34,96:96)-SUMIF(95:95,C34,96:96)+100</f>
        <v>100</v>
      </c>
      <c r="I34" s="2694"/>
      <c r="J34" s="438">
        <f>SUMIF(95:95,I34,96:96)-SUMIF(95:95,C34,96:96)+100</f>
        <v>100</v>
      </c>
      <c r="K34" s="613"/>
      <c r="L34" s="1143"/>
      <c r="M34" s="1134"/>
      <c r="N34" s="1134"/>
      <c r="O34" s="1142"/>
      <c r="P34" s="3212"/>
      <c r="Q34" s="1812">
        <f t="shared" si="11"/>
        <v>111</v>
      </c>
      <c r="R34" s="774" t="s">
        <v>17</v>
      </c>
      <c r="S34" s="775">
        <f t="shared" si="12"/>
        <v>100</v>
      </c>
      <c r="T34" s="774" t="s">
        <v>17</v>
      </c>
      <c r="U34" s="775">
        <f t="shared" si="13"/>
        <v>100</v>
      </c>
      <c r="V34" s="774" t="s">
        <v>17</v>
      </c>
      <c r="W34" s="775">
        <f t="shared" si="14"/>
        <v>100</v>
      </c>
      <c r="X34" s="1815"/>
      <c r="Y34" s="3212"/>
      <c r="Z34" s="1816">
        <f t="shared" si="15"/>
        <v>111</v>
      </c>
      <c r="AA34" s="1813">
        <f t="shared" si="3"/>
        <v>1</v>
      </c>
      <c r="AB34" s="1813">
        <f t="shared" si="4"/>
        <v>1</v>
      </c>
      <c r="AC34" s="1813">
        <f t="shared" si="5"/>
        <v>1</v>
      </c>
    </row>
    <row r="35" spans="1:29" ht="15">
      <c r="A35" s="479" t="s">
        <v>2581</v>
      </c>
      <c r="B35" s="480"/>
      <c r="C35" s="1410" t="s">
        <v>1</v>
      </c>
      <c r="D35" s="1411"/>
      <c r="E35" s="1412"/>
      <c r="F35" s="1413"/>
      <c r="G35" s="1414"/>
      <c r="H35" s="1415"/>
      <c r="I35" s="1412"/>
      <c r="J35" s="1415"/>
      <c r="K35" s="783"/>
      <c r="L35" s="1146"/>
      <c r="M35" s="1147"/>
      <c r="N35" s="1134"/>
      <c r="O35" s="1147"/>
      <c r="P35" s="3194" t="str">
        <f>A35</f>
        <v>成交单价（元/平方米）</v>
      </c>
      <c r="Q35" s="3194"/>
      <c r="R35" s="3251">
        <f>E35</f>
        <v>0</v>
      </c>
      <c r="S35" s="3251"/>
      <c r="T35" s="3251">
        <f>G35</f>
        <v>0</v>
      </c>
      <c r="U35" s="3251"/>
      <c r="V35" s="3251">
        <f>I35</f>
        <v>0</v>
      </c>
      <c r="W35" s="3251"/>
      <c r="X35" s="759"/>
      <c r="Y35" s="781"/>
      <c r="Z35" s="759"/>
      <c r="AA35" s="759"/>
      <c r="AB35" s="759"/>
      <c r="AC35" s="759"/>
    </row>
    <row r="36" spans="1:29" ht="15.75" thickBot="1">
      <c r="A36" s="486" t="s">
        <v>2673</v>
      </c>
      <c r="B36" s="487"/>
      <c r="C36" s="1416" t="e">
        <f>R37</f>
        <v>#DIV/0!</v>
      </c>
      <c r="D36" s="1417"/>
      <c r="E36" s="1418" t="e">
        <f>R36</f>
        <v>#DIV/0!</v>
      </c>
      <c r="F36" s="1418"/>
      <c r="G36" s="1416" t="e">
        <f>T36</f>
        <v>#DIV/0!</v>
      </c>
      <c r="H36" s="1417"/>
      <c r="I36" s="1418" t="e">
        <f>V36</f>
        <v>#DIV/0!</v>
      </c>
      <c r="J36" s="1417"/>
      <c r="K36" s="784"/>
      <c r="L36" s="1146"/>
      <c r="M36" s="1147"/>
      <c r="N36" s="1134"/>
      <c r="O36" s="1147"/>
      <c r="P36" s="3194" t="str">
        <f>A36</f>
        <v>比较价值（元/平方米）</v>
      </c>
      <c r="Q36" s="3194"/>
      <c r="R36" s="3251" t="e">
        <f>IF(F1="售价",ROUND(PRODUCT(R35,AA7:AA34),0),ROUND(PRODUCT(R35,AA7:AA34),1))</f>
        <v>#DIV/0!</v>
      </c>
      <c r="S36" s="3251"/>
      <c r="T36" s="3251" t="e">
        <f>IF(F1="售价",ROUND(PRODUCT(T35,AB7:AB34),0),ROUND(PRODUCT(T35,AB7:AB34),1))</f>
        <v>#DIV/0!</v>
      </c>
      <c r="U36" s="3251"/>
      <c r="V36" s="3251" t="e">
        <f>IF(F1="售价",ROUND(PRODUCT(V35,AC7:AC34),0),ROUND(PRODUCT(V35,AC7:AC34),1))</f>
        <v>#DIV/0!</v>
      </c>
      <c r="W36" s="3251"/>
      <c r="X36" s="759"/>
      <c r="Y36" s="759"/>
      <c r="Z36" s="759"/>
      <c r="AA36" s="759"/>
      <c r="AB36" s="759"/>
      <c r="AC36" s="759"/>
    </row>
    <row r="37" spans="1:29" ht="15.75" thickBot="1">
      <c r="A37" s="492" t="s">
        <v>2674</v>
      </c>
      <c r="B37" s="493"/>
      <c r="C37" s="1420" t="e">
        <f>R37</f>
        <v>#DIV/0!</v>
      </c>
      <c r="D37" s="1420"/>
      <c r="E37" s="1420"/>
      <c r="F37" s="1420"/>
      <c r="G37" s="1420"/>
      <c r="H37" s="1420"/>
      <c r="I37" s="1420"/>
      <c r="J37" s="1420"/>
      <c r="K37" s="785"/>
      <c r="L37" s="1146"/>
      <c r="M37" s="1147"/>
      <c r="N37" s="1147"/>
      <c r="O37" s="1147"/>
      <c r="P37" s="3214" t="str">
        <f>A37</f>
        <v>估价对象XX用房的比较价值（楼面单价，元/平方米）</v>
      </c>
      <c r="Q37" s="3215"/>
      <c r="R37" s="3250" t="e">
        <f>IF(F1="售价",ROUND(AVERAGE(R36:V36),0),ROUND(AVERAGE(R36:V36),1))</f>
        <v>#DIV/0!</v>
      </c>
      <c r="S37" s="3250"/>
      <c r="T37" s="3250"/>
      <c r="U37" s="3250"/>
      <c r="V37" s="3250"/>
      <c r="W37" s="325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6" t="str">
        <f>YEAR(C7)&amp;"-"&amp;MONTH(C7)</f>
        <v>2018-3</v>
      </c>
      <c r="D46" s="1577">
        <f>EDATE(C46,-1)</f>
        <v>43132</v>
      </c>
      <c r="E46" s="1577">
        <f t="shared" ref="E46:O46" si="16">EDATE(D46,-1)</f>
        <v>43101</v>
      </c>
      <c r="F46" s="1577">
        <f t="shared" si="16"/>
        <v>43070</v>
      </c>
      <c r="G46" s="1577">
        <f t="shared" si="16"/>
        <v>43040</v>
      </c>
      <c r="H46" s="1577">
        <f t="shared" si="16"/>
        <v>43009</v>
      </c>
      <c r="I46" s="1577">
        <f t="shared" si="16"/>
        <v>42979</v>
      </c>
      <c r="J46" s="1577">
        <f t="shared" si="16"/>
        <v>42948</v>
      </c>
      <c r="K46" s="1577">
        <f t="shared" si="16"/>
        <v>42917</v>
      </c>
      <c r="L46" s="1577">
        <f t="shared" si="16"/>
        <v>42887</v>
      </c>
      <c r="M46" s="1577">
        <f t="shared" si="16"/>
        <v>42856</v>
      </c>
      <c r="N46" s="1577">
        <f t="shared" si="16"/>
        <v>42826</v>
      </c>
      <c r="O46" s="1577">
        <f t="shared" si="16"/>
        <v>42795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2592</v>
      </c>
      <c r="B51" s="528" t="s">
        <v>2558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2567</v>
      </c>
      <c r="B77" s="528" t="s">
        <v>2620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activeCell="U43" sqref="U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2336</v>
      </c>
      <c r="B3" s="609" t="e">
        <f>ROUND(IF(D3="",B2*10000/'数据-汇总表'!E3,B2*10000/D3),0)</f>
        <v>#DIV/0!</v>
      </c>
      <c r="C3" s="247" t="s">
        <v>2750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95" t="s">
        <v>2650</v>
      </c>
      <c r="D4" s="3196"/>
      <c r="E4" s="3197" t="s">
        <v>2651</v>
      </c>
      <c r="F4" s="3198"/>
      <c r="G4" s="3195" t="s">
        <v>2652</v>
      </c>
      <c r="H4" s="3196"/>
      <c r="I4" s="3195" t="s">
        <v>2653</v>
      </c>
      <c r="J4" s="3196"/>
      <c r="K4" s="610" t="s">
        <v>2654</v>
      </c>
      <c r="L4" s="1133"/>
      <c r="M4" s="1134"/>
      <c r="N4" s="1134"/>
      <c r="O4" s="1134"/>
      <c r="P4" s="3199" t="s">
        <v>2655</v>
      </c>
      <c r="Q4" s="3200"/>
      <c r="R4" s="3182" t="s">
        <v>2651</v>
      </c>
      <c r="S4" s="3183"/>
      <c r="T4" s="3182" t="s">
        <v>2652</v>
      </c>
      <c r="U4" s="3183"/>
      <c r="V4" s="3207" t="s">
        <v>2653</v>
      </c>
      <c r="W4" s="3207"/>
      <c r="X4" s="1815"/>
      <c r="Y4" s="3182" t="s">
        <v>2655</v>
      </c>
      <c r="Z4" s="3183"/>
      <c r="AA4" s="3177" t="s">
        <v>2651</v>
      </c>
      <c r="AB4" s="3178" t="s">
        <v>2652</v>
      </c>
      <c r="AC4" s="3177" t="s">
        <v>2653</v>
      </c>
    </row>
    <row r="5" spans="1:29" ht="15">
      <c r="A5" s="404"/>
      <c r="B5" s="405"/>
      <c r="C5" s="3188" t="s">
        <v>2546</v>
      </c>
      <c r="D5" s="3189"/>
      <c r="E5" s="3186" t="s">
        <v>2547</v>
      </c>
      <c r="F5" s="3187"/>
      <c r="G5" s="3188" t="s">
        <v>2548</v>
      </c>
      <c r="H5" s="3189"/>
      <c r="I5" s="3188" t="s">
        <v>2549</v>
      </c>
      <c r="J5" s="3189"/>
      <c r="K5" s="610"/>
      <c r="L5" s="1133"/>
      <c r="M5" s="1134"/>
      <c r="N5" s="1134"/>
      <c r="O5" s="1134"/>
      <c r="P5" s="3201"/>
      <c r="Q5" s="3202"/>
      <c r="R5" s="3184"/>
      <c r="S5" s="3185"/>
      <c r="T5" s="3184"/>
      <c r="U5" s="3185"/>
      <c r="V5" s="3207"/>
      <c r="W5" s="3207"/>
      <c r="X5" s="1815"/>
      <c r="Y5" s="3184"/>
      <c r="Z5" s="3185"/>
      <c r="AA5" s="3178"/>
      <c r="AB5" s="3178"/>
      <c r="AC5" s="3178"/>
    </row>
    <row r="6" spans="1:29" ht="15.75" thickBot="1">
      <c r="A6" s="406"/>
      <c r="B6" s="407"/>
      <c r="C6" s="3273" t="s">
        <v>2801</v>
      </c>
      <c r="D6" s="3274"/>
      <c r="E6" s="3275" t="s">
        <v>2801</v>
      </c>
      <c r="F6" s="3276"/>
      <c r="G6" s="3273" t="s">
        <v>2801</v>
      </c>
      <c r="H6" s="3274"/>
      <c r="I6" s="3273" t="s">
        <v>2801</v>
      </c>
      <c r="J6" s="3274"/>
      <c r="K6" s="610" t="s">
        <v>2551</v>
      </c>
      <c r="L6" s="1133"/>
      <c r="M6" s="1134"/>
      <c r="N6" s="1134"/>
      <c r="O6" s="1134"/>
      <c r="P6" s="3203"/>
      <c r="Q6" s="3204"/>
      <c r="R6" s="3184"/>
      <c r="S6" s="3185"/>
      <c r="T6" s="3205"/>
      <c r="U6" s="3206"/>
      <c r="V6" s="3207"/>
      <c r="W6" s="3207"/>
      <c r="X6" s="1815"/>
      <c r="Y6" s="3205"/>
      <c r="Z6" s="3206"/>
      <c r="AA6" s="3179"/>
      <c r="AB6" s="3179"/>
      <c r="AC6" s="3179"/>
    </row>
    <row r="7" spans="1:29" s="117" customFormat="1" ht="15.75" thickBot="1">
      <c r="A7" s="408" t="s">
        <v>2552</v>
      </c>
      <c r="B7" s="409"/>
      <c r="C7" s="410">
        <f>'数据-取费表'!B2</f>
        <v>43186</v>
      </c>
      <c r="D7" s="411">
        <v>100</v>
      </c>
      <c r="E7" s="412"/>
      <c r="F7" s="413">
        <f>SUMIF(65:65,YEAR(E7)&amp;"-"&amp;INT((MONTH(E7)+2)/3),66:66)</f>
        <v>0</v>
      </c>
      <c r="G7" s="2693"/>
      <c r="H7" s="411">
        <f>SUMIF(65:65,YEAR(G7)&amp;"-"&amp;INT((MONTH(G7)+2)/3),66:66)</f>
        <v>0</v>
      </c>
      <c r="I7" s="2693"/>
      <c r="J7" s="411">
        <f>SUMIF(65:65,YEAR(I7)&amp;"-"&amp;INT((MONTH(I7)+2)/3),66:66)</f>
        <v>0</v>
      </c>
      <c r="K7" s="611"/>
      <c r="L7" s="1135"/>
      <c r="M7" s="1136"/>
      <c r="N7" s="1136"/>
      <c r="O7" s="1136"/>
      <c r="P7" s="3180" t="s">
        <v>2553</v>
      </c>
      <c r="Q7" s="3208"/>
      <c r="R7" s="770" t="s">
        <v>17</v>
      </c>
      <c r="S7" s="771">
        <f t="shared" ref="S7:S15" si="0">F7</f>
        <v>0</v>
      </c>
      <c r="T7" s="770" t="s">
        <v>17</v>
      </c>
      <c r="U7" s="771">
        <f t="shared" ref="U7:U15" si="1">H7</f>
        <v>0</v>
      </c>
      <c r="V7" s="770" t="s">
        <v>17</v>
      </c>
      <c r="W7" s="771">
        <f t="shared" ref="W7:W15" si="2">J7</f>
        <v>0</v>
      </c>
      <c r="X7" s="772"/>
      <c r="Y7" s="3180" t="s">
        <v>2553</v>
      </c>
      <c r="Z7" s="3181"/>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0" t="s">
        <v>2556</v>
      </c>
      <c r="Q8" s="3181"/>
      <c r="R8" s="770" t="s">
        <v>17</v>
      </c>
      <c r="S8" s="771">
        <f t="shared" si="0"/>
        <v>0</v>
      </c>
      <c r="T8" s="770" t="s">
        <v>17</v>
      </c>
      <c r="U8" s="771">
        <f t="shared" si="1"/>
        <v>0</v>
      </c>
      <c r="V8" s="770" t="s">
        <v>17</v>
      </c>
      <c r="W8" s="771">
        <f t="shared" si="2"/>
        <v>0</v>
      </c>
      <c r="X8" s="772"/>
      <c r="Y8" s="3180" t="s">
        <v>2556</v>
      </c>
      <c r="Z8" s="3181"/>
      <c r="AA8" s="773" t="e">
        <f t="shared" ref="AA8:AA40" si="3">D8/F8</f>
        <v>#DIV/0!</v>
      </c>
      <c r="AB8" s="773" t="e">
        <f t="shared" ref="AB8:AB40" si="4">D8/H8</f>
        <v>#DIV/0!</v>
      </c>
      <c r="AC8" s="773" t="e">
        <f t="shared" ref="AC8:AC40" si="5">D8/J8</f>
        <v>#DIV/0!</v>
      </c>
    </row>
    <row r="9" spans="1:29" s="117" customFormat="1">
      <c r="A9" s="415" t="s">
        <v>2557</v>
      </c>
      <c r="B9" s="71" t="s">
        <v>2558</v>
      </c>
      <c r="C9" s="2696"/>
      <c r="D9" s="135">
        <v>100</v>
      </c>
      <c r="E9" s="2696"/>
      <c r="F9" s="135">
        <f>SUMIF(70:70,E9,71:71)-SUMIF(70:70,C9,71:71)+100</f>
        <v>100</v>
      </c>
      <c r="G9" s="2696"/>
      <c r="H9" s="135">
        <f>SUMIF(70:70,G9,71:71)-SUMIF(70:70,C9,71:71)+100</f>
        <v>100</v>
      </c>
      <c r="I9" s="2696"/>
      <c r="J9" s="135">
        <f>SUMIF(70:70,I9,71:71)-SUMIF(70:70,C9,71:71)+100</f>
        <v>100</v>
      </c>
      <c r="K9" s="611"/>
      <c r="L9" s="1135"/>
      <c r="M9" s="1136"/>
      <c r="N9" s="1136"/>
      <c r="O9" s="1137"/>
      <c r="P9" s="3194" t="s">
        <v>2559</v>
      </c>
      <c r="Q9" s="1797" t="str">
        <f t="shared" ref="Q9:Q15" si="6">B9</f>
        <v>用途</v>
      </c>
      <c r="R9" s="770" t="s">
        <v>17</v>
      </c>
      <c r="S9" s="771">
        <f t="shared" si="0"/>
        <v>100</v>
      </c>
      <c r="T9" s="770" t="s">
        <v>17</v>
      </c>
      <c r="U9" s="771">
        <f t="shared" si="1"/>
        <v>100</v>
      </c>
      <c r="V9" s="770" t="s">
        <v>17</v>
      </c>
      <c r="W9" s="771">
        <f t="shared" si="2"/>
        <v>100</v>
      </c>
      <c r="X9" s="772"/>
      <c r="Y9" s="3040"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94"/>
      <c r="Q10" s="1797" t="str">
        <f t="shared" si="6"/>
        <v>土地使用年限（年）</v>
      </c>
      <c r="R10" s="770" t="s">
        <v>17</v>
      </c>
      <c r="S10" s="771">
        <f t="shared" si="0"/>
        <v>105</v>
      </c>
      <c r="T10" s="770" t="s">
        <v>17</v>
      </c>
      <c r="U10" s="771">
        <f t="shared" si="1"/>
        <v>105</v>
      </c>
      <c r="V10" s="770" t="s">
        <v>17</v>
      </c>
      <c r="W10" s="771">
        <f t="shared" si="2"/>
        <v>105</v>
      </c>
      <c r="X10" s="772"/>
      <c r="Y10" s="3040"/>
      <c r="Z10" s="55" t="str">
        <f t="shared" si="7"/>
        <v>土地使用年限（年）</v>
      </c>
      <c r="AA10" s="773">
        <f t="shared" si="3"/>
        <v>0.95238095238095233</v>
      </c>
      <c r="AB10" s="773">
        <f t="shared" si="4"/>
        <v>0.95238095238095233</v>
      </c>
      <c r="AC10" s="773">
        <f t="shared" si="5"/>
        <v>0.95238095238095233</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4"/>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4"/>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4"/>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4"/>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2563</v>
      </c>
      <c r="B15" s="629" t="s">
        <v>2802</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9" t="s">
        <v>2564</v>
      </c>
      <c r="Q15" s="1812" t="str">
        <f t="shared" si="6"/>
        <v>产业集聚程度</v>
      </c>
      <c r="R15" s="774" t="s">
        <v>17</v>
      </c>
      <c r="S15" s="775">
        <f t="shared" si="0"/>
        <v>100</v>
      </c>
      <c r="T15" s="774" t="s">
        <v>17</v>
      </c>
      <c r="U15" s="775">
        <f t="shared" si="1"/>
        <v>100</v>
      </c>
      <c r="V15" s="774" t="s">
        <v>17</v>
      </c>
      <c r="W15" s="775">
        <f t="shared" si="2"/>
        <v>100</v>
      </c>
      <c r="X15" s="1815"/>
      <c r="Y15" s="3209" t="s">
        <v>2564</v>
      </c>
      <c r="Z15" s="1816" t="str">
        <f t="shared" si="7"/>
        <v>产业集聚程度</v>
      </c>
      <c r="AA15" s="1813">
        <f t="shared" si="3"/>
        <v>1</v>
      </c>
      <c r="AB15" s="1813">
        <f t="shared" si="4"/>
        <v>1</v>
      </c>
      <c r="AC15" s="1813">
        <f t="shared" si="5"/>
        <v>1</v>
      </c>
    </row>
    <row r="16" spans="1:29" ht="15">
      <c r="A16" s="428"/>
      <c r="B16" s="630"/>
      <c r="C16" s="447"/>
      <c r="D16" s="448"/>
      <c r="E16" s="2610"/>
      <c r="F16" s="448"/>
      <c r="G16" s="2610"/>
      <c r="H16" s="450"/>
      <c r="I16" s="2610"/>
      <c r="J16" s="448"/>
      <c r="K16" s="672"/>
      <c r="L16" s="1143"/>
      <c r="M16" s="1134"/>
      <c r="N16" s="1134"/>
      <c r="O16" s="1142"/>
      <c r="P16" s="3210"/>
      <c r="Q16" s="1812"/>
      <c r="R16" s="774"/>
      <c r="S16" s="775"/>
      <c r="T16" s="774"/>
      <c r="U16" s="775"/>
      <c r="V16" s="774"/>
      <c r="W16" s="775"/>
      <c r="X16" s="1815"/>
      <c r="Y16" s="3210"/>
      <c r="Z16" s="1816"/>
      <c r="AA16" s="1813">
        <v>1</v>
      </c>
      <c r="AB16" s="1813">
        <v>1</v>
      </c>
      <c r="AC16" s="1813">
        <v>1</v>
      </c>
    </row>
    <row r="17" spans="1:29" ht="85.5">
      <c r="A17" s="428"/>
      <c r="B17" s="631" t="s">
        <v>2713</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0"/>
      <c r="Q17" s="1812" t="str">
        <f>B17</f>
        <v>交通便捷度</v>
      </c>
      <c r="R17" s="774" t="s">
        <v>17</v>
      </c>
      <c r="S17" s="775">
        <f>F17</f>
        <v>100</v>
      </c>
      <c r="T17" s="774" t="s">
        <v>17</v>
      </c>
      <c r="U17" s="775">
        <f>H17</f>
        <v>100</v>
      </c>
      <c r="V17" s="774" t="s">
        <v>17</v>
      </c>
      <c r="W17" s="775">
        <f>J17</f>
        <v>100</v>
      </c>
      <c r="X17" s="1815"/>
      <c r="Y17" s="3210"/>
      <c r="Z17" s="1816" t="str">
        <f>Q17</f>
        <v>交通便捷度</v>
      </c>
      <c r="AA17" s="1813">
        <f t="shared" si="3"/>
        <v>1</v>
      </c>
      <c r="AB17" s="1813">
        <f t="shared" si="4"/>
        <v>1</v>
      </c>
      <c r="AC17" s="1813">
        <f t="shared" si="5"/>
        <v>1</v>
      </c>
    </row>
    <row r="18" spans="1:29" ht="15">
      <c r="A18" s="428"/>
      <c r="B18" s="632"/>
      <c r="C18" s="447"/>
      <c r="D18" s="448"/>
      <c r="E18" s="2604"/>
      <c r="F18" s="448"/>
      <c r="G18" s="2604"/>
      <c r="H18" s="448"/>
      <c r="I18" s="2603"/>
      <c r="J18" s="448"/>
      <c r="K18" s="672"/>
      <c r="L18" s="1143"/>
      <c r="M18" s="1134"/>
      <c r="N18" s="1134"/>
      <c r="O18" s="1142"/>
      <c r="P18" s="3210"/>
      <c r="Q18" s="1812"/>
      <c r="R18" s="774"/>
      <c r="S18" s="775"/>
      <c r="T18" s="774"/>
      <c r="U18" s="775"/>
      <c r="V18" s="774"/>
      <c r="W18" s="775"/>
      <c r="X18" s="1815"/>
      <c r="Y18" s="3210"/>
      <c r="Z18" s="1816"/>
      <c r="AA18" s="1813">
        <v>1</v>
      </c>
      <c r="AB18" s="1813">
        <v>1</v>
      </c>
      <c r="AC18" s="1813">
        <v>1</v>
      </c>
    </row>
    <row r="19" spans="1:29" ht="15">
      <c r="A19" s="428"/>
      <c r="B19" s="631" t="s">
        <v>2752</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0"/>
      <c r="Q19" s="1812" t="str">
        <f t="shared" ref="Q19:Q33" si="8">B19</f>
        <v>区域土地利用方向</v>
      </c>
      <c r="R19" s="774" t="s">
        <v>17</v>
      </c>
      <c r="S19" s="775">
        <f>F19</f>
        <v>100</v>
      </c>
      <c r="T19" s="774" t="s">
        <v>17</v>
      </c>
      <c r="U19" s="775">
        <f>H19</f>
        <v>100</v>
      </c>
      <c r="V19" s="774" t="s">
        <v>17</v>
      </c>
      <c r="W19" s="775">
        <f>J19</f>
        <v>100</v>
      </c>
      <c r="X19" s="1815"/>
      <c r="Y19" s="3210"/>
      <c r="Z19" s="1816" t="str">
        <f>Q19</f>
        <v>区域土地利用方向</v>
      </c>
      <c r="AA19" s="1813">
        <f t="shared" si="3"/>
        <v>1</v>
      </c>
      <c r="AB19" s="1813">
        <f t="shared" si="4"/>
        <v>1</v>
      </c>
      <c r="AC19" s="1813">
        <f t="shared" si="5"/>
        <v>1</v>
      </c>
    </row>
    <row r="20" spans="1:29" ht="15">
      <c r="A20" s="404"/>
      <c r="B20" s="632"/>
      <c r="C20" s="447"/>
      <c r="D20" s="448"/>
      <c r="E20" s="2604"/>
      <c r="F20" s="448"/>
      <c r="G20" s="2604"/>
      <c r="H20" s="448"/>
      <c r="I20" s="2604"/>
      <c r="J20" s="448"/>
      <c r="K20" s="812"/>
      <c r="L20" s="1143"/>
      <c r="M20" s="1134"/>
      <c r="N20" s="1134"/>
      <c r="O20" s="1142"/>
      <c r="P20" s="3210"/>
      <c r="Q20" s="1812"/>
      <c r="R20" s="774"/>
      <c r="S20" s="775"/>
      <c r="T20" s="774"/>
      <c r="U20" s="775"/>
      <c r="V20" s="774"/>
      <c r="W20" s="775"/>
      <c r="X20" s="1815"/>
      <c r="Y20" s="3210"/>
      <c r="Z20" s="1816"/>
      <c r="AA20" s="1813"/>
      <c r="AB20" s="1813"/>
      <c r="AC20" s="1813"/>
    </row>
    <row r="21" spans="1:29" ht="71.25">
      <c r="A21" s="404"/>
      <c r="B21" s="631" t="s">
        <v>2803</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0"/>
      <c r="Q21" s="1812" t="str">
        <f t="shared" si="8"/>
        <v>环境状况</v>
      </c>
      <c r="R21" s="774" t="s">
        <v>17</v>
      </c>
      <c r="S21" s="775">
        <f>F21</f>
        <v>100</v>
      </c>
      <c r="T21" s="774" t="s">
        <v>17</v>
      </c>
      <c r="U21" s="775">
        <f>H21</f>
        <v>100</v>
      </c>
      <c r="V21" s="774" t="s">
        <v>17</v>
      </c>
      <c r="W21" s="775">
        <f>J21</f>
        <v>100</v>
      </c>
      <c r="X21" s="1815"/>
      <c r="Y21" s="3210"/>
      <c r="Z21" s="1816" t="str">
        <f>Q21</f>
        <v>环境状况</v>
      </c>
      <c r="AA21" s="1813">
        <f t="shared" si="3"/>
        <v>1</v>
      </c>
      <c r="AB21" s="1813">
        <f t="shared" si="4"/>
        <v>1</v>
      </c>
      <c r="AC21" s="1813">
        <f t="shared" si="5"/>
        <v>1</v>
      </c>
    </row>
    <row r="22" spans="1:29" ht="15">
      <c r="A22" s="404"/>
      <c r="B22" s="632"/>
      <c r="C22" s="447"/>
      <c r="D22" s="448"/>
      <c r="E22" s="2610"/>
      <c r="F22" s="448"/>
      <c r="G22" s="2610"/>
      <c r="H22" s="448"/>
      <c r="I22" s="447"/>
      <c r="J22" s="448"/>
      <c r="K22" s="672"/>
      <c r="L22" s="1143"/>
      <c r="M22" s="1134"/>
      <c r="N22" s="1134"/>
      <c r="O22" s="1142"/>
      <c r="P22" s="3210"/>
      <c r="Q22" s="1812"/>
      <c r="R22" s="774"/>
      <c r="S22" s="775"/>
      <c r="T22" s="774"/>
      <c r="U22" s="775"/>
      <c r="V22" s="774"/>
      <c r="W22" s="775"/>
      <c r="X22" s="1815"/>
      <c r="Y22" s="3210"/>
      <c r="Z22" s="1816"/>
      <c r="AA22" s="1813">
        <v>1</v>
      </c>
      <c r="AB22" s="1813">
        <v>1</v>
      </c>
      <c r="AC22" s="1813">
        <v>1</v>
      </c>
    </row>
    <row r="23" spans="1:29" s="117" customFormat="1" ht="42.75">
      <c r="A23" s="649"/>
      <c r="B23" s="633" t="s">
        <v>2658</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0"/>
      <c r="Q23" s="1797" t="str">
        <f t="shared" si="8"/>
        <v>公共配套设施</v>
      </c>
      <c r="R23" s="770" t="s">
        <v>17</v>
      </c>
      <c r="S23" s="771">
        <f>F23</f>
        <v>100</v>
      </c>
      <c r="T23" s="770" t="s">
        <v>17</v>
      </c>
      <c r="U23" s="771">
        <f>H23</f>
        <v>100</v>
      </c>
      <c r="V23" s="770" t="s">
        <v>17</v>
      </c>
      <c r="W23" s="771">
        <f>J23</f>
        <v>100</v>
      </c>
      <c r="X23" s="772"/>
      <c r="Y23" s="3210"/>
      <c r="Z23" s="55" t="str">
        <f>Q23</f>
        <v>公共配套设施</v>
      </c>
      <c r="AA23" s="1813">
        <f>D23/F23</f>
        <v>1</v>
      </c>
      <c r="AB23" s="1813">
        <f>D23/H23</f>
        <v>1</v>
      </c>
      <c r="AC23" s="1813">
        <f>D23/J23</f>
        <v>1</v>
      </c>
    </row>
    <row r="24" spans="1:29" s="117" customFormat="1" ht="15">
      <c r="A24" s="649"/>
      <c r="B24" s="632"/>
      <c r="C24" s="2697"/>
      <c r="D24" s="448"/>
      <c r="E24" s="2610"/>
      <c r="F24" s="448"/>
      <c r="G24" s="2610"/>
      <c r="H24" s="448"/>
      <c r="I24" s="447"/>
      <c r="J24" s="448"/>
      <c r="K24" s="672"/>
      <c r="L24" s="1135"/>
      <c r="M24" s="1136"/>
      <c r="N24" s="1136"/>
      <c r="O24" s="1137"/>
      <c r="P24" s="3210"/>
      <c r="Q24" s="1797"/>
      <c r="R24" s="770"/>
      <c r="S24" s="771"/>
      <c r="T24" s="770"/>
      <c r="U24" s="771"/>
      <c r="V24" s="770"/>
      <c r="W24" s="771"/>
      <c r="X24" s="772"/>
      <c r="Y24" s="3210"/>
      <c r="Z24" s="55"/>
      <c r="AA24" s="773">
        <v>1</v>
      </c>
      <c r="AB24" s="773">
        <v>1</v>
      </c>
      <c r="AC24" s="773">
        <v>1</v>
      </c>
    </row>
    <row r="25" spans="1:29" s="117" customFormat="1" ht="28.5">
      <c r="A25" s="649"/>
      <c r="B25" s="633" t="s">
        <v>2659</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0"/>
      <c r="Q25" s="1797" t="str">
        <f t="shared" ref="Q25" si="9">B25</f>
        <v>基础设施水平</v>
      </c>
      <c r="R25" s="770" t="s">
        <v>17</v>
      </c>
      <c r="S25" s="771">
        <f>F25</f>
        <v>100</v>
      </c>
      <c r="T25" s="770" t="s">
        <v>17</v>
      </c>
      <c r="U25" s="771">
        <f>H25</f>
        <v>100</v>
      </c>
      <c r="V25" s="770" t="s">
        <v>17</v>
      </c>
      <c r="W25" s="771">
        <f>J25</f>
        <v>100</v>
      </c>
      <c r="X25" s="772"/>
      <c r="Y25" s="3210"/>
      <c r="Z25" s="55" t="str">
        <f>Q25</f>
        <v>基础设施水平</v>
      </c>
      <c r="AA25" s="1813">
        <f>D25/F25</f>
        <v>1</v>
      </c>
      <c r="AB25" s="1813">
        <f>D25/H25</f>
        <v>1</v>
      </c>
      <c r="AC25" s="1813">
        <f>D25/J25</f>
        <v>1</v>
      </c>
    </row>
    <row r="26" spans="1:29" s="117" customFormat="1" ht="15">
      <c r="A26" s="649"/>
      <c r="B26" s="632"/>
      <c r="C26" s="2697"/>
      <c r="D26" s="448"/>
      <c r="E26" s="2698"/>
      <c r="F26" s="448"/>
      <c r="G26" s="2698"/>
      <c r="H26" s="448"/>
      <c r="I26" s="2698"/>
      <c r="J26" s="448"/>
      <c r="K26" s="672"/>
      <c r="L26" s="1135"/>
      <c r="M26" s="1136"/>
      <c r="N26" s="1136"/>
      <c r="O26" s="1137"/>
      <c r="P26" s="3210"/>
      <c r="Q26" s="1797"/>
      <c r="R26" s="770"/>
      <c r="S26" s="771"/>
      <c r="T26" s="770"/>
      <c r="U26" s="771"/>
      <c r="V26" s="770"/>
      <c r="W26" s="771"/>
      <c r="X26" s="772"/>
      <c r="Y26" s="3210"/>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0"/>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10"/>
      <c r="Z27" s="1816" t="str">
        <f t="shared" ref="Z27:Z40" si="13">Q27</f>
        <v>临街状况</v>
      </c>
      <c r="AA27" s="1813">
        <f t="shared" si="3"/>
        <v>1</v>
      </c>
      <c r="AB27" s="1813">
        <f t="shared" si="4"/>
        <v>1</v>
      </c>
      <c r="AC27" s="1813">
        <f t="shared" si="5"/>
        <v>1</v>
      </c>
    </row>
    <row r="28" spans="1:29" ht="27">
      <c r="A28" s="428"/>
      <c r="B28" s="633" t="s">
        <v>2695</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0"/>
      <c r="Q28" s="1812" t="str">
        <f t="shared" si="8"/>
        <v>毗邻道路的类型与等级</v>
      </c>
      <c r="R28" s="774" t="s">
        <v>17</v>
      </c>
      <c r="S28" s="775">
        <f t="shared" si="10"/>
        <v>100</v>
      </c>
      <c r="T28" s="774" t="s">
        <v>17</v>
      </c>
      <c r="U28" s="775">
        <f t="shared" si="11"/>
        <v>100</v>
      </c>
      <c r="V28" s="774" t="s">
        <v>17</v>
      </c>
      <c r="W28" s="775">
        <f t="shared" si="12"/>
        <v>100</v>
      </c>
      <c r="X28" s="1815"/>
      <c r="Y28" s="3210"/>
      <c r="Z28" s="1816" t="str">
        <f t="shared" si="13"/>
        <v>毗邻道路的类型与等级</v>
      </c>
      <c r="AA28" s="1813">
        <f t="shared" si="3"/>
        <v>1</v>
      </c>
      <c r="AB28" s="1813">
        <f t="shared" si="4"/>
        <v>1</v>
      </c>
      <c r="AC28" s="1813">
        <f t="shared" si="5"/>
        <v>1</v>
      </c>
    </row>
    <row r="29" spans="1:29" ht="15">
      <c r="A29" s="428"/>
      <c r="B29" s="632"/>
      <c r="C29" s="447"/>
      <c r="D29" s="448"/>
      <c r="E29" s="2610"/>
      <c r="F29" s="448"/>
      <c r="G29" s="2610"/>
      <c r="H29" s="448"/>
      <c r="I29" s="2610"/>
      <c r="J29" s="448"/>
      <c r="K29" s="613"/>
      <c r="L29" s="1143"/>
      <c r="M29" s="1134"/>
      <c r="N29" s="1134"/>
      <c r="O29" s="1142"/>
      <c r="P29" s="3210"/>
      <c r="Q29" s="1812"/>
      <c r="R29" s="774"/>
      <c r="S29" s="775"/>
      <c r="T29" s="774"/>
      <c r="U29" s="775"/>
      <c r="V29" s="774"/>
      <c r="W29" s="775"/>
      <c r="X29" s="1815"/>
      <c r="Y29" s="3210"/>
      <c r="Z29" s="1816"/>
      <c r="AA29" s="1813">
        <v>1</v>
      </c>
      <c r="AB29" s="1813">
        <v>1</v>
      </c>
      <c r="AC29" s="1813">
        <v>1</v>
      </c>
    </row>
    <row r="30" spans="1:29" ht="15">
      <c r="A30" s="428"/>
      <c r="B30" s="654" t="s">
        <v>2754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0"/>
      <c r="Q30" s="1812" t="str">
        <f t="shared" si="8"/>
        <v>土地级别</v>
      </c>
      <c r="R30" s="774" t="s">
        <v>17</v>
      </c>
      <c r="S30" s="775">
        <f t="shared" si="10"/>
        <v>100</v>
      </c>
      <c r="T30" s="774" t="s">
        <v>17</v>
      </c>
      <c r="U30" s="775">
        <f t="shared" si="11"/>
        <v>100</v>
      </c>
      <c r="V30" s="774" t="s">
        <v>17</v>
      </c>
      <c r="W30" s="775">
        <f t="shared" si="12"/>
        <v>100</v>
      </c>
      <c r="X30" s="1815"/>
      <c r="Y30" s="3210"/>
      <c r="Z30" s="1816" t="str">
        <f t="shared" si="13"/>
        <v>土地级别</v>
      </c>
      <c r="AA30" s="1813">
        <f t="shared" si="3"/>
        <v>1</v>
      </c>
      <c r="AB30" s="1813">
        <f t="shared" si="4"/>
        <v>1</v>
      </c>
      <c r="AC30" s="1813">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0"/>
      <c r="Q31" s="1812">
        <f t="shared" si="8"/>
        <v>111</v>
      </c>
      <c r="R31" s="774" t="s">
        <v>17</v>
      </c>
      <c r="S31" s="775">
        <f t="shared" si="10"/>
        <v>100</v>
      </c>
      <c r="T31" s="774" t="s">
        <v>17</v>
      </c>
      <c r="U31" s="775">
        <f t="shared" si="11"/>
        <v>100</v>
      </c>
      <c r="V31" s="774" t="s">
        <v>17</v>
      </c>
      <c r="W31" s="775">
        <f t="shared" si="12"/>
        <v>100</v>
      </c>
      <c r="X31" s="1815"/>
      <c r="Y31" s="3210"/>
      <c r="Z31" s="1816">
        <f t="shared" si="13"/>
        <v>111</v>
      </c>
      <c r="AA31" s="1813">
        <f t="shared" si="3"/>
        <v>1</v>
      </c>
      <c r="AB31" s="1813">
        <f t="shared" si="4"/>
        <v>1</v>
      </c>
      <c r="AC31" s="1813">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1" t="s">
        <v>2569</v>
      </c>
      <c r="Q32" s="1812">
        <f t="shared" si="8"/>
        <v>111</v>
      </c>
      <c r="R32" s="774" t="s">
        <v>17</v>
      </c>
      <c r="S32" s="775">
        <f t="shared" si="10"/>
        <v>100</v>
      </c>
      <c r="T32" s="774" t="s">
        <v>17</v>
      </c>
      <c r="U32" s="775">
        <f t="shared" si="11"/>
        <v>100</v>
      </c>
      <c r="V32" s="774" t="s">
        <v>17</v>
      </c>
      <c r="W32" s="775">
        <f t="shared" si="12"/>
        <v>100</v>
      </c>
      <c r="X32" s="1815"/>
      <c r="Y32" s="3212" t="s">
        <v>2569</v>
      </c>
      <c r="Z32" s="1816">
        <f t="shared" si="13"/>
        <v>111</v>
      </c>
      <c r="AA32" s="1813">
        <f t="shared" si="3"/>
        <v>1</v>
      </c>
      <c r="AB32" s="1813">
        <f t="shared" si="4"/>
        <v>1</v>
      </c>
      <c r="AC32" s="1813">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2"/>
      <c r="Q33" s="1812">
        <f t="shared" si="8"/>
        <v>111</v>
      </c>
      <c r="R33" s="777" t="s">
        <v>17</v>
      </c>
      <c r="S33" s="778">
        <f t="shared" si="10"/>
        <v>100</v>
      </c>
      <c r="T33" s="777" t="s">
        <v>17</v>
      </c>
      <c r="U33" s="778">
        <f t="shared" si="11"/>
        <v>100</v>
      </c>
      <c r="V33" s="777" t="s">
        <v>17</v>
      </c>
      <c r="W33" s="778">
        <f t="shared" si="12"/>
        <v>100</v>
      </c>
      <c r="X33" s="779"/>
      <c r="Y33" s="3212"/>
      <c r="Z33" s="780">
        <f t="shared" si="13"/>
        <v>111</v>
      </c>
      <c r="AA33" s="1813">
        <f t="shared" si="3"/>
        <v>1</v>
      </c>
      <c r="AB33" s="1813">
        <f t="shared" si="4"/>
        <v>1</v>
      </c>
      <c r="AC33" s="1813">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2"/>
      <c r="Q34" s="1812" t="str">
        <f>B34</f>
        <v>宗地面积</v>
      </c>
      <c r="R34" s="774" t="s">
        <v>17</v>
      </c>
      <c r="S34" s="775" t="e">
        <f t="shared" si="10"/>
        <v>#N/A</v>
      </c>
      <c r="T34" s="774" t="s">
        <v>17</v>
      </c>
      <c r="U34" s="775" t="e">
        <f t="shared" si="11"/>
        <v>#N/A</v>
      </c>
      <c r="V34" s="774" t="s">
        <v>17</v>
      </c>
      <c r="W34" s="775" t="e">
        <f t="shared" si="12"/>
        <v>#N/A</v>
      </c>
      <c r="X34" s="1815"/>
      <c r="Y34" s="3212"/>
      <c r="Z34" s="1816" t="str">
        <f t="shared" si="13"/>
        <v>宗地面积</v>
      </c>
      <c r="AA34" s="1813" t="e">
        <f t="shared" si="3"/>
        <v>#N/A</v>
      </c>
      <c r="AB34" s="1813" t="e">
        <f t="shared" si="4"/>
        <v>#N/A</v>
      </c>
      <c r="AC34" s="1813" t="e">
        <f t="shared" si="5"/>
        <v>#N/A</v>
      </c>
    </row>
    <row r="35" spans="1:29" ht="15">
      <c r="A35" s="472"/>
      <c r="B35" s="422" t="s">
        <v>2756</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212"/>
      <c r="Q35" s="1812" t="str">
        <f t="shared" ref="Q35:Q40" si="14">B35</f>
        <v>宗地形状</v>
      </c>
      <c r="R35" s="774" t="s">
        <v>17</v>
      </c>
      <c r="S35" s="775">
        <f t="shared" si="10"/>
        <v>100</v>
      </c>
      <c r="T35" s="774" t="s">
        <v>17</v>
      </c>
      <c r="U35" s="775">
        <f t="shared" si="11"/>
        <v>100</v>
      </c>
      <c r="V35" s="774" t="s">
        <v>17</v>
      </c>
      <c r="W35" s="775">
        <f t="shared" si="12"/>
        <v>100</v>
      </c>
      <c r="X35" s="1815"/>
      <c r="Y35" s="3212"/>
      <c r="Z35" s="1816" t="str">
        <f t="shared" si="13"/>
        <v>宗地形状</v>
      </c>
      <c r="AA35" s="1813">
        <f t="shared" si="3"/>
        <v>1</v>
      </c>
      <c r="AB35" s="1813">
        <f t="shared" si="4"/>
        <v>1</v>
      </c>
      <c r="AC35" s="1813">
        <f t="shared" si="5"/>
        <v>1</v>
      </c>
    </row>
    <row r="36" spans="1:29" s="117" customFormat="1" ht="15">
      <c r="A36" s="473"/>
      <c r="B36" s="422" t="s">
        <v>2758</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5"/>
      <c r="M36" s="1136"/>
      <c r="N36" s="1136"/>
      <c r="O36" s="1137"/>
      <c r="P36" s="3212"/>
      <c r="Q36" s="1812"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2759</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212" t="s">
        <v>2569</v>
      </c>
      <c r="Q37" s="1812" t="str">
        <f t="shared" si="14"/>
        <v>工程地质条件</v>
      </c>
      <c r="R37" s="774" t="s">
        <v>17</v>
      </c>
      <c r="S37" s="775">
        <f t="shared" si="10"/>
        <v>100</v>
      </c>
      <c r="T37" s="774" t="s">
        <v>17</v>
      </c>
      <c r="U37" s="775">
        <f t="shared" si="11"/>
        <v>100</v>
      </c>
      <c r="V37" s="774" t="s">
        <v>17</v>
      </c>
      <c r="W37" s="775">
        <f t="shared" si="12"/>
        <v>100</v>
      </c>
      <c r="X37" s="1815"/>
      <c r="Y37" s="3212" t="s">
        <v>2569</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2"/>
      <c r="Q38" s="1812">
        <f t="shared" si="14"/>
        <v>111</v>
      </c>
      <c r="R38" s="774" t="s">
        <v>17</v>
      </c>
      <c r="S38" s="775">
        <f t="shared" si="10"/>
        <v>100</v>
      </c>
      <c r="T38" s="774" t="s">
        <v>17</v>
      </c>
      <c r="U38" s="775">
        <f t="shared" si="11"/>
        <v>100</v>
      </c>
      <c r="V38" s="774" t="s">
        <v>17</v>
      </c>
      <c r="W38" s="775">
        <f t="shared" si="12"/>
        <v>100</v>
      </c>
      <c r="X38" s="1815"/>
      <c r="Y38" s="3212"/>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2"/>
      <c r="Q39" s="1812">
        <f t="shared" si="14"/>
        <v>111</v>
      </c>
      <c r="R39" s="774" t="s">
        <v>17</v>
      </c>
      <c r="S39" s="775">
        <f t="shared" si="10"/>
        <v>100</v>
      </c>
      <c r="T39" s="774" t="s">
        <v>17</v>
      </c>
      <c r="U39" s="775">
        <f t="shared" si="11"/>
        <v>100</v>
      </c>
      <c r="V39" s="774" t="s">
        <v>17</v>
      </c>
      <c r="W39" s="775">
        <f t="shared" si="12"/>
        <v>100</v>
      </c>
      <c r="X39" s="1815"/>
      <c r="Y39" s="3212"/>
      <c r="Z39" s="1816">
        <f t="shared" si="13"/>
        <v>111</v>
      </c>
      <c r="AA39" s="1813">
        <f t="shared" si="3"/>
        <v>1</v>
      </c>
      <c r="AB39" s="1813">
        <f t="shared" si="4"/>
        <v>1</v>
      </c>
      <c r="AC39" s="1813">
        <f t="shared" si="5"/>
        <v>1</v>
      </c>
    </row>
    <row r="40" spans="1:29" s="471" customFormat="1" ht="15.75" thickBot="1">
      <c r="A40" s="468"/>
      <c r="B40" s="1390">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2"/>
      <c r="Q40" s="1812">
        <f t="shared" si="14"/>
        <v>111</v>
      </c>
      <c r="R40" s="777" t="s">
        <v>17</v>
      </c>
      <c r="S40" s="778">
        <f t="shared" si="10"/>
        <v>100</v>
      </c>
      <c r="T40" s="777" t="s">
        <v>17</v>
      </c>
      <c r="U40" s="778">
        <f t="shared" si="11"/>
        <v>100</v>
      </c>
      <c r="V40" s="777" t="s">
        <v>17</v>
      </c>
      <c r="W40" s="778">
        <f t="shared" si="12"/>
        <v>100</v>
      </c>
      <c r="X40" s="779"/>
      <c r="Y40" s="3212"/>
      <c r="Z40" s="780">
        <f t="shared" si="13"/>
        <v>111</v>
      </c>
      <c r="AA40" s="1813">
        <f t="shared" si="3"/>
        <v>1</v>
      </c>
      <c r="AB40" s="1813">
        <f t="shared" si="4"/>
        <v>1</v>
      </c>
      <c r="AC40" s="1813">
        <f t="shared" si="5"/>
        <v>1</v>
      </c>
    </row>
    <row r="41" spans="1:29" ht="15">
      <c r="A41" s="479" t="s">
        <v>2724</v>
      </c>
      <c r="B41" s="2701" t="s">
        <v>2804</v>
      </c>
      <c r="C41" s="682" t="s">
        <v>1</v>
      </c>
      <c r="D41" s="481"/>
      <c r="E41" s="482"/>
      <c r="F41" s="483"/>
      <c r="G41" s="484"/>
      <c r="H41" s="485"/>
      <c r="I41" s="482"/>
      <c r="J41" s="485"/>
      <c r="K41" s="783"/>
      <c r="L41" s="1146"/>
      <c r="M41" s="1134"/>
      <c r="N41" s="1134"/>
      <c r="O41" s="1147"/>
      <c r="P41" s="3194" t="str">
        <f>A41</f>
        <v>成交单价</v>
      </c>
      <c r="Q41" s="3194"/>
      <c r="R41" s="3207">
        <f>E41</f>
        <v>0</v>
      </c>
      <c r="S41" s="3207"/>
      <c r="T41" s="3207">
        <f>G41</f>
        <v>0</v>
      </c>
      <c r="U41" s="3207"/>
      <c r="V41" s="3207">
        <f>I41</f>
        <v>0</v>
      </c>
      <c r="W41" s="3207"/>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6"/>
      <c r="M42" s="1134"/>
      <c r="N42" s="1134"/>
      <c r="O42" s="1147"/>
      <c r="P42" s="3194" t="str">
        <f>A42</f>
        <v>比较价值（元/平方米）</v>
      </c>
      <c r="Q42" s="3194"/>
      <c r="R42" s="3213" t="e">
        <f>ROUND(PRODUCT(R41,AA7:AA40),0)</f>
        <v>#DIV/0!</v>
      </c>
      <c r="S42" s="3213"/>
      <c r="T42" s="3213" t="e">
        <f>ROUND(PRODUCT(T41,AB7:AB40),0)</f>
        <v>#DIV/0!</v>
      </c>
      <c r="U42" s="3213"/>
      <c r="V42" s="3213" t="e">
        <f>ROUND(PRODUCT(V41,AC7:AC40),0)</f>
        <v>#DIV/0!</v>
      </c>
      <c r="W42" s="3213"/>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6"/>
      <c r="M43" s="1134"/>
      <c r="N43" s="1134"/>
      <c r="O43" s="1147"/>
      <c r="P43" s="3214" t="str">
        <f>A43</f>
        <v>估价对象XX用房的比较价值（楼面单价，元/平方米）</v>
      </c>
      <c r="Q43" s="3215"/>
      <c r="R43" s="3216" t="e">
        <f>ROUND(AVERAGE(R42:V42),0)</f>
        <v>#DIV/0!</v>
      </c>
      <c r="S43" s="3216"/>
      <c r="T43" s="3216"/>
      <c r="U43" s="3216"/>
      <c r="V43" s="3216"/>
      <c r="W43" s="321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2762</v>
      </c>
      <c r="B50" s="685" t="s">
        <v>2763</v>
      </c>
      <c r="C50" s="2702" t="s">
        <v>2764</v>
      </c>
      <c r="D50" s="2703" t="s">
        <v>2765</v>
      </c>
      <c r="E50" s="686" t="s">
        <v>2766</v>
      </c>
      <c r="F50" s="687" t="s">
        <v>2767</v>
      </c>
      <c r="G50" s="3195" t="s">
        <v>2768</v>
      </c>
      <c r="H50" s="3217"/>
      <c r="I50" s="1816" t="s">
        <v>2805</v>
      </c>
      <c r="J50" s="1816" t="str">
        <f>项目基本情况!F35</f>
        <v>海南省文昌市</v>
      </c>
      <c r="K50" s="2705" t="s">
        <v>2770</v>
      </c>
      <c r="L50" s="1109"/>
      <c r="M50" s="1147"/>
      <c r="N50" s="1147"/>
      <c r="O50" s="1147"/>
    </row>
    <row r="51" spans="1:17" s="692" customFormat="1">
      <c r="A51" s="688" t="s">
        <v>2771</v>
      </c>
      <c r="B51" s="689" t="e">
        <f>C43</f>
        <v>#DIV/0!</v>
      </c>
      <c r="C51" s="690">
        <v>1</v>
      </c>
      <c r="D51" s="1166">
        <v>1</v>
      </c>
      <c r="E51" s="690">
        <f>'数据-汇总表'!E8+'数据-汇总表'!E9</f>
        <v>231197.55</v>
      </c>
      <c r="F51" s="691" t="e">
        <f t="shared" ref="F51:F60" si="15">ROUND(B51*E51/10000,0)</f>
        <v>#DIV/0!</v>
      </c>
      <c r="G51" s="3218"/>
      <c r="H51" s="3194"/>
      <c r="I51" s="945">
        <v>1</v>
      </c>
      <c r="J51" s="945">
        <v>1</v>
      </c>
      <c r="K51" s="1148"/>
      <c r="L51" s="944"/>
      <c r="M51" s="944"/>
      <c r="N51" s="944"/>
      <c r="O51" s="944"/>
    </row>
    <row r="52" spans="1:17" s="692" customFormat="1">
      <c r="A52" s="693" t="s">
        <v>2772</v>
      </c>
      <c r="B52" s="262" t="e">
        <f>ROUND($C$43*C52*D52,0)</f>
        <v>#DIV/0!</v>
      </c>
      <c r="C52" s="200">
        <f t="shared" ref="C52:C60" si="16">IF($C$50="北京市系数",I52,J52)</f>
        <v>0</v>
      </c>
      <c r="D52" s="1167">
        <v>0.25</v>
      </c>
      <c r="E52" s="694"/>
      <c r="F52" s="691" t="e">
        <f t="shared" si="15"/>
        <v>#DIV/0!</v>
      </c>
      <c r="G52" s="3219" t="s">
        <v>2773</v>
      </c>
      <c r="H52" s="1107">
        <f>项目基本情况!B37</f>
        <v>0</v>
      </c>
      <c r="I52" s="945">
        <f>SUMIF(修正!A45:A56,H52,修正!B45:B56)</f>
        <v>0</v>
      </c>
      <c r="J52" s="946"/>
      <c r="K52" s="1147"/>
      <c r="L52" s="944"/>
      <c r="M52" s="944"/>
      <c r="N52" s="944"/>
      <c r="O52" s="944"/>
    </row>
    <row r="53" spans="1:17" s="692" customFormat="1">
      <c r="A53" s="693" t="s">
        <v>2774</v>
      </c>
      <c r="B53" s="262" t="e">
        <f t="shared" ref="B53:B60" si="17">ROUND($C$43*C53*D53,0)</f>
        <v>#DIV/0!</v>
      </c>
      <c r="C53" s="200">
        <f t="shared" si="16"/>
        <v>0</v>
      </c>
      <c r="D53" s="1167">
        <v>0.25</v>
      </c>
      <c r="E53" s="694"/>
      <c r="F53" s="691" t="e">
        <f t="shared" si="15"/>
        <v>#DIV/0!</v>
      </c>
      <c r="G53" s="3219"/>
      <c r="H53" s="1107">
        <f>项目基本情况!B37</f>
        <v>0</v>
      </c>
      <c r="I53" s="945">
        <f>SUMIF(修正!A45:A56,H53,修正!C45:C56)</f>
        <v>0</v>
      </c>
      <c r="J53" s="946"/>
      <c r="K53" s="1148"/>
      <c r="L53" s="944"/>
      <c r="M53" s="944"/>
      <c r="N53" s="944"/>
      <c r="O53" s="944"/>
    </row>
    <row r="54" spans="1:17" s="692" customFormat="1">
      <c r="A54" s="693" t="s">
        <v>2775</v>
      </c>
      <c r="B54" s="262" t="e">
        <f t="shared" si="17"/>
        <v>#DIV/0!</v>
      </c>
      <c r="C54" s="200">
        <f t="shared" si="16"/>
        <v>0</v>
      </c>
      <c r="D54" s="1167">
        <v>0.25</v>
      </c>
      <c r="E54" s="694"/>
      <c r="F54" s="691" t="e">
        <f t="shared" si="15"/>
        <v>#DIV/0!</v>
      </c>
      <c r="G54" s="3219"/>
      <c r="H54" s="1107">
        <f>项目基本情况!B37</f>
        <v>0</v>
      </c>
      <c r="I54" s="945">
        <f>SUMIF(修正!A45:A56,H54,修正!D45:D56)</f>
        <v>0</v>
      </c>
      <c r="J54" s="946"/>
      <c r="K54" s="1147"/>
      <c r="L54" s="944"/>
      <c r="M54" s="944"/>
      <c r="N54" s="944"/>
      <c r="O54" s="944"/>
    </row>
    <row r="55" spans="1:17" s="692" customFormat="1">
      <c r="A55" s="693" t="s">
        <v>2776</v>
      </c>
      <c r="B55" s="262" t="e">
        <f t="shared" si="17"/>
        <v>#DIV/0!</v>
      </c>
      <c r="C55" s="200">
        <f t="shared" si="16"/>
        <v>0</v>
      </c>
      <c r="D55" s="1167">
        <v>0.25</v>
      </c>
      <c r="E55" s="694"/>
      <c r="F55" s="691" t="e">
        <f t="shared" si="15"/>
        <v>#DIV/0!</v>
      </c>
      <c r="G55" s="3219"/>
      <c r="H55" s="1107">
        <f>项目基本情况!B37</f>
        <v>0</v>
      </c>
      <c r="I55" s="945">
        <f>SUMIF(修正!A45:A56,H55,修正!E45:E56)</f>
        <v>0</v>
      </c>
      <c r="J55" s="946"/>
      <c r="K55" s="1148"/>
      <c r="L55" s="944"/>
      <c r="M55" s="944"/>
      <c r="N55" s="944"/>
      <c r="O55" s="944"/>
    </row>
    <row r="56" spans="1:17" s="692" customFormat="1">
      <c r="A56" s="693" t="s">
        <v>2777</v>
      </c>
      <c r="B56" s="262" t="e">
        <f t="shared" si="17"/>
        <v>#DIV/0!</v>
      </c>
      <c r="C56" s="200">
        <f t="shared" si="16"/>
        <v>0</v>
      </c>
      <c r="D56" s="1167">
        <v>0.25</v>
      </c>
      <c r="E56" s="261">
        <f>'数据-汇总表'!E11</f>
        <v>0</v>
      </c>
      <c r="F56" s="691" t="e">
        <f t="shared" si="15"/>
        <v>#DIV/0!</v>
      </c>
      <c r="G56" s="2706" t="s">
        <v>2778</v>
      </c>
      <c r="H56" s="1107">
        <f>项目基本情况!C37</f>
        <v>0</v>
      </c>
      <c r="I56" s="945">
        <f>SUMIF(修正!A45:A56,H56,修正!F45:F56)</f>
        <v>0</v>
      </c>
      <c r="J56" s="946"/>
      <c r="K56" s="1147"/>
      <c r="L56" s="944"/>
      <c r="M56" s="944"/>
      <c r="N56" s="944"/>
      <c r="O56" s="944"/>
    </row>
    <row r="57" spans="1:17" s="692" customFormat="1">
      <c r="A57" s="693" t="s">
        <v>2779</v>
      </c>
      <c r="B57" s="262" t="e">
        <f t="shared" si="17"/>
        <v>#DIV/0!</v>
      </c>
      <c r="C57" s="200">
        <f t="shared" si="16"/>
        <v>0</v>
      </c>
      <c r="D57" s="1167">
        <v>0.25</v>
      </c>
      <c r="E57" s="261">
        <f>'数据-汇总表'!E12</f>
        <v>0</v>
      </c>
      <c r="F57" s="691" t="e">
        <f t="shared" si="15"/>
        <v>#DIV/0!</v>
      </c>
      <c r="G57" s="1112" t="s">
        <v>2780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2781</v>
      </c>
      <c r="B58" s="262" t="e">
        <f t="shared" si="17"/>
        <v>#DIV/0!</v>
      </c>
      <c r="C58" s="200">
        <f t="shared" si="16"/>
        <v>0</v>
      </c>
      <c r="D58" s="1167">
        <v>0.25</v>
      </c>
      <c r="E58" s="261">
        <f>'数据-汇总表'!E13</f>
        <v>0</v>
      </c>
      <c r="F58" s="691" t="e">
        <f t="shared" si="15"/>
        <v>#DIV/0!</v>
      </c>
      <c r="G58" s="1112" t="s">
        <v>2782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2783</v>
      </c>
      <c r="B59" s="262" t="e">
        <f t="shared" si="17"/>
        <v>#DIV/0!</v>
      </c>
      <c r="C59" s="200">
        <f t="shared" si="16"/>
        <v>0</v>
      </c>
      <c r="D59" s="1167">
        <v>0.25</v>
      </c>
      <c r="E59" s="261">
        <f>'数据-汇总表'!E14</f>
        <v>0</v>
      </c>
      <c r="F59" s="691" t="e">
        <f t="shared" si="15"/>
        <v>#DIV/0!</v>
      </c>
      <c r="G59" s="2706" t="s">
        <v>2773</v>
      </c>
      <c r="H59" s="1107">
        <f>项目基本情况!B37</f>
        <v>0</v>
      </c>
      <c r="I59" s="945">
        <f>SUMIF(修正!A45:A56,H59,修正!H45:H56)</f>
        <v>0</v>
      </c>
      <c r="J59" s="946"/>
      <c r="K59" s="1148"/>
      <c r="L59" s="944"/>
      <c r="M59" s="944"/>
      <c r="N59" s="944"/>
      <c r="O59" s="944"/>
    </row>
    <row r="60" spans="1:17" s="692" customFormat="1" ht="15" thickBot="1">
      <c r="A60" s="693" t="s">
        <v>2784</v>
      </c>
      <c r="B60" s="262" t="e">
        <f t="shared" si="17"/>
        <v>#DIV/0!</v>
      </c>
      <c r="C60" s="200">
        <f t="shared" si="16"/>
        <v>0</v>
      </c>
      <c r="D60" s="1167">
        <v>0.25</v>
      </c>
      <c r="E60" s="261">
        <f>'数据-汇总表'!E15</f>
        <v>0</v>
      </c>
      <c r="F60" s="691" t="e">
        <f t="shared" si="15"/>
        <v>#DIV/0!</v>
      </c>
      <c r="G60" s="2707" t="s">
        <v>2778</v>
      </c>
      <c r="H60" s="1117">
        <f>项目基本情况!C37</f>
        <v>0</v>
      </c>
      <c r="I60" s="945">
        <f>SUMIF(修正!A45:A56,H60,修正!H45:H56)</f>
        <v>0</v>
      </c>
      <c r="J60" s="946"/>
      <c r="K60" s="1147"/>
      <c r="L60" s="944"/>
      <c r="M60" s="944"/>
      <c r="N60" s="944"/>
      <c r="O60" s="944"/>
    </row>
    <row r="61" spans="1:17" s="692" customFormat="1" ht="15" thickBot="1">
      <c r="A61" s="695" t="s">
        <v>2785</v>
      </c>
      <c r="B61" s="696" t="s">
        <v>28</v>
      </c>
      <c r="C61" s="696" t="s">
        <v>29</v>
      </c>
      <c r="D61" s="696" t="s">
        <v>1029</v>
      </c>
      <c r="E61" s="696">
        <f>IF(B41="楼面地价",SUM(E51:E60),'数据-汇总表'!D3)</f>
        <v>154884.56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2678</v>
      </c>
      <c r="B64" s="759"/>
      <c r="C64" s="764"/>
      <c r="D64" s="764"/>
      <c r="E64" s="764"/>
      <c r="F64" s="765"/>
      <c r="G64" s="765"/>
      <c r="H64" s="764"/>
      <c r="I64" s="764"/>
      <c r="J64" s="764"/>
      <c r="K64" s="766"/>
      <c r="L64" s="767"/>
      <c r="M64" s="764"/>
      <c r="N64" s="764"/>
      <c r="O64" s="1162"/>
      <c r="P64" s="503"/>
      <c r="Q64" s="504"/>
    </row>
    <row r="65" spans="1:17" s="508" customFormat="1" ht="15">
      <c r="A65" s="2708" t="s">
        <v>2786</v>
      </c>
      <c r="B65" s="1362"/>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3" t="s">
        <v>2806</v>
      </c>
      <c r="B66" s="332" t="str">
        <f>"北京市平均增长率"&amp;TEXT(基准地价修正!P24,"0.00%")</f>
        <v>北京市平均增长率1.31%</v>
      </c>
      <c r="C66" s="603">
        <v>100</v>
      </c>
      <c r="D66" s="595"/>
      <c r="E66" s="595"/>
      <c r="F66" s="595"/>
      <c r="G66" s="595"/>
      <c r="H66" s="595"/>
      <c r="I66" s="595"/>
      <c r="J66" s="595"/>
      <c r="K66" s="595"/>
      <c r="L66" s="595"/>
      <c r="M66" s="1570"/>
      <c r="N66" s="1570"/>
      <c r="O66" s="1571"/>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2592</v>
      </c>
      <c r="B70" s="528" t="s">
        <v>2558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2789</v>
      </c>
      <c r="C87" s="573" t="s">
        <v>2601</v>
      </c>
      <c r="D87" s="573" t="s">
        <v>2602</v>
      </c>
      <c r="E87" s="573" t="s">
        <v>2603</v>
      </c>
      <c r="F87" s="573" t="s">
        <v>2604</v>
      </c>
      <c r="G87" s="573" t="s">
        <v>2605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2790</v>
      </c>
      <c r="C89" s="573" t="s">
        <v>2601</v>
      </c>
      <c r="D89" s="573" t="s">
        <v>2602</v>
      </c>
      <c r="E89" s="573" t="s">
        <v>2603</v>
      </c>
      <c r="F89" s="573" t="s">
        <v>2604</v>
      </c>
      <c r="G89" s="573" t="s">
        <v>2605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5" customWidth="1"/>
    <col min="33" max="36" width="9.375" style="2793" customWidth="1"/>
    <col min="37" max="38" width="9.375" style="2717" customWidth="1"/>
    <col min="39" max="16384" width="12" style="2717"/>
  </cols>
  <sheetData>
    <row r="1" spans="1:36" ht="28.5">
      <c r="A1" s="240" t="s">
        <v>2808</v>
      </c>
      <c r="B1" s="241"/>
      <c r="C1" s="245" t="s">
        <v>2809</v>
      </c>
      <c r="D1" s="388">
        <f>SUM(D29:D30,D33:D39)</f>
        <v>0</v>
      </c>
      <c r="E1" s="2714"/>
      <c r="F1" s="2714"/>
      <c r="G1" s="2714"/>
      <c r="H1" s="2714"/>
      <c r="I1" s="2714"/>
      <c r="J1" s="2714"/>
      <c r="K1" s="1373"/>
      <c r="L1" s="2715" t="s">
        <v>2810</v>
      </c>
      <c r="M1" s="1083">
        <f>SUMPRODUCT((区片价!B5:B9=I2)*(区片价!C3:F3=E2)*(区片价!C5:F9))</f>
        <v>0</v>
      </c>
      <c r="N1" s="1086">
        <f>SUMPRODUCT((因素修正幅度!B5:B9=I2)*(因素修正幅度!C3:F3=E2)*(因素修正幅度!C5:F9))</f>
        <v>0</v>
      </c>
      <c r="O1" s="2716"/>
      <c r="P1" s="2716"/>
      <c r="Q1" s="1373"/>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5" t="s">
        <v>2816</v>
      </c>
      <c r="B2" s="248" t="e">
        <f>C26</f>
        <v>#DIV/0!</v>
      </c>
      <c r="C2" s="2718" t="s">
        <v>2817</v>
      </c>
      <c r="D2" s="2719" t="s">
        <v>2818</v>
      </c>
      <c r="E2" s="2720"/>
      <c r="F2" s="2719" t="s">
        <v>2819</v>
      </c>
      <c r="G2" s="2721">
        <f>IF(E2="商业",项目基本情况!B37,IF(E2="办公",项目基本情况!C37,IF(E2="住宅",项目基本情况!D37,项目基本情况!E37)))</f>
        <v>0</v>
      </c>
      <c r="H2" s="2719" t="s">
        <v>2820</v>
      </c>
      <c r="I2" s="2721">
        <f>IF(E2="商业",项目基本情况!B38,IF(E2="办公",项目基本情况!C38,IF(E2="住宅",项目基本情况!D38,项目基本情况!E38)))</f>
        <v>0</v>
      </c>
      <c r="J2" s="2722"/>
      <c r="K2" s="1373"/>
      <c r="L2" s="2723" t="s">
        <v>2821</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2822</v>
      </c>
      <c r="B3" s="248" t="e">
        <f>ROUND(B2*10000/D1,0)</f>
        <v>#DIV/0!</v>
      </c>
      <c r="C3" s="2718" t="s">
        <v>2823</v>
      </c>
      <c r="D3" s="2719" t="s">
        <v>2824</v>
      </c>
      <c r="E3" s="2724"/>
      <c r="F3" s="2725" t="s">
        <v>2825</v>
      </c>
      <c r="G3" s="916">
        <f>IF(F3="宗地容积率",'数据-汇总表'!I4,IF(F3="估价对象容积率",'数据-汇总表'!I6,'数据-汇总表'!I7))</f>
        <v>1.49</v>
      </c>
      <c r="H3" s="198" t="s">
        <v>2826</v>
      </c>
      <c r="I3" s="947"/>
      <c r="J3" s="2722" t="s">
        <v>2827</v>
      </c>
      <c r="K3" s="1373"/>
      <c r="L3" s="2723" t="s">
        <v>2828</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91"/>
      <c r="B4" s="3292"/>
      <c r="C4" s="3292"/>
      <c r="D4" s="3293"/>
      <c r="E4" s="3293"/>
      <c r="F4" s="3293"/>
      <c r="G4" s="3293"/>
      <c r="H4" s="3293"/>
      <c r="I4" s="3293"/>
      <c r="J4" s="3294"/>
      <c r="K4" s="1373"/>
      <c r="L4" s="2723" t="s">
        <v>2829</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5" customFormat="1" ht="15.75" thickBot="1">
      <c r="A5" s="2726" t="s">
        <v>807</v>
      </c>
      <c r="B5" s="2727" t="s">
        <v>2830</v>
      </c>
      <c r="C5" s="917" t="e">
        <f>ROUND(IF(E2="商业",IF(F16="增加",C6*C7+C16,C6*C7-C16),IF(E2="住宅",IF(F16="增加",C6*C12+C16,C6*C12-C16),IF(F16="增加",C6+C16,C6-C16))),0)</f>
        <v>#DIV/0!</v>
      </c>
      <c r="D5" s="1789">
        <f>ROUND(IF(E2="商业",IF(F16="增加",C6+C16,C6-C16)),0)</f>
        <v>0</v>
      </c>
      <c r="E5" s="2728"/>
      <c r="F5" s="2728"/>
      <c r="G5" s="2729"/>
      <c r="H5" s="2729"/>
      <c r="I5" s="2729"/>
      <c r="J5" s="2730"/>
      <c r="K5" s="2731"/>
      <c r="L5" s="2723" t="s">
        <v>2831</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2"/>
      <c r="AD5" s="2733"/>
      <c r="AE5" s="2733"/>
      <c r="AF5" s="2733"/>
      <c r="AG5" s="2733"/>
      <c r="AH5" s="2733"/>
      <c r="AI5" s="2733"/>
      <c r="AJ5" s="2734"/>
    </row>
    <row r="6" spans="1:36" ht="15.75" thickBot="1">
      <c r="A6" s="2736" t="s">
        <v>2832</v>
      </c>
      <c r="B6" s="2737" t="s">
        <v>2833</v>
      </c>
      <c r="C6" s="918">
        <f>SUMIF(L1:L12,G2,M1:M12)</f>
        <v>0</v>
      </c>
      <c r="D6" s="2738" t="s">
        <v>2834</v>
      </c>
      <c r="E6" s="2739"/>
      <c r="F6" s="2739"/>
      <c r="G6" s="2740"/>
      <c r="H6" s="2740"/>
      <c r="I6" s="2740"/>
      <c r="J6" s="2741"/>
      <c r="K6" s="1844"/>
      <c r="L6" s="2723" t="s">
        <v>2835</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2"/>
      <c r="AD6" s="2733"/>
      <c r="AE6" s="2733"/>
      <c r="AF6" s="2733"/>
      <c r="AG6" s="2733"/>
      <c r="AH6" s="2733"/>
      <c r="AI6" s="2733"/>
      <c r="AJ6" s="2734"/>
    </row>
    <row r="7" spans="1:36" ht="24">
      <c r="A7" s="3277" t="str">
        <f>IF(E2="商业",IF(C8="不临58条商业街","",2),"")</f>
        <v/>
      </c>
      <c r="B7" s="2742" t="s">
        <v>2836</v>
      </c>
      <c r="C7" s="919" t="e">
        <f>IF(C8="不临58条商业街",1,ROUND(1+(1.6*E8+1.2*E9+0.8*E10+0.4*E11)*C9,4))</f>
        <v>#DIV/0!</v>
      </c>
      <c r="D7" s="2743" t="s">
        <v>2837</v>
      </c>
      <c r="E7" s="948"/>
      <c r="F7" s="2744"/>
      <c r="G7" s="2745"/>
      <c r="H7" s="2745"/>
      <c r="I7" s="2745"/>
      <c r="J7" s="2746"/>
      <c r="K7" s="1844"/>
      <c r="L7" s="2723" t="s">
        <v>2838</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2839</v>
      </c>
      <c r="X7" s="1606">
        <f>G2</f>
        <v>0</v>
      </c>
      <c r="Y7" s="1606" t="s">
        <v>2840</v>
      </c>
      <c r="Z7" s="1607">
        <f>G3</f>
        <v>1.49</v>
      </c>
      <c r="AA7" s="1608"/>
      <c r="AB7" s="1608"/>
      <c r="AC7" s="1609"/>
      <c r="AD7" s="1610"/>
      <c r="AE7" s="1610"/>
      <c r="AF7" s="1610"/>
      <c r="AG7" s="1610"/>
      <c r="AH7" s="1610"/>
      <c r="AI7" s="1610"/>
      <c r="AJ7" s="1611"/>
    </row>
    <row r="8" spans="1:36" ht="15">
      <c r="A8" s="3278"/>
      <c r="B8" s="198" t="s">
        <v>2841</v>
      </c>
      <c r="C8" s="2747"/>
      <c r="D8" s="920" t="s">
        <v>139</v>
      </c>
      <c r="E8" s="921" t="e">
        <f>ROUND(C11/E7,4)</f>
        <v>#DIV/0!</v>
      </c>
      <c r="F8" s="2748" t="s">
        <v>2842</v>
      </c>
      <c r="G8" s="2749"/>
      <c r="H8" s="2749"/>
      <c r="I8" s="2749"/>
      <c r="J8" s="2750"/>
      <c r="K8" s="1373"/>
      <c r="L8" s="2723" t="s">
        <v>2843</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88" t="s">
        <v>2844</v>
      </c>
      <c r="X8" s="3289"/>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278"/>
      <c r="B9" s="198" t="s">
        <v>2857</v>
      </c>
      <c r="C9" s="922">
        <f>SUMIF(修正!C59:C119,C8,修正!E59:E119)</f>
        <v>0</v>
      </c>
      <c r="D9" s="200" t="s">
        <v>140</v>
      </c>
      <c r="E9" s="200" t="e">
        <f>ROUND(C11/E7,4)</f>
        <v>#DIV/0!</v>
      </c>
      <c r="F9" s="2748" t="s">
        <v>2858</v>
      </c>
      <c r="G9" s="2749"/>
      <c r="H9" s="2749"/>
      <c r="I9" s="2749"/>
      <c r="J9" s="2750"/>
      <c r="K9" s="1373"/>
      <c r="L9" s="2723" t="s">
        <v>2859</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90"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8"/>
      <c r="B10" s="198" t="s">
        <v>2862</v>
      </c>
      <c r="C10" s="200">
        <f>SUMIF(修正!C59:C119,C8,修正!F59:F119)</f>
        <v>0</v>
      </c>
      <c r="D10" s="200" t="s">
        <v>141</v>
      </c>
      <c r="E10" s="200" t="e">
        <f>ROUND(C11/E7,4)</f>
        <v>#DIV/0!</v>
      </c>
      <c r="F10" s="2748" t="s">
        <v>2863</v>
      </c>
      <c r="G10" s="2749"/>
      <c r="H10" s="2749"/>
      <c r="I10" s="2749"/>
      <c r="J10" s="2750"/>
      <c r="K10" s="1373"/>
      <c r="L10" s="2723" t="s">
        <v>2864</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9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8"/>
      <c r="B11" s="2751" t="s">
        <v>2865</v>
      </c>
      <c r="C11" s="923">
        <f>C10/4</f>
        <v>0</v>
      </c>
      <c r="D11" s="923" t="s">
        <v>142</v>
      </c>
      <c r="E11" s="923" t="e">
        <f>ROUND(C11/E7,4)</f>
        <v>#DIV/0!</v>
      </c>
      <c r="F11" s="2752" t="s">
        <v>2866</v>
      </c>
      <c r="G11" s="2753"/>
      <c r="H11" s="2753"/>
      <c r="I11" s="2753"/>
      <c r="J11" s="2754"/>
      <c r="K11" s="1373"/>
      <c r="L11" s="2723" t="s">
        <v>2867</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90" t="s">
        <v>2868</v>
      </c>
      <c r="X11" s="1616" t="s">
        <v>2869</v>
      </c>
      <c r="Y11" s="1617">
        <f>$G$3</f>
        <v>1.49</v>
      </c>
      <c r="Z11" s="1617">
        <f t="shared" ref="Z11:AJ11" si="3">$G$3</f>
        <v>1.49</v>
      </c>
      <c r="AA11" s="1617">
        <f t="shared" si="3"/>
        <v>1.49</v>
      </c>
      <c r="AB11" s="1617">
        <f t="shared" si="3"/>
        <v>1.49</v>
      </c>
      <c r="AC11" s="1617">
        <f t="shared" si="3"/>
        <v>1.49</v>
      </c>
      <c r="AD11" s="1617">
        <f t="shared" si="3"/>
        <v>1.49</v>
      </c>
      <c r="AE11" s="1617">
        <f t="shared" si="3"/>
        <v>1.49</v>
      </c>
      <c r="AF11" s="1617">
        <f t="shared" si="3"/>
        <v>1.49</v>
      </c>
      <c r="AG11" s="1617">
        <f t="shared" si="3"/>
        <v>1.49</v>
      </c>
      <c r="AH11" s="1617">
        <f t="shared" si="3"/>
        <v>1.49</v>
      </c>
      <c r="AI11" s="1617">
        <f t="shared" si="3"/>
        <v>1.49</v>
      </c>
      <c r="AJ11" s="1617">
        <f t="shared" si="3"/>
        <v>1.49</v>
      </c>
    </row>
    <row r="12" spans="1:36" ht="25.5" thickBot="1">
      <c r="A12" s="3277" t="s">
        <v>2870</v>
      </c>
      <c r="B12" s="2755" t="s">
        <v>2871</v>
      </c>
      <c r="C12" s="919">
        <f>ROUND(C15*D15*E15*F15*G15*H15*I15*J15,4)</f>
        <v>1</v>
      </c>
      <c r="D12" s="2756" t="s">
        <v>2872</v>
      </c>
      <c r="E12" s="2757"/>
      <c r="F12" s="2757"/>
      <c r="G12" s="2758"/>
      <c r="H12" s="2758"/>
      <c r="I12" s="2758"/>
      <c r="J12" s="2759"/>
      <c r="K12" s="1373"/>
      <c r="L12" s="2760" t="s">
        <v>2873</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90"/>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5"/>
      <c r="B13" s="2761" t="s">
        <v>2875</v>
      </c>
      <c r="C13" s="2762" t="s">
        <v>2876</v>
      </c>
      <c r="D13" s="1810" t="s">
        <v>2877</v>
      </c>
      <c r="E13" s="1810" t="s">
        <v>2878</v>
      </c>
      <c r="F13" s="30" t="s">
        <v>2879</v>
      </c>
      <c r="G13" s="2763" t="s">
        <v>2880</v>
      </c>
      <c r="H13" s="2763" t="s">
        <v>2880</v>
      </c>
      <c r="I13" s="2763" t="s">
        <v>2880</v>
      </c>
      <c r="J13" s="2764" t="s">
        <v>2880</v>
      </c>
      <c r="K13" s="1373"/>
      <c r="L13" s="1373"/>
      <c r="M13" s="1373"/>
      <c r="N13" s="1373"/>
      <c r="O13" s="1373"/>
      <c r="P13" s="1373"/>
      <c r="Q13" s="1373"/>
      <c r="R13" s="1604">
        <v>12</v>
      </c>
      <c r="S13" s="1605"/>
      <c r="T13" s="1604" t="e">
        <f t="shared" si="0"/>
        <v>#DIV/0!</v>
      </c>
      <c r="U13" s="1605"/>
      <c r="V13" s="1604" t="e">
        <f t="shared" si="1"/>
        <v>#DIV/0!</v>
      </c>
      <c r="W13" s="3290"/>
      <c r="X13" s="1618"/>
      <c r="Y13" s="1615">
        <f>(-0.163*(Y12^2)-0.59*Y12+7617)*(10^(-4))/Y11</f>
        <v>0.5112080536912752</v>
      </c>
      <c r="Z13" s="1615">
        <f t="shared" ref="Z13:AJ13" si="5">(-0.163*(Z12^2)-0.59*Z12+7617)*(10^(-4))/Z11</f>
        <v>0.5112080536912752</v>
      </c>
      <c r="AA13" s="1615">
        <f t="shared" si="5"/>
        <v>0.5112080536912752</v>
      </c>
      <c r="AB13" s="1615">
        <f t="shared" si="5"/>
        <v>0.5112080536912752</v>
      </c>
      <c r="AC13" s="1615">
        <f t="shared" si="5"/>
        <v>0.5112080536912752</v>
      </c>
      <c r="AD13" s="1615">
        <f t="shared" si="5"/>
        <v>0.5112080536912752</v>
      </c>
      <c r="AE13" s="1615">
        <f t="shared" si="5"/>
        <v>0.5112080536912752</v>
      </c>
      <c r="AF13" s="1615">
        <f t="shared" si="5"/>
        <v>0.5112080536912752</v>
      </c>
      <c r="AG13" s="1615">
        <f t="shared" si="5"/>
        <v>0.5112080536912752</v>
      </c>
      <c r="AH13" s="1615">
        <f t="shared" si="5"/>
        <v>0.5112080536912752</v>
      </c>
      <c r="AI13" s="1615">
        <f t="shared" si="5"/>
        <v>0.5112080536912752</v>
      </c>
      <c r="AJ13" s="1615">
        <f t="shared" si="5"/>
        <v>0.5112080536912752</v>
      </c>
    </row>
    <row r="14" spans="1:36" ht="15">
      <c r="A14" s="3295"/>
      <c r="B14" s="2765"/>
      <c r="C14" s="2766"/>
      <c r="D14" s="2767"/>
      <c r="E14" s="2767"/>
      <c r="F14" s="2768"/>
      <c r="G14" s="2769" t="s">
        <v>2881</v>
      </c>
      <c r="H14" s="2770"/>
      <c r="I14" s="2771"/>
      <c r="J14" s="2772"/>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6"/>
      <c r="B15" s="2773" t="s">
        <v>2882</v>
      </c>
      <c r="C15" s="229">
        <f>IF(C14="有",1.1,1)</f>
        <v>1</v>
      </c>
      <c r="D15" s="229">
        <f>IF(D14="有",1.1,1)</f>
        <v>1</v>
      </c>
      <c r="E15" s="229">
        <f>IF(E14="有",1.1,1)</f>
        <v>1</v>
      </c>
      <c r="F15" s="229">
        <f>IF(F14="500米范围内",1.2,IF(F14="500-1000米",1.1,1))</f>
        <v>1</v>
      </c>
      <c r="G15" s="949">
        <v>1</v>
      </c>
      <c r="H15" s="949">
        <v>1</v>
      </c>
      <c r="I15" s="949">
        <v>1</v>
      </c>
      <c r="J15" s="950">
        <v>1</v>
      </c>
      <c r="K15" s="1373"/>
      <c r="L15" s="2774" t="s">
        <v>2818</v>
      </c>
      <c r="M15" s="920" t="s">
        <v>2883</v>
      </c>
      <c r="N15" s="920" t="s">
        <v>2884</v>
      </c>
      <c r="O15" s="920" t="s">
        <v>2885</v>
      </c>
      <c r="P15" s="2775" t="s">
        <v>2886</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7" t="s">
        <v>2887</v>
      </c>
      <c r="B16" s="2742" t="s">
        <v>2888</v>
      </c>
      <c r="C16" s="1803" t="e">
        <f>ROUND(SUM(G17:J17)/C17,0)</f>
        <v>#DIV/0!</v>
      </c>
      <c r="D16" s="2776" t="s">
        <v>2889</v>
      </c>
      <c r="E16" s="2777"/>
      <c r="F16" s="2778"/>
      <c r="G16" s="2779"/>
      <c r="H16" s="2779"/>
      <c r="I16" s="2779"/>
      <c r="J16" s="2780"/>
      <c r="K16" s="1373"/>
      <c r="L16" s="2781" t="s">
        <v>2890</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8"/>
      <c r="B17" s="2782" t="s">
        <v>2891</v>
      </c>
      <c r="C17" s="924">
        <f>SUMPRODUCT((修正!A2:A5=E2)*(修正!B1:M1=G2)*(修正!B2:M5))</f>
        <v>0</v>
      </c>
      <c r="D17" s="2783" t="s">
        <v>2892</v>
      </c>
      <c r="E17" s="923" t="str">
        <f>IF(OR(G2="八级",G2="九级",G2="十级",G2="十一级",G2="十二级"),"五通一平","七通一平")</f>
        <v>七通一平</v>
      </c>
      <c r="F17" s="924" t="s">
        <v>2893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4" t="s">
        <v>2894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5"/>
      <c r="AF17" s="2785"/>
      <c r="AG17" s="2717"/>
      <c r="AH17" s="2717"/>
      <c r="AI17" s="2717"/>
      <c r="AJ17" s="2717"/>
    </row>
    <row r="18" spans="1:37" s="2735" customFormat="1" ht="15.75" thickBot="1">
      <c r="A18" s="2786" t="s">
        <v>808</v>
      </c>
      <c r="B18" s="2787" t="s">
        <v>2895</v>
      </c>
      <c r="C18" s="926">
        <f>SUMIF(修正!C18:C39,E3,修正!E18:E39)</f>
        <v>0</v>
      </c>
      <c r="D18" s="2788"/>
      <c r="E18" s="2789"/>
      <c r="F18" s="2790"/>
      <c r="G18" s="2791"/>
      <c r="H18" s="2791"/>
      <c r="I18" s="2791"/>
      <c r="J18" s="2792"/>
      <c r="K18" s="1380"/>
      <c r="O18" s="1378"/>
      <c r="P18" s="1378"/>
      <c r="Q18" s="1379"/>
      <c r="R18" s="1379"/>
      <c r="S18" s="1379"/>
      <c r="T18" s="1374"/>
      <c r="U18" s="1374"/>
      <c r="V18" s="1374"/>
      <c r="W18" s="1373"/>
      <c r="X18" s="1373"/>
      <c r="Y18" s="1373"/>
      <c r="Z18" s="1380"/>
      <c r="AA18" s="1381"/>
      <c r="AB18" s="1381"/>
      <c r="AC18" s="1381"/>
      <c r="AD18" s="1381"/>
      <c r="AE18" s="1375"/>
      <c r="AF18" s="1375"/>
      <c r="AG18" s="2793"/>
      <c r="AH18" s="2793"/>
      <c r="AI18" s="2793"/>
    </row>
    <row r="19" spans="1:37" s="2735" customFormat="1" ht="27.75" thickBot="1">
      <c r="A19" s="2786" t="s">
        <v>809</v>
      </c>
      <c r="B19" s="2787" t="s">
        <v>2896</v>
      </c>
      <c r="C19" s="927" t="e">
        <f>ROUND(IF(H19="按公示增长率计算",SUMPRODUCT((地价!A3:A21=YEAR(G19)&amp;"-"&amp;ROUNDUP(MONTH(G19)/3,0))*(地价!X2:AB2=E2)*(地价!X3:AB21)),IF(H19="地价指数",M20/M19,(1+I19)^O19)),4)</f>
        <v>#DIV/0!</v>
      </c>
      <c r="D19" s="2794" t="s">
        <v>2897</v>
      </c>
      <c r="E19" s="928">
        <v>41640</v>
      </c>
      <c r="F19" s="2794" t="s">
        <v>2898</v>
      </c>
      <c r="G19" s="929">
        <f>'数据-取费表'!B2</f>
        <v>43186</v>
      </c>
      <c r="H19" s="2795" t="s">
        <v>2899</v>
      </c>
      <c r="I19" s="930" t="str">
        <f>IF(H19="季度增幅（自定义）",SUMIF(N21:N24,E2,O21:O24),"")</f>
        <v/>
      </c>
      <c r="J19" s="2792"/>
      <c r="K19" s="1380"/>
      <c r="L19" s="2796" t="s">
        <v>2900</v>
      </c>
      <c r="M19" s="1736">
        <f>ROUND(SUMIF(地价!B2:F2,E2,地价!B21:F21),0)</f>
        <v>0</v>
      </c>
      <c r="N19" s="2797" t="s">
        <v>2901</v>
      </c>
      <c r="O19" s="931">
        <f>ROUNDDOWN(DATEDIF(E19,G19,"M")/3,0)</f>
        <v>16</v>
      </c>
      <c r="P19" s="1377"/>
      <c r="Q19" s="1379"/>
      <c r="R19" s="1379"/>
      <c r="S19" s="1379"/>
      <c r="T19" s="1374"/>
      <c r="U19" s="1374"/>
      <c r="V19" s="1374"/>
      <c r="W19" s="1373"/>
      <c r="X19" s="1373"/>
      <c r="Y19" s="1373"/>
      <c r="Z19" s="1380"/>
      <c r="AA19" s="1381"/>
      <c r="AB19" s="1381"/>
      <c r="AC19" s="1381"/>
      <c r="AD19" s="1381"/>
      <c r="AE19" s="1381"/>
      <c r="AF19" s="2798"/>
      <c r="AG19" s="2799"/>
      <c r="AH19" s="2793"/>
      <c r="AI19" s="2800"/>
      <c r="AJ19" s="2800"/>
      <c r="AK19" s="2800"/>
    </row>
    <row r="20" spans="1:37" s="2735" customFormat="1" ht="27.75" thickBot="1">
      <c r="A20" s="2801" t="s">
        <v>810</v>
      </c>
      <c r="B20" s="2802" t="s">
        <v>2902</v>
      </c>
      <c r="C20" s="932" t="e">
        <f>ROUND(POWER(1+G20,J20-I20)*(POWER(1+G20,I20)-1)/(POWER(1+G20,J20)-1),4)</f>
        <v>#DIV/0!</v>
      </c>
      <c r="D20" s="2803" t="s">
        <v>2903</v>
      </c>
      <c r="E20" s="1770">
        <f ca="1">存贷款利率!D4/100</f>
        <v>4.3499999999999997E-2</v>
      </c>
      <c r="F20" s="2803" t="s">
        <v>2894</v>
      </c>
      <c r="G20" s="937">
        <f>SUMIF(M15:P15,E2,M17:P17)</f>
        <v>0</v>
      </c>
      <c r="H20" s="2803" t="s">
        <v>2904</v>
      </c>
      <c r="I20" s="938" t="e">
        <f>SUMIF('数据-取费表'!C6:C15,E2,'数据-取费表'!F6:F15)/COUNTIF('数据-取费表'!C6:C15,E2)</f>
        <v>#DIV/0!</v>
      </c>
      <c r="J20" s="939">
        <f>IF(E2="住宅",70,IF(E2="商业",40,50))</f>
        <v>50</v>
      </c>
      <c r="K20" s="1380"/>
      <c r="L20" s="2804" t="s">
        <v>2905</v>
      </c>
      <c r="M20" s="1737">
        <f>ROUND(SUMPRODUCT((地价!A4:A21=YEAR(G19)&amp;"-"&amp;ROUNDUP(MONTH(G19)/3,0))*(地价!B2:F2=E2)*(地价!B4:F21)),0)</f>
        <v>0</v>
      </c>
      <c r="N20" s="2805" t="s">
        <v>2906</v>
      </c>
      <c r="O20" s="2806" t="s">
        <v>2907</v>
      </c>
      <c r="P20" s="2807" t="s">
        <v>2908</v>
      </c>
      <c r="R20" s="1379"/>
      <c r="S20" s="1379"/>
      <c r="T20" s="1374"/>
      <c r="U20" s="1374"/>
      <c r="V20" s="1374"/>
      <c r="W20" s="1373"/>
      <c r="X20" s="1373"/>
      <c r="Y20" s="1373"/>
      <c r="Z20" s="1380"/>
      <c r="AA20" s="1381"/>
      <c r="AB20" s="1381"/>
      <c r="AC20" s="1381"/>
      <c r="AD20" s="1381"/>
      <c r="AE20" s="1381"/>
      <c r="AF20" s="1381"/>
    </row>
    <row r="21" spans="1:37" s="2735" customFormat="1" ht="15">
      <c r="A21" s="2808" t="s">
        <v>811</v>
      </c>
      <c r="B21" s="2809" t="s">
        <v>2909</v>
      </c>
      <c r="C21" s="940">
        <f>IF(B21="容积率修正",IF(G3&lt;=10,D22,J22),C23)</f>
        <v>0</v>
      </c>
      <c r="D21" s="2810"/>
      <c r="E21" s="2810"/>
      <c r="F21" s="2810"/>
      <c r="G21" s="2810"/>
      <c r="H21" s="2810"/>
      <c r="I21" s="2810"/>
      <c r="J21" s="2811"/>
      <c r="K21" s="1380"/>
      <c r="N21" s="2812" t="s">
        <v>2910</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35" customFormat="1" ht="14.25">
      <c r="A22" s="2661" t="s">
        <v>2911</v>
      </c>
      <c r="B22" s="2813" t="s">
        <v>2912</v>
      </c>
      <c r="C22" s="1812" t="s">
        <v>2913</v>
      </c>
      <c r="D22" s="1812">
        <f>IF(E22=G22,F22,IF(G3&lt;=10,ROUND(F22+(H22-F22)*(G3-E22)/(G22-E22),4),"——"))</f>
        <v>0</v>
      </c>
      <c r="E22" s="916">
        <f>ROUNDDOWN(G3,1)</f>
        <v>1.4</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2" t="s">
        <v>2914</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1" t="s">
        <v>2915</v>
      </c>
      <c r="B23" s="2814" t="s">
        <v>2916</v>
      </c>
      <c r="C23" s="1016">
        <f>ROUND(IF(G3&gt;1,IF(I3&lt;7,SUMPRODUCT((B93:B98=I3)*(C92:N92=G2)*(C93:N98)),SUMIF(C92:N92,G2,C100:N100)),IF(I3&lt;7,SUMPRODUCT((B102:B107=I3)*(C92:N92=G2)*(C102:N107)),SUMIF(C92:N92,G2,C109:N109))),4)</f>
        <v>0</v>
      </c>
      <c r="D23" s="2770"/>
      <c r="E23" s="2770"/>
      <c r="F23" s="2815"/>
      <c r="G23" s="2816"/>
      <c r="H23" s="2817"/>
      <c r="I23" s="2818"/>
      <c r="J23" s="2819"/>
      <c r="K23" s="1373"/>
      <c r="N23" s="2812" t="s">
        <v>2917</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3"/>
    </row>
    <row r="24" spans="1:37" s="2735" customFormat="1" ht="15.75" thickBot="1">
      <c r="A24" s="2801" t="s">
        <v>812</v>
      </c>
      <c r="B24" s="2787" t="s">
        <v>2918</v>
      </c>
      <c r="C24" s="927">
        <f>SUMIF(A45:A88,E2,B45:B88)</f>
        <v>0</v>
      </c>
      <c r="D24" s="2790"/>
      <c r="E24" s="2820"/>
      <c r="F24" s="2820"/>
      <c r="G24" s="2820"/>
      <c r="H24" s="2820"/>
      <c r="I24" s="2820"/>
      <c r="J24" s="2821"/>
      <c r="K24" s="1380"/>
      <c r="N24" s="2822" t="s">
        <v>2919</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1" t="s">
        <v>813</v>
      </c>
      <c r="B25" s="2823" t="s">
        <v>2920</v>
      </c>
      <c r="C25" s="933"/>
      <c r="D25" s="2745"/>
      <c r="E25" s="2745"/>
      <c r="F25" s="2824"/>
      <c r="G25" s="2745"/>
      <c r="H25" s="2745"/>
      <c r="I25" s="2745"/>
      <c r="J25" s="2746"/>
      <c r="K25" s="1373"/>
      <c r="N25" s="2825" t="s">
        <v>2921</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26"/>
      <c r="B26" s="2813" t="s">
        <v>2922</v>
      </c>
      <c r="C26" s="206" t="e">
        <f>E29+SUM(E33:E39)</f>
        <v>#DIV/0!</v>
      </c>
      <c r="D26" s="2827"/>
      <c r="E26" s="2770"/>
      <c r="F26" s="2828"/>
      <c r="G26" s="2770"/>
      <c r="H26" s="2770"/>
      <c r="I26" s="2770"/>
      <c r="J26" s="2829"/>
      <c r="K26" s="1373"/>
      <c r="R26" s="1379"/>
      <c r="S26" s="1379"/>
      <c r="T26" s="1374"/>
      <c r="U26" s="1374"/>
      <c r="V26" s="1374"/>
      <c r="W26" s="1373"/>
      <c r="X26" s="1373"/>
      <c r="Y26" s="1373"/>
      <c r="Z26" s="1380"/>
      <c r="AA26" s="1381"/>
      <c r="AB26" s="1381"/>
      <c r="AC26" s="1381"/>
      <c r="AD26" s="1381"/>
    </row>
    <row r="27" spans="1:37" ht="15.75" thickBot="1">
      <c r="A27" s="2826"/>
      <c r="B27" s="2830" t="s">
        <v>2923</v>
      </c>
      <c r="C27" s="934" t="e">
        <f>E30+SUM(I33:I39)</f>
        <v>#DIV/0!</v>
      </c>
      <c r="D27" s="2831"/>
      <c r="E27" s="2832"/>
      <c r="F27" s="2833"/>
      <c r="G27" s="2832"/>
      <c r="H27" s="2832"/>
      <c r="I27" s="2832"/>
      <c r="J27" s="283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5"/>
      <c r="B28" s="2836" t="s">
        <v>2924</v>
      </c>
      <c r="C28" s="2837" t="s">
        <v>2925</v>
      </c>
      <c r="D28" s="2837" t="s">
        <v>2926</v>
      </c>
      <c r="E28" s="2838" t="s">
        <v>2927</v>
      </c>
      <c r="F28" s="2839"/>
      <c r="G28" s="2758"/>
      <c r="H28" s="2758"/>
      <c r="I28" s="2758"/>
      <c r="J28" s="275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0"/>
      <c r="B29" s="2841" t="s">
        <v>2928</v>
      </c>
      <c r="C29" s="206" t="e">
        <f>ROUND(C5*C18*C19*C20*C21*C24,0)</f>
        <v>#DIV/0!</v>
      </c>
      <c r="D29" s="2842"/>
      <c r="E29" s="945" t="e">
        <f>ROUND(C29*D29/10000,0)</f>
        <v>#DIV/0!</v>
      </c>
      <c r="F29" s="2843" t="s">
        <v>2929</v>
      </c>
      <c r="G29" s="2844"/>
      <c r="H29" s="2844"/>
      <c r="I29" s="2844"/>
      <c r="J29" s="2845"/>
      <c r="K29" s="1373"/>
      <c r="L29" s="1373"/>
      <c r="M29" s="1373"/>
      <c r="N29" s="1373"/>
      <c r="O29" s="1378"/>
      <c r="P29" s="1378"/>
      <c r="Q29" s="1379"/>
      <c r="R29" s="1379"/>
      <c r="S29" s="1379"/>
      <c r="T29" s="1374"/>
      <c r="U29" s="1374"/>
      <c r="V29" s="1374"/>
      <c r="W29" s="1373"/>
      <c r="X29" s="1373"/>
      <c r="Y29" s="1373"/>
      <c r="Z29" s="1380"/>
      <c r="AA29" s="1381"/>
      <c r="AB29" s="1381"/>
      <c r="AC29" s="1381"/>
      <c r="AD29" s="1381"/>
      <c r="AE29" s="2785"/>
      <c r="AF29" s="2785"/>
      <c r="AG29" s="2717"/>
      <c r="AH29" s="2717"/>
      <c r="AI29" s="2717"/>
      <c r="AJ29" s="2717"/>
    </row>
    <row r="30" spans="1:37" ht="25.5" thickBot="1">
      <c r="A30" s="2846"/>
      <c r="B30" s="2847" t="s">
        <v>2930</v>
      </c>
      <c r="C30" s="229" t="e">
        <f>ROUND(IF(E2="工业",C29*M39,C29*M38),0)</f>
        <v>#DIV/0!</v>
      </c>
      <c r="D30" s="2848"/>
      <c r="E30" s="945" t="e">
        <f>ROUND(C30*D30/10000,0)</f>
        <v>#DIV/0!</v>
      </c>
      <c r="F30" s="2849" t="s">
        <v>2931</v>
      </c>
      <c r="G30" s="2850"/>
      <c r="H30" s="2850"/>
      <c r="I30" s="2850"/>
      <c r="J30" s="2851"/>
      <c r="K30" s="1373"/>
      <c r="L30" s="1373"/>
      <c r="M30" s="1373"/>
      <c r="N30" s="1373"/>
      <c r="O30" s="1378"/>
      <c r="P30" s="1378"/>
      <c r="Q30" s="1379"/>
      <c r="R30" s="1379"/>
      <c r="S30" s="1379"/>
      <c r="T30" s="1374"/>
      <c r="U30" s="1374"/>
      <c r="V30" s="1374"/>
      <c r="W30" s="1373"/>
      <c r="X30" s="1373"/>
      <c r="Y30" s="1373"/>
      <c r="Z30" s="1380"/>
      <c r="AA30" s="1381"/>
      <c r="AB30" s="1381"/>
      <c r="AC30" s="1381"/>
      <c r="AD30" s="1381"/>
      <c r="AE30" s="2785"/>
      <c r="AF30" s="2785"/>
      <c r="AG30" s="2717"/>
      <c r="AH30" s="2717"/>
      <c r="AI30" s="2717"/>
      <c r="AJ30" s="2717"/>
    </row>
    <row r="31" spans="1:37" ht="14.25">
      <c r="A31" s="2852"/>
      <c r="B31" s="2853" t="s">
        <v>2932</v>
      </c>
      <c r="C31" s="2854" t="s">
        <v>2933</v>
      </c>
      <c r="D31" s="2758"/>
      <c r="E31" s="2854"/>
      <c r="F31" s="2854"/>
      <c r="G31" s="2756" t="s">
        <v>2934</v>
      </c>
      <c r="H31" s="2758"/>
      <c r="I31" s="2855"/>
      <c r="J31" s="2759"/>
      <c r="K31" s="1373"/>
      <c r="L31" s="1373"/>
      <c r="M31" s="1373"/>
      <c r="N31" s="1373"/>
      <c r="O31" s="1378"/>
      <c r="P31" s="1378"/>
      <c r="Q31" s="1379"/>
      <c r="R31" s="1379"/>
      <c r="S31" s="1379"/>
      <c r="T31" s="1374"/>
      <c r="U31" s="1374"/>
      <c r="V31" s="1374"/>
      <c r="W31" s="1373"/>
      <c r="X31" s="1373"/>
      <c r="Y31" s="1373"/>
      <c r="Z31" s="1380"/>
      <c r="AA31" s="1381"/>
      <c r="AB31" s="1381"/>
      <c r="AC31" s="1381"/>
      <c r="AD31" s="1381"/>
      <c r="AE31" s="2785"/>
      <c r="AF31" s="2785"/>
      <c r="AG31" s="2717"/>
      <c r="AH31" s="2717"/>
      <c r="AI31" s="2717"/>
      <c r="AJ31" s="2717"/>
    </row>
    <row r="32" spans="1:37" ht="24">
      <c r="A32" s="2840"/>
      <c r="B32" s="2856"/>
      <c r="C32" s="501" t="s">
        <v>2925</v>
      </c>
      <c r="D32" s="498" t="s">
        <v>2926</v>
      </c>
      <c r="E32" s="498" t="s">
        <v>2927</v>
      </c>
      <c r="F32" s="388" t="s">
        <v>2935</v>
      </c>
      <c r="G32" s="2857" t="s">
        <v>2925</v>
      </c>
      <c r="H32" s="2857" t="s">
        <v>2926</v>
      </c>
      <c r="I32" s="2857" t="s">
        <v>2927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5"/>
      <c r="AF32" s="2785"/>
      <c r="AG32" s="2717"/>
      <c r="AH32" s="2717"/>
      <c r="AI32" s="2717"/>
      <c r="AJ32" s="2717"/>
    </row>
    <row r="33" spans="1:37" ht="36" customHeight="1">
      <c r="A33" s="3285" t="s">
        <v>2936</v>
      </c>
      <c r="B33" s="2858" t="s">
        <v>2937</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6"/>
      <c r="B34" s="2762" t="s">
        <v>2938</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6"/>
      <c r="B35" s="2762" t="s">
        <v>2939</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73"/>
      <c r="L35" s="1373"/>
      <c r="M35" s="1373"/>
      <c r="N35" s="1373"/>
      <c r="O35" s="1373"/>
      <c r="P35" s="1373"/>
      <c r="Q35" s="1373"/>
      <c r="R35" s="1373"/>
      <c r="S35" s="1373"/>
      <c r="T35" s="1373"/>
      <c r="U35" s="1373"/>
      <c r="V35" s="1373"/>
      <c r="W35" s="1373"/>
      <c r="X35" s="1373"/>
      <c r="Y35" s="1373"/>
      <c r="Z35" s="1374"/>
    </row>
    <row r="36" spans="1:37" ht="13.5" thickBot="1">
      <c r="A36" s="3287"/>
      <c r="B36" s="2762" t="s">
        <v>2940</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73"/>
      <c r="L36" s="2716"/>
      <c r="M36" s="2716"/>
      <c r="N36" s="1373"/>
      <c r="O36" s="1373"/>
      <c r="P36" s="1373"/>
      <c r="Q36" s="1373"/>
      <c r="R36" s="1373"/>
      <c r="S36" s="1373"/>
      <c r="T36" s="1373"/>
      <c r="U36" s="1373"/>
      <c r="V36" s="1373"/>
      <c r="W36" s="1373"/>
      <c r="X36" s="1373"/>
      <c r="Y36" s="1373"/>
      <c r="Z36" s="1374"/>
    </row>
    <row r="37" spans="1:37">
      <c r="A37" s="2860"/>
      <c r="B37" s="2762" t="s">
        <v>2941</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73"/>
      <c r="L37" s="2861" t="s">
        <v>2942</v>
      </c>
      <c r="M37" s="2862"/>
      <c r="N37" s="1373"/>
      <c r="O37" s="1373"/>
      <c r="P37" s="1373"/>
      <c r="Q37" s="1373"/>
      <c r="R37" s="1373"/>
      <c r="S37" s="1373"/>
      <c r="T37" s="1373"/>
      <c r="U37" s="1373"/>
      <c r="V37" s="1373"/>
      <c r="W37" s="1373"/>
      <c r="X37" s="1373"/>
      <c r="Y37" s="1373"/>
      <c r="Z37" s="1374"/>
    </row>
    <row r="38" spans="1:37">
      <c r="A38" s="2860"/>
      <c r="B38" s="2762" t="s">
        <v>2943</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73"/>
      <c r="L38" s="1889" t="s">
        <v>2944</v>
      </c>
      <c r="M38" s="2863">
        <v>0.25</v>
      </c>
      <c r="N38" s="1373"/>
      <c r="O38" s="1373"/>
      <c r="P38" s="1373"/>
      <c r="Q38" s="1373"/>
      <c r="R38" s="1373"/>
      <c r="S38" s="1373"/>
      <c r="T38" s="1373"/>
      <c r="U38" s="1373"/>
      <c r="V38" s="1373"/>
      <c r="W38" s="1373"/>
      <c r="X38" s="1373"/>
      <c r="Y38" s="1373"/>
      <c r="Z38" s="1374"/>
    </row>
    <row r="39" spans="1:37" ht="13.5" thickBot="1">
      <c r="A39" s="2846"/>
      <c r="B39" s="2864" t="s">
        <v>2945</v>
      </c>
      <c r="C39" s="229" t="e">
        <f>ROUND(C5*C19*C20*C24*F39,0)</f>
        <v>#DIV/0!</v>
      </c>
      <c r="D39" s="2848"/>
      <c r="E39" s="229" t="e">
        <f t="shared" si="7"/>
        <v>#DIV/0!</v>
      </c>
      <c r="F39" s="935">
        <f>SUMIF(修正!A45:A56,G2,修正!H45:H56)</f>
        <v>0</v>
      </c>
      <c r="G39" s="229" t="e">
        <f t="shared" si="6"/>
        <v>#DIV/0!</v>
      </c>
      <c r="H39" s="229">
        <f t="shared" si="8"/>
        <v>0</v>
      </c>
      <c r="I39" s="229" t="e">
        <f t="shared" si="9"/>
        <v>#DIV/0!</v>
      </c>
      <c r="J39" s="2865"/>
      <c r="K39" s="1373"/>
      <c r="L39" s="2866" t="s">
        <v>2886</v>
      </c>
      <c r="M39" s="286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8"/>
      <c r="Z41" s="1374"/>
      <c r="AA41" s="1374"/>
      <c r="AB41" s="1374"/>
      <c r="AC41" s="1374"/>
      <c r="AD41" s="1374"/>
      <c r="AE41" s="1374"/>
      <c r="AF41" s="1374"/>
      <c r="AG41" s="1374"/>
      <c r="AH41" s="1374"/>
      <c r="AI41" s="1374"/>
      <c r="AJ41" s="1374"/>
    </row>
    <row r="42" spans="1:37" s="1373" customFormat="1">
      <c r="A42" s="1374"/>
      <c r="B42" s="2868"/>
      <c r="Z42" s="1374"/>
      <c r="AA42" s="1374"/>
      <c r="AB42" s="1374"/>
      <c r="AC42" s="1374"/>
      <c r="AD42" s="1374"/>
      <c r="AE42" s="1374"/>
      <c r="AF42" s="1374"/>
      <c r="AG42" s="1374"/>
      <c r="AH42" s="1374"/>
      <c r="AI42" s="1374"/>
      <c r="AJ42" s="1374"/>
    </row>
    <row r="43" spans="1:37" s="1373" customFormat="1">
      <c r="A43" s="1374"/>
      <c r="B43" s="2868"/>
      <c r="Z43" s="1374"/>
      <c r="AA43" s="1374"/>
      <c r="AB43" s="1374"/>
      <c r="AC43" s="1374"/>
      <c r="AD43" s="1374"/>
      <c r="AE43" s="1374"/>
      <c r="AF43" s="1374"/>
      <c r="AG43" s="1374"/>
      <c r="AH43" s="1374"/>
      <c r="AI43" s="1374"/>
      <c r="AJ43" s="1374"/>
    </row>
    <row r="44" spans="1:37" s="1373" customFormat="1">
      <c r="A44" s="1374"/>
      <c r="B44" s="2868"/>
      <c r="Z44" s="1374"/>
      <c r="AA44" s="1374"/>
      <c r="AB44" s="1374"/>
      <c r="AC44" s="1374"/>
      <c r="AD44" s="1374"/>
      <c r="AE44" s="1374"/>
      <c r="AF44" s="1374"/>
      <c r="AG44" s="1374"/>
      <c r="AH44" s="1374"/>
      <c r="AI44" s="1374"/>
      <c r="AJ44" s="1374"/>
    </row>
    <row r="45" spans="1:37" s="1373" customFormat="1" ht="15.75" thickBot="1">
      <c r="A45" s="2869" t="s">
        <v>2946</v>
      </c>
      <c r="B45" s="2870"/>
      <c r="C45" s="7"/>
      <c r="D45" s="7"/>
      <c r="E45" s="7"/>
      <c r="F45" s="6"/>
      <c r="G45" s="6"/>
      <c r="H45" s="6"/>
      <c r="I45" s="7"/>
      <c r="J45" s="7"/>
      <c r="K45" s="7"/>
      <c r="L45" s="7"/>
      <c r="M45" s="7"/>
      <c r="N45" s="2785"/>
      <c r="Z45" s="1374"/>
      <c r="AA45" s="1374"/>
      <c r="AB45" s="1374"/>
      <c r="AC45" s="1374"/>
      <c r="AD45" s="1374"/>
      <c r="AE45" s="1374"/>
      <c r="AF45" s="1374"/>
      <c r="AG45" s="1374"/>
      <c r="AH45" s="1374"/>
      <c r="AI45" s="1374"/>
      <c r="AJ45" s="1374"/>
    </row>
    <row r="46" spans="1:37" s="1373" customFormat="1" ht="15">
      <c r="A46" s="2871" t="s">
        <v>2947</v>
      </c>
      <c r="B46" s="2872">
        <f>1+E48</f>
        <v>1</v>
      </c>
      <c r="C46" s="2873"/>
      <c r="D46" s="814"/>
      <c r="E46" s="815"/>
      <c r="F46" s="2874"/>
      <c r="G46" s="6"/>
      <c r="H46" s="7"/>
      <c r="I46" s="7"/>
      <c r="J46" s="7"/>
      <c r="K46" s="7"/>
      <c r="L46" s="7"/>
      <c r="M46" s="7"/>
      <c r="N46" s="2785"/>
      <c r="Z46" s="1374"/>
      <c r="AA46" s="1374"/>
      <c r="AB46" s="1374"/>
      <c r="AC46" s="1374"/>
      <c r="AD46" s="1374"/>
      <c r="AE46" s="1374"/>
      <c r="AF46" s="1374"/>
      <c r="AG46" s="1374"/>
      <c r="AH46" s="1374"/>
      <c r="AI46" s="1374"/>
      <c r="AJ46" s="1374"/>
    </row>
    <row r="47" spans="1:37" s="1373" customFormat="1" ht="24.75">
      <c r="A47" s="2875" t="s">
        <v>2948</v>
      </c>
      <c r="B47" s="1811" t="s">
        <v>2949</v>
      </c>
      <c r="C47" s="1811" t="s">
        <v>2950</v>
      </c>
      <c r="D47" s="1811" t="s">
        <v>2951</v>
      </c>
      <c r="E47" s="819" t="s">
        <v>2952</v>
      </c>
      <c r="F47" s="2876" t="s">
        <v>2953</v>
      </c>
      <c r="G47" s="1811" t="s">
        <v>754</v>
      </c>
      <c r="H47" s="2877" t="s">
        <v>2954</v>
      </c>
      <c r="I47" s="1811" t="s">
        <v>2955</v>
      </c>
      <c r="J47" s="603" t="s">
        <v>2601</v>
      </c>
      <c r="K47" s="603" t="s">
        <v>2602</v>
      </c>
      <c r="L47" s="603" t="s">
        <v>2603</v>
      </c>
      <c r="M47" s="603" t="s">
        <v>2604</v>
      </c>
      <c r="N47" s="603" t="s">
        <v>2605</v>
      </c>
      <c r="AA47" s="1374"/>
      <c r="AB47" s="1374"/>
      <c r="AC47" s="1374"/>
      <c r="AD47" s="1374"/>
      <c r="AE47" s="1374"/>
      <c r="AF47" s="1374"/>
      <c r="AG47" s="1374"/>
      <c r="AH47" s="1374"/>
      <c r="AI47" s="1374"/>
      <c r="AJ47" s="1374"/>
      <c r="AK47" s="1374"/>
    </row>
    <row r="48" spans="1:37" s="1373" customFormat="1" ht="38.25">
      <c r="A48" s="2875" t="s">
        <v>2956</v>
      </c>
      <c r="B48" s="2878" t="str">
        <f>估价对象房地状况!C4</f>
        <v>估价对象位于XX商圈，周边商业氛围成熟，人流量大，商业繁华度好</v>
      </c>
      <c r="C48" s="2767"/>
      <c r="D48" s="1289">
        <f t="shared" ref="D48:D56" si="10">SUMIF($J$47:$N$47,C48,J48:N48)</f>
        <v>0</v>
      </c>
      <c r="E48" s="821">
        <f>ROUND(SUM(D48:D56),4)</f>
        <v>0</v>
      </c>
      <c r="F48" s="2501"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5" t="s">
        <v>2957</v>
      </c>
      <c r="B49" s="2879" t="str">
        <f>估价对象房地状况!C18</f>
        <v>估价对象周边道路状况、公共交通通达情况、停车便捷程度，综合评价交通便捷度较好</v>
      </c>
      <c r="C49" s="2767"/>
      <c r="D49" s="1289">
        <f t="shared" si="10"/>
        <v>0</v>
      </c>
      <c r="E49" s="822"/>
      <c r="F49" s="2501"/>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5" t="s">
        <v>2958</v>
      </c>
      <c r="B50" s="2879">
        <f>估价对象房地状况!C19</f>
        <v>0</v>
      </c>
      <c r="C50" s="2767"/>
      <c r="D50" s="1289">
        <f t="shared" si="10"/>
        <v>0</v>
      </c>
      <c r="E50" s="822"/>
      <c r="F50" s="2501"/>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5" t="s">
        <v>2959</v>
      </c>
      <c r="B51" s="2880" t="s">
        <v>2960</v>
      </c>
      <c r="C51" s="2767"/>
      <c r="D51" s="1289">
        <f t="shared" si="10"/>
        <v>0</v>
      </c>
      <c r="E51" s="822"/>
      <c r="F51" s="2501"/>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5" t="s">
        <v>2961</v>
      </c>
      <c r="B52" s="2879">
        <f>估价对象房地状况!C24</f>
        <v>0</v>
      </c>
      <c r="C52" s="2767"/>
      <c r="D52" s="1289">
        <f t="shared" si="10"/>
        <v>0</v>
      </c>
      <c r="E52" s="822"/>
      <c r="F52" s="2501"/>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5" t="s">
        <v>2962</v>
      </c>
      <c r="B53" s="2881" t="s">
        <v>2963</v>
      </c>
      <c r="C53" s="2767"/>
      <c r="D53" s="1289">
        <f t="shared" si="10"/>
        <v>0</v>
      </c>
      <c r="E53" s="822"/>
      <c r="F53" s="2501"/>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2" t="s">
        <v>2964</v>
      </c>
      <c r="B54" s="1727" t="str">
        <f>估价对象房地状况!C21</f>
        <v>估价对象所在区域公共配套设施齐备情况</v>
      </c>
      <c r="C54" s="2767"/>
      <c r="D54" s="1289">
        <f t="shared" si="10"/>
        <v>0</v>
      </c>
      <c r="E54" s="822"/>
      <c r="F54" s="2501"/>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2" t="s">
        <v>2965</v>
      </c>
      <c r="B55" s="2879" t="str">
        <f>估价对象房地状况!C22</f>
        <v>估价对象所在区域基础设施水平</v>
      </c>
      <c r="C55" s="2767"/>
      <c r="D55" s="1289">
        <f t="shared" si="10"/>
        <v>0</v>
      </c>
      <c r="E55" s="822"/>
      <c r="F55" s="2501"/>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3" t="s">
        <v>2966</v>
      </c>
      <c r="B56" s="2884" t="str">
        <f>估价对象房地状况!C20</f>
        <v>区域自然环境：；人文环境；综合评价环境状况一般</v>
      </c>
      <c r="C56" s="2767"/>
      <c r="D56" s="1289">
        <f t="shared" si="10"/>
        <v>0</v>
      </c>
      <c r="E56" s="825"/>
      <c r="F56" s="2501"/>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1" t="s">
        <v>2967</v>
      </c>
      <c r="B57" s="2872">
        <f>1+E59</f>
        <v>1</v>
      </c>
      <c r="C57" s="814"/>
      <c r="D57" s="814"/>
      <c r="E57" s="815"/>
      <c r="F57" s="287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5" t="s">
        <v>2948</v>
      </c>
      <c r="B58" s="1811"/>
      <c r="C58" s="1811" t="s">
        <v>2950</v>
      </c>
      <c r="D58" s="1811" t="s">
        <v>2951</v>
      </c>
      <c r="E58" s="819" t="s">
        <v>2952</v>
      </c>
      <c r="F58" s="2876" t="s">
        <v>2968</v>
      </c>
      <c r="G58" s="1811" t="s">
        <v>754</v>
      </c>
      <c r="H58" s="2877" t="s">
        <v>2954</v>
      </c>
      <c r="I58" s="1811" t="s">
        <v>2955</v>
      </c>
      <c r="J58" s="603" t="s">
        <v>2601</v>
      </c>
      <c r="K58" s="603" t="s">
        <v>2602</v>
      </c>
      <c r="L58" s="603" t="s">
        <v>2603</v>
      </c>
      <c r="M58" s="603" t="s">
        <v>2604</v>
      </c>
      <c r="N58" s="603" t="s">
        <v>2605</v>
      </c>
      <c r="AA58" s="1374"/>
      <c r="AB58" s="1374"/>
      <c r="AC58" s="1374"/>
      <c r="AD58" s="1374"/>
      <c r="AE58" s="1374"/>
      <c r="AF58" s="1374"/>
      <c r="AG58" s="1374"/>
      <c r="AH58" s="1374"/>
      <c r="AI58" s="1374"/>
      <c r="AJ58" s="1374"/>
      <c r="AK58" s="1374"/>
    </row>
    <row r="59" spans="1:37" s="1373" customFormat="1" ht="38.25">
      <c r="A59" s="2875" t="s">
        <v>2969</v>
      </c>
      <c r="B59" s="2878" t="str">
        <f>估价对象房地状况!C17</f>
        <v>估价对象位于XX商圈，周边办公楼项目较多，入驻率高，办公集聚程度较好</v>
      </c>
      <c r="C59" s="2767"/>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5" t="s">
        <v>2957</v>
      </c>
      <c r="B60" s="2879" t="str">
        <f>估价对象房地状况!C18</f>
        <v>估价对象周边道路状况、公共交通通达情况、停车便捷程度，综合评价交通便捷度较好</v>
      </c>
      <c r="C60" s="2767"/>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5" t="s">
        <v>2958</v>
      </c>
      <c r="B61" s="2879">
        <f>估价对象房地状况!C19</f>
        <v>0</v>
      </c>
      <c r="C61" s="2767"/>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5" t="s">
        <v>2959</v>
      </c>
      <c r="B62" s="2880" t="s">
        <v>2960</v>
      </c>
      <c r="C62" s="2767"/>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5" t="s">
        <v>2961</v>
      </c>
      <c r="B63" s="2879">
        <f>估价对象房地状况!C24</f>
        <v>0</v>
      </c>
      <c r="C63" s="2767"/>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5" t="s">
        <v>2962</v>
      </c>
      <c r="B64" s="2881" t="s">
        <v>2963</v>
      </c>
      <c r="C64" s="2767"/>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5" t="s">
        <v>2964</v>
      </c>
      <c r="B65" s="1727" t="str">
        <f>估价对象房地状况!C21</f>
        <v>估价对象所在区域公共配套设施齐备情况</v>
      </c>
      <c r="C65" s="2767"/>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5" t="s">
        <v>2965</v>
      </c>
      <c r="B66" s="1727" t="str">
        <f>估价对象房地状况!C22</f>
        <v>估价对象所在区域基础设施水平</v>
      </c>
      <c r="C66" s="2767"/>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3" t="s">
        <v>2966</v>
      </c>
      <c r="B67" s="2885" t="str">
        <f>估价对象房地状况!C20</f>
        <v>区域自然环境：；人文环境；综合评价环境状况一般</v>
      </c>
      <c r="C67" s="2767"/>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1" t="s">
        <v>2970</v>
      </c>
      <c r="B68" s="2872">
        <f>1+E70</f>
        <v>1</v>
      </c>
      <c r="C68" s="814"/>
      <c r="D68" s="814"/>
      <c r="E68" s="815"/>
      <c r="F68" s="287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5" t="s">
        <v>2948</v>
      </c>
      <c r="B69" s="1811"/>
      <c r="C69" s="1811" t="s">
        <v>2950</v>
      </c>
      <c r="D69" s="1811" t="s">
        <v>2951</v>
      </c>
      <c r="E69" s="819" t="s">
        <v>2952</v>
      </c>
      <c r="F69" s="2876" t="s">
        <v>2968</v>
      </c>
      <c r="G69" s="1811" t="s">
        <v>754</v>
      </c>
      <c r="H69" s="2877" t="s">
        <v>2954</v>
      </c>
      <c r="I69" s="1811" t="s">
        <v>2955</v>
      </c>
      <c r="J69" s="603" t="s">
        <v>2601</v>
      </c>
      <c r="K69" s="603" t="s">
        <v>2602</v>
      </c>
      <c r="L69" s="603" t="s">
        <v>2603</v>
      </c>
      <c r="M69" s="603" t="s">
        <v>2604</v>
      </c>
      <c r="N69" s="603" t="s">
        <v>2605</v>
      </c>
      <c r="AA69" s="1374"/>
      <c r="AB69" s="1374"/>
      <c r="AC69" s="1374"/>
      <c r="AD69" s="1374"/>
      <c r="AE69" s="1374"/>
      <c r="AF69" s="1374"/>
      <c r="AG69" s="1374"/>
      <c r="AH69" s="1374"/>
      <c r="AI69" s="1374"/>
      <c r="AJ69" s="1374"/>
      <c r="AK69" s="1374"/>
    </row>
    <row r="70" spans="1:37" s="1373" customFormat="1" ht="51">
      <c r="A70" s="2875" t="s">
        <v>2971</v>
      </c>
      <c r="B70" s="2878" t="str">
        <f>估价对象房地状况!C15</f>
        <v>估价对象周边居住用地比例、居住小区规模和社区发展完善程度，综合评价居住社区成熟度一般</v>
      </c>
      <c r="C70" s="2767"/>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5" t="s">
        <v>2957</v>
      </c>
      <c r="B71" s="2879" t="str">
        <f>估价对象房地状况!C18</f>
        <v>估价对象周边道路状况、公共交通通达情况、停车便捷程度，综合评价交通便捷度较好</v>
      </c>
      <c r="C71" s="2767"/>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5" t="s">
        <v>2958</v>
      </c>
      <c r="B72" s="2879">
        <f>估价对象房地状况!C19</f>
        <v>0</v>
      </c>
      <c r="C72" s="2767"/>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5" t="s">
        <v>2972</v>
      </c>
      <c r="B73" s="2879">
        <f>估价对象房地状况!C24</f>
        <v>0</v>
      </c>
      <c r="C73" s="2767"/>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5" t="s">
        <v>2964</v>
      </c>
      <c r="B74" s="1727" t="str">
        <f>估价对象房地状况!C21</f>
        <v>估价对象所在区域公共配套设施齐备情况</v>
      </c>
      <c r="C74" s="2767"/>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5" t="s">
        <v>2965</v>
      </c>
      <c r="B75" s="1727" t="str">
        <f>估价对象房地状况!C22</f>
        <v>估价对象所在区域基础设施水平</v>
      </c>
      <c r="C75" s="2767"/>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6" customFormat="1" ht="24">
      <c r="A76" s="2875" t="s">
        <v>2962</v>
      </c>
      <c r="B76" s="2881" t="s">
        <v>2963</v>
      </c>
      <c r="C76" s="2767"/>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6"/>
      <c r="AB76" s="1374"/>
      <c r="AC76" s="1374"/>
      <c r="AD76" s="1374"/>
      <c r="AE76" s="1374"/>
      <c r="AF76" s="1374"/>
      <c r="AG76" s="1374"/>
      <c r="AH76" s="2886"/>
      <c r="AI76" s="2886"/>
      <c r="AJ76" s="2886"/>
      <c r="AK76" s="2886"/>
    </row>
    <row r="77" spans="1:37" ht="38.25">
      <c r="A77" s="2875" t="s">
        <v>2966</v>
      </c>
      <c r="B77" s="2878" t="str">
        <f>估价对象房地状况!C20</f>
        <v>区域自然环境：；人文环境；综合评价环境状况一般</v>
      </c>
      <c r="C77" s="2767"/>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17"/>
      <c r="AA77" s="2793"/>
      <c r="AG77" s="1375"/>
      <c r="AK77" s="2793"/>
    </row>
    <row r="78" spans="1:37" ht="24.75" thickBot="1">
      <c r="A78" s="2883" t="s">
        <v>2973</v>
      </c>
      <c r="B78" s="2887"/>
      <c r="C78" s="2767"/>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17"/>
      <c r="AA78" s="2793"/>
      <c r="AG78" s="1375"/>
      <c r="AK78" s="2793"/>
    </row>
    <row r="79" spans="1:37" ht="15">
      <c r="A79" s="2871" t="s">
        <v>2974</v>
      </c>
      <c r="B79" s="2872">
        <f>1+E81</f>
        <v>1</v>
      </c>
      <c r="C79" s="814"/>
      <c r="D79" s="814"/>
      <c r="E79" s="815"/>
      <c r="F79" s="2874"/>
      <c r="G79" s="6"/>
      <c r="H79" s="6"/>
      <c r="I79" s="6"/>
      <c r="J79" s="7"/>
      <c r="K79" s="7"/>
      <c r="L79" s="7"/>
      <c r="M79" s="7"/>
      <c r="N79" s="7"/>
      <c r="Z79" s="2717"/>
      <c r="AA79" s="2793"/>
      <c r="AG79" s="1375"/>
      <c r="AK79" s="2793"/>
    </row>
    <row r="80" spans="1:37" ht="24.75">
      <c r="A80" s="2875" t="s">
        <v>2948</v>
      </c>
      <c r="B80" s="1811"/>
      <c r="C80" s="1811" t="s">
        <v>2950</v>
      </c>
      <c r="D80" s="1811" t="s">
        <v>2951</v>
      </c>
      <c r="E80" s="819" t="s">
        <v>2952</v>
      </c>
      <c r="F80" s="2876" t="s">
        <v>2968</v>
      </c>
      <c r="G80" s="1811" t="s">
        <v>754</v>
      </c>
      <c r="H80" s="2877" t="s">
        <v>2954</v>
      </c>
      <c r="I80" s="1811" t="s">
        <v>2955</v>
      </c>
      <c r="J80" s="603" t="s">
        <v>2601</v>
      </c>
      <c r="K80" s="603" t="s">
        <v>2602</v>
      </c>
      <c r="L80" s="603" t="s">
        <v>2603</v>
      </c>
      <c r="M80" s="603" t="s">
        <v>2604</v>
      </c>
      <c r="N80" s="603" t="s">
        <v>2605</v>
      </c>
      <c r="Z80" s="2717"/>
      <c r="AA80" s="2793"/>
      <c r="AG80" s="1375"/>
      <c r="AK80" s="2793"/>
    </row>
    <row r="81" spans="1:37" ht="38.25">
      <c r="A81" s="2875" t="s">
        <v>2975</v>
      </c>
      <c r="B81" s="2879" t="str">
        <f>估价对象房地状况!G15</f>
        <v>估价对象位于XX开发区，园区建设成熟度XX，产业集聚程度XX</v>
      </c>
      <c r="C81" s="2767"/>
      <c r="D81" s="1289">
        <f t="shared" ref="D81:D88" si="25">SUMIF($J$80:$N$80,C81,J81:N81)</f>
        <v>0</v>
      </c>
      <c r="E81" s="821">
        <f>ROUND(SUM(D81:D88),4)</f>
        <v>0</v>
      </c>
      <c r="F81" s="2501"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7"/>
      <c r="AA81" s="2793"/>
      <c r="AG81" s="1375"/>
      <c r="AK81" s="2793"/>
    </row>
    <row r="82" spans="1:37" ht="51">
      <c r="A82" s="2875" t="s">
        <v>2957</v>
      </c>
      <c r="B82" s="2879" t="str">
        <f>估价对象房地状况!G16</f>
        <v>估价对象周边道路状况、公共交通通达情况、停车便捷程度，综合评价交通便捷度较好</v>
      </c>
      <c r="C82" s="2767"/>
      <c r="D82" s="1289">
        <f t="shared" si="25"/>
        <v>0</v>
      </c>
      <c r="E82" s="826"/>
      <c r="F82" s="2501"/>
      <c r="G82" s="1287"/>
      <c r="H82" s="1291" t="str">
        <f t="shared" si="26"/>
        <v>——</v>
      </c>
      <c r="I82" s="820">
        <v>0.33</v>
      </c>
      <c r="J82" s="1288">
        <f t="shared" si="27"/>
        <v>0</v>
      </c>
      <c r="K82" s="1288">
        <f t="shared" si="28"/>
        <v>0</v>
      </c>
      <c r="L82" s="1288">
        <v>0</v>
      </c>
      <c r="M82" s="1288">
        <f t="shared" si="29"/>
        <v>0</v>
      </c>
      <c r="N82" s="1288">
        <f t="shared" si="29"/>
        <v>0</v>
      </c>
      <c r="Z82" s="2717"/>
      <c r="AA82" s="2793"/>
      <c r="AG82" s="1375"/>
      <c r="AK82" s="2793"/>
    </row>
    <row r="83" spans="1:37" ht="24">
      <c r="A83" s="2875" t="s">
        <v>2958</v>
      </c>
      <c r="B83" s="2879">
        <f>估价对象房地状况!G17</f>
        <v>0</v>
      </c>
      <c r="C83" s="2767"/>
      <c r="D83" s="1289">
        <f t="shared" si="25"/>
        <v>0</v>
      </c>
      <c r="E83" s="826"/>
      <c r="F83" s="2501"/>
      <c r="G83" s="1287"/>
      <c r="H83" s="1291" t="str">
        <f t="shared" si="26"/>
        <v>——</v>
      </c>
      <c r="I83" s="820">
        <v>0.05</v>
      </c>
      <c r="J83" s="1288">
        <f t="shared" si="27"/>
        <v>0</v>
      </c>
      <c r="K83" s="1288">
        <f t="shared" si="28"/>
        <v>0</v>
      </c>
      <c r="L83" s="1288">
        <v>0</v>
      </c>
      <c r="M83" s="1288">
        <f t="shared" si="29"/>
        <v>0</v>
      </c>
      <c r="N83" s="1288">
        <f t="shared" si="29"/>
        <v>0</v>
      </c>
      <c r="Z83" s="2717"/>
      <c r="AA83" s="2793"/>
      <c r="AG83" s="1375"/>
      <c r="AK83" s="2793"/>
    </row>
    <row r="84" spans="1:37" ht="14.25">
      <c r="A84" s="2875" t="s">
        <v>2972</v>
      </c>
      <c r="B84" s="2879">
        <f>估价对象房地状况!G22</f>
        <v>0</v>
      </c>
      <c r="C84" s="2767"/>
      <c r="D84" s="1289">
        <f t="shared" si="25"/>
        <v>0</v>
      </c>
      <c r="E84" s="826"/>
      <c r="F84" s="2501"/>
      <c r="G84" s="1287"/>
      <c r="H84" s="1291" t="str">
        <f t="shared" si="26"/>
        <v>——</v>
      </c>
      <c r="I84" s="820">
        <v>0.04</v>
      </c>
      <c r="J84" s="1288">
        <f t="shared" si="27"/>
        <v>0</v>
      </c>
      <c r="K84" s="1288">
        <f t="shared" si="28"/>
        <v>0</v>
      </c>
      <c r="L84" s="1288">
        <v>0</v>
      </c>
      <c r="M84" s="1288">
        <f t="shared" si="29"/>
        <v>0</v>
      </c>
      <c r="N84" s="1288">
        <f t="shared" si="29"/>
        <v>0</v>
      </c>
      <c r="Z84" s="2717"/>
      <c r="AA84" s="2793"/>
      <c r="AG84" s="1375"/>
      <c r="AK84" s="2793"/>
    </row>
    <row r="85" spans="1:37" ht="25.5">
      <c r="A85" s="2875" t="s">
        <v>2964</v>
      </c>
      <c r="B85" s="1727" t="str">
        <f>估价对象房地状况!G19</f>
        <v>估价对象所在区域公共配套设施齐备情况</v>
      </c>
      <c r="C85" s="2767"/>
      <c r="D85" s="1289">
        <f t="shared" si="25"/>
        <v>0</v>
      </c>
      <c r="E85" s="826"/>
      <c r="F85" s="2501"/>
      <c r="G85" s="1287"/>
      <c r="H85" s="1291" t="str">
        <f t="shared" si="26"/>
        <v>——</v>
      </c>
      <c r="I85" s="820">
        <v>0.06</v>
      </c>
      <c r="J85" s="1288">
        <f t="shared" si="27"/>
        <v>0</v>
      </c>
      <c r="K85" s="1288">
        <f t="shared" si="28"/>
        <v>0</v>
      </c>
      <c r="L85" s="1288">
        <v>0</v>
      </c>
      <c r="M85" s="1288">
        <f t="shared" si="29"/>
        <v>0</v>
      </c>
      <c r="N85" s="1288">
        <f t="shared" si="29"/>
        <v>0</v>
      </c>
      <c r="Z85" s="2717"/>
      <c r="AA85" s="2793"/>
      <c r="AG85" s="1375"/>
      <c r="AK85" s="2793"/>
    </row>
    <row r="86" spans="1:37" ht="25.5">
      <c r="A86" s="2875" t="s">
        <v>2965</v>
      </c>
      <c r="B86" s="1727" t="str">
        <f>估价对象房地状况!G20</f>
        <v>估价对象所在区域基础设施水平</v>
      </c>
      <c r="C86" s="2767"/>
      <c r="D86" s="1289">
        <f t="shared" si="25"/>
        <v>0</v>
      </c>
      <c r="E86" s="826"/>
      <c r="F86" s="2501"/>
      <c r="G86" s="1287"/>
      <c r="H86" s="1291" t="str">
        <f t="shared" si="26"/>
        <v>——</v>
      </c>
      <c r="I86" s="820">
        <v>0.15</v>
      </c>
      <c r="J86" s="1288">
        <f t="shared" si="27"/>
        <v>0</v>
      </c>
      <c r="K86" s="1288">
        <f t="shared" si="28"/>
        <v>0</v>
      </c>
      <c r="L86" s="1288">
        <v>0</v>
      </c>
      <c r="M86" s="1288">
        <f t="shared" si="29"/>
        <v>0</v>
      </c>
      <c r="N86" s="1288">
        <f t="shared" si="29"/>
        <v>0</v>
      </c>
      <c r="Z86" s="2717"/>
      <c r="AA86" s="2793"/>
      <c r="AG86" s="1375"/>
      <c r="AK86" s="2793"/>
    </row>
    <row r="87" spans="1:37" ht="24">
      <c r="A87" s="2875" t="s">
        <v>2962</v>
      </c>
      <c r="B87" s="2881" t="s">
        <v>2976</v>
      </c>
      <c r="C87" s="2767"/>
      <c r="D87" s="1289">
        <f t="shared" si="25"/>
        <v>0</v>
      </c>
      <c r="E87" s="826"/>
      <c r="F87" s="2501"/>
      <c r="G87" s="1287"/>
      <c r="H87" s="1291" t="str">
        <f t="shared" si="26"/>
        <v>——</v>
      </c>
      <c r="I87" s="820">
        <v>0.05</v>
      </c>
      <c r="J87" s="1288">
        <f t="shared" si="27"/>
        <v>0</v>
      </c>
      <c r="K87" s="1288">
        <f t="shared" si="28"/>
        <v>0</v>
      </c>
      <c r="L87" s="1288">
        <v>0</v>
      </c>
      <c r="M87" s="1288">
        <f t="shared" si="29"/>
        <v>0</v>
      </c>
      <c r="N87" s="1288">
        <f t="shared" si="29"/>
        <v>0</v>
      </c>
      <c r="Z87" s="2717"/>
      <c r="AA87" s="2793"/>
      <c r="AG87" s="1375"/>
      <c r="AK87" s="2793"/>
    </row>
    <row r="88" spans="1:37" ht="39" thickBot="1">
      <c r="A88" s="2883" t="s">
        <v>2977</v>
      </c>
      <c r="B88" s="2888" t="str">
        <f>估价对象房地状况!G18</f>
        <v>该园区内是否有污染型企业，绿化情况，卫生条件，整体环境状况判断</v>
      </c>
      <c r="C88" s="2767"/>
      <c r="D88" s="1289">
        <f t="shared" si="25"/>
        <v>0</v>
      </c>
      <c r="E88" s="827"/>
      <c r="F88" s="2501"/>
      <c r="G88" s="1287"/>
      <c r="H88" s="1291" t="str">
        <f t="shared" si="26"/>
        <v>——</v>
      </c>
      <c r="I88" s="824">
        <v>0.06</v>
      </c>
      <c r="J88" s="1288">
        <f t="shared" si="27"/>
        <v>0</v>
      </c>
      <c r="K88" s="1288">
        <f t="shared" si="28"/>
        <v>0</v>
      </c>
      <c r="L88" s="1288">
        <v>0</v>
      </c>
      <c r="M88" s="1288">
        <f t="shared" si="29"/>
        <v>0</v>
      </c>
      <c r="N88" s="1288">
        <f t="shared" si="29"/>
        <v>0</v>
      </c>
      <c r="Z88" s="2717"/>
      <c r="AA88" s="2793"/>
      <c r="AG88" s="1375"/>
      <c r="AK88" s="2793"/>
    </row>
    <row r="90" spans="1:37">
      <c r="A90" s="3279" t="s">
        <v>2978</v>
      </c>
      <c r="B90" s="3279"/>
      <c r="C90" s="3279"/>
      <c r="D90" s="3279"/>
      <c r="E90" s="3279"/>
      <c r="F90" s="3279"/>
      <c r="G90" s="3279"/>
      <c r="H90" s="3279"/>
      <c r="I90" s="3279"/>
      <c r="J90" s="3279"/>
      <c r="K90" s="2889"/>
      <c r="L90" s="2889"/>
      <c r="M90" s="2889"/>
      <c r="N90" s="2889"/>
    </row>
    <row r="91" spans="1:37">
      <c r="A91" s="3281" t="s">
        <v>2979</v>
      </c>
      <c r="B91" s="3281" t="s">
        <v>2980</v>
      </c>
      <c r="C91" s="2843" t="s">
        <v>2981</v>
      </c>
      <c r="D91" s="2844"/>
      <c r="E91" s="2844"/>
      <c r="F91" s="2844"/>
      <c r="G91" s="2844"/>
      <c r="H91" s="2844"/>
      <c r="I91" s="2844"/>
      <c r="J91" s="2890"/>
      <c r="K91" s="2891"/>
      <c r="L91" s="2891"/>
      <c r="M91" s="2891"/>
      <c r="N91" s="2891"/>
    </row>
    <row r="92" spans="1:37">
      <c r="A92" s="3281"/>
      <c r="B92" s="3281"/>
      <c r="C92" s="945" t="s">
        <v>2845</v>
      </c>
      <c r="D92" s="945" t="s">
        <v>2846</v>
      </c>
      <c r="E92" s="945" t="s">
        <v>2847</v>
      </c>
      <c r="F92" s="945" t="s">
        <v>2848</v>
      </c>
      <c r="G92" s="945" t="s">
        <v>2849</v>
      </c>
      <c r="H92" s="945" t="s">
        <v>2850</v>
      </c>
      <c r="I92" s="945" t="s">
        <v>2851</v>
      </c>
      <c r="J92" s="945" t="s">
        <v>2852</v>
      </c>
      <c r="K92" s="945" t="s">
        <v>2853</v>
      </c>
      <c r="L92" s="945" t="s">
        <v>2854</v>
      </c>
      <c r="M92" s="945" t="s">
        <v>2855</v>
      </c>
      <c r="N92" s="945" t="s">
        <v>2856</v>
      </c>
    </row>
    <row r="93" spans="1:37">
      <c r="A93" s="3282" t="s">
        <v>2982</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83"/>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83"/>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83"/>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83"/>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83"/>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83"/>
      <c r="B99" s="2892" t="s">
        <v>2861</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84"/>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82" t="s">
        <v>2983</v>
      </c>
      <c r="B101" s="2896" t="s">
        <v>2984</v>
      </c>
      <c r="C101" s="2897">
        <f>$G$3</f>
        <v>1.49</v>
      </c>
      <c r="D101" s="2897">
        <f t="shared" ref="D101:N101" si="31">$G$3</f>
        <v>1.49</v>
      </c>
      <c r="E101" s="2897">
        <f t="shared" si="31"/>
        <v>1.49</v>
      </c>
      <c r="F101" s="2897">
        <f t="shared" si="31"/>
        <v>1.49</v>
      </c>
      <c r="G101" s="2897">
        <f t="shared" si="31"/>
        <v>1.49</v>
      </c>
      <c r="H101" s="2897">
        <f t="shared" si="31"/>
        <v>1.49</v>
      </c>
      <c r="I101" s="2897">
        <f t="shared" si="31"/>
        <v>1.49</v>
      </c>
      <c r="J101" s="2897">
        <f t="shared" si="31"/>
        <v>1.49</v>
      </c>
      <c r="K101" s="2897">
        <f t="shared" si="31"/>
        <v>1.49</v>
      </c>
      <c r="L101" s="2897">
        <f t="shared" si="31"/>
        <v>1.49</v>
      </c>
      <c r="M101" s="2897">
        <f t="shared" si="31"/>
        <v>1.49</v>
      </c>
      <c r="N101" s="2897">
        <f t="shared" si="31"/>
        <v>1.49</v>
      </c>
    </row>
    <row r="102" spans="1:14">
      <c r="A102" s="3283"/>
      <c r="B102" s="2892">
        <v>1</v>
      </c>
      <c r="C102" s="2893">
        <f>1.9362/C101</f>
        <v>1.2994630872483222</v>
      </c>
      <c r="D102" s="2893">
        <f>1.9362/D101</f>
        <v>1.2994630872483222</v>
      </c>
      <c r="E102" s="2893">
        <f>1.8629/E101</f>
        <v>1.2502684563758388</v>
      </c>
      <c r="F102" s="2893">
        <f>1.8629/F101</f>
        <v>1.2502684563758388</v>
      </c>
      <c r="G102" s="2893">
        <f>1.8629/G101</f>
        <v>1.2502684563758388</v>
      </c>
      <c r="H102" s="2893">
        <f>1.8629/H101</f>
        <v>1.2502684563758388</v>
      </c>
      <c r="I102" s="2893">
        <f>1.8629/I101</f>
        <v>1.2502684563758388</v>
      </c>
      <c r="J102" s="2893">
        <f>1.942/J101</f>
        <v>1.3033557046979865</v>
      </c>
      <c r="K102" s="2893">
        <f>1.942/K101</f>
        <v>1.3033557046979865</v>
      </c>
      <c r="L102" s="2893">
        <f>1.942/L101</f>
        <v>1.3033557046979865</v>
      </c>
      <c r="M102" s="2893">
        <f>1.942/M101</f>
        <v>1.3033557046979865</v>
      </c>
      <c r="N102" s="2893">
        <f>1.942/N101</f>
        <v>1.3033557046979865</v>
      </c>
    </row>
    <row r="103" spans="1:14">
      <c r="A103" s="3283"/>
      <c r="B103" s="2892">
        <v>2</v>
      </c>
      <c r="C103" s="2893">
        <f>1.4198/C101</f>
        <v>0.95288590604026846</v>
      </c>
      <c r="D103" s="2893">
        <f>1.4198/D101</f>
        <v>0.95288590604026846</v>
      </c>
      <c r="E103" s="2893">
        <f>1.3372/E101</f>
        <v>0.89744966442953011</v>
      </c>
      <c r="F103" s="2893">
        <f>1.3372/F101</f>
        <v>0.89744966442953011</v>
      </c>
      <c r="G103" s="2893">
        <f>1.3372/G101</f>
        <v>0.89744966442953011</v>
      </c>
      <c r="H103" s="2893">
        <f>1.3372/H101</f>
        <v>0.89744966442953011</v>
      </c>
      <c r="I103" s="2893">
        <f>1.3372/I101</f>
        <v>0.89744966442953011</v>
      </c>
      <c r="J103" s="2893">
        <f>1.2799/J101</f>
        <v>0.85899328859060409</v>
      </c>
      <c r="K103" s="2893">
        <f>1.2799/K101</f>
        <v>0.85899328859060409</v>
      </c>
      <c r="L103" s="2893">
        <f>1.2799/L101</f>
        <v>0.85899328859060409</v>
      </c>
      <c r="M103" s="2893">
        <f>1.2799/M101</f>
        <v>0.85899328859060409</v>
      </c>
      <c r="N103" s="2893">
        <f>1.2799/N101</f>
        <v>0.85899328859060409</v>
      </c>
    </row>
    <row r="104" spans="1:14">
      <c r="A104" s="3283"/>
      <c r="B104" s="2892">
        <v>3</v>
      </c>
      <c r="C104" s="2893">
        <f>1.1594/C101</f>
        <v>0.77812080536912753</v>
      </c>
      <c r="D104" s="2893">
        <f>1.1594/D101</f>
        <v>0.77812080536912753</v>
      </c>
      <c r="E104" s="2893">
        <f>1.0788/E101</f>
        <v>0.7240268456375839</v>
      </c>
      <c r="F104" s="2893">
        <f>1.0788/F101</f>
        <v>0.7240268456375839</v>
      </c>
      <c r="G104" s="2893">
        <f>1.0788/G101</f>
        <v>0.7240268456375839</v>
      </c>
      <c r="H104" s="2893">
        <f>1.0788/H101</f>
        <v>0.7240268456375839</v>
      </c>
      <c r="I104" s="2893">
        <f>1.0788/I101</f>
        <v>0.7240268456375839</v>
      </c>
      <c r="J104" s="2893">
        <f>1.0072/J101</f>
        <v>0.67597315436241623</v>
      </c>
      <c r="K104" s="2893">
        <f>1.0072/K101</f>
        <v>0.67597315436241623</v>
      </c>
      <c r="L104" s="2893">
        <f>1.0072/L101</f>
        <v>0.67597315436241623</v>
      </c>
      <c r="M104" s="2893">
        <f>1.0072/M101</f>
        <v>0.67597315436241623</v>
      </c>
      <c r="N104" s="2893">
        <f>1.0072/N101</f>
        <v>0.67597315436241623</v>
      </c>
    </row>
    <row r="105" spans="1:14">
      <c r="A105" s="3283"/>
      <c r="B105" s="2892">
        <v>4</v>
      </c>
      <c r="C105" s="2893">
        <f>0.9622/C101</f>
        <v>0.64577181208053691</v>
      </c>
      <c r="D105" s="2893">
        <f>0.9622/D101</f>
        <v>0.64577181208053691</v>
      </c>
      <c r="E105" s="2893">
        <f>0.8656/E101</f>
        <v>0.58093959731543632</v>
      </c>
      <c r="F105" s="2893">
        <f>0.8656/F101</f>
        <v>0.58093959731543632</v>
      </c>
      <c r="G105" s="2893">
        <f>0.8656/G101</f>
        <v>0.58093959731543632</v>
      </c>
      <c r="H105" s="2893">
        <f>0.8656/H101</f>
        <v>0.58093959731543632</v>
      </c>
      <c r="I105" s="2893">
        <f>0.8656/I101</f>
        <v>0.58093959731543632</v>
      </c>
      <c r="J105" s="2893">
        <f>0.7525/J101</f>
        <v>0.50503355704697983</v>
      </c>
      <c r="K105" s="2893">
        <f>0.7525/K101</f>
        <v>0.50503355704697983</v>
      </c>
      <c r="L105" s="2893">
        <f>0.7525/L101</f>
        <v>0.50503355704697983</v>
      </c>
      <c r="M105" s="2893">
        <f>0.7525/M101</f>
        <v>0.50503355704697983</v>
      </c>
      <c r="N105" s="2893">
        <f>0.7525/N101</f>
        <v>0.50503355704697983</v>
      </c>
    </row>
    <row r="106" spans="1:14">
      <c r="A106" s="3283"/>
      <c r="B106" s="2892">
        <v>5</v>
      </c>
      <c r="C106" s="2893">
        <f>0.8417/C101</f>
        <v>0.56489932885906036</v>
      </c>
      <c r="D106" s="2893">
        <f>0.8417/D101</f>
        <v>0.56489932885906036</v>
      </c>
      <c r="E106" s="2893">
        <f>0.7371/E101</f>
        <v>0.49469798657718117</v>
      </c>
      <c r="F106" s="2893">
        <f>0.7371/F101</f>
        <v>0.49469798657718117</v>
      </c>
      <c r="G106" s="2893">
        <f>0.7371/G101</f>
        <v>0.49469798657718117</v>
      </c>
      <c r="H106" s="2893">
        <f>0.7371/H101</f>
        <v>0.49469798657718117</v>
      </c>
      <c r="I106" s="2893">
        <f>0.7371/I101</f>
        <v>0.49469798657718117</v>
      </c>
      <c r="J106" s="2893">
        <f>0.5659/J101</f>
        <v>0.37979865771812077</v>
      </c>
      <c r="K106" s="2893">
        <f>0.5659/K101</f>
        <v>0.37979865771812077</v>
      </c>
      <c r="L106" s="2893">
        <f>0.5659/L101</f>
        <v>0.37979865771812077</v>
      </c>
      <c r="M106" s="2893">
        <f>0.5659/M101</f>
        <v>0.37979865771812077</v>
      </c>
      <c r="N106" s="2893">
        <f>0.5659/N101</f>
        <v>0.37979865771812077</v>
      </c>
    </row>
    <row r="107" spans="1:14">
      <c r="A107" s="3283"/>
      <c r="B107" s="2892">
        <v>6</v>
      </c>
      <c r="C107" s="2893">
        <f>0.7608/C101</f>
        <v>0.51060402684563766</v>
      </c>
      <c r="D107" s="2893">
        <f>0.7608/D101</f>
        <v>0.51060402684563766</v>
      </c>
      <c r="E107" s="2893">
        <f>0.6482/E101</f>
        <v>0.43503355704697988</v>
      </c>
      <c r="F107" s="2893">
        <f>0.6482/F101</f>
        <v>0.43503355704697988</v>
      </c>
      <c r="G107" s="2893">
        <f>0.6482/G101</f>
        <v>0.43503355704697988</v>
      </c>
      <c r="H107" s="2893">
        <f>0.6482/H101</f>
        <v>0.43503355704697988</v>
      </c>
      <c r="I107" s="2893">
        <f>0.6482/I101</f>
        <v>0.43503355704697988</v>
      </c>
      <c r="J107" s="2893">
        <f>0.4525/J101</f>
        <v>0.30369127516778527</v>
      </c>
      <c r="K107" s="2893">
        <f>0.4525/K101</f>
        <v>0.30369127516778527</v>
      </c>
      <c r="L107" s="2893">
        <f>0.4525/L101</f>
        <v>0.30369127516778527</v>
      </c>
      <c r="M107" s="2893">
        <f>0.4525/M101</f>
        <v>0.30369127516778527</v>
      </c>
      <c r="N107" s="2893">
        <f>0.4525/N101</f>
        <v>0.30369127516778527</v>
      </c>
    </row>
    <row r="108" spans="1:14">
      <c r="A108" s="3283"/>
      <c r="B108" s="3108" t="s">
        <v>2985</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84"/>
      <c r="B109" s="3109"/>
      <c r="C109" s="2895">
        <f>(-0.163*(C108^2)-0.59*C108+7617)*(10^(-4))/C101</f>
        <v>0.5112080536912752</v>
      </c>
      <c r="D109" s="2895">
        <f>(-0.163*(D108^2)-0.59*D108+7617)*(10^(-4))/D101</f>
        <v>0.5112080536912752</v>
      </c>
      <c r="E109" s="2895">
        <f>(-0.161*(E108^2)-7.509*E108+6533)*(10^(-4))/E101</f>
        <v>0.43845637583892616</v>
      </c>
      <c r="F109" s="2895">
        <f>(-0.161*(F108^2)-7.509*F108+6533)*(10^(-4))/F101</f>
        <v>0.43845637583892616</v>
      </c>
      <c r="G109" s="2895">
        <f>(-0.161*(G108^2)-7.509*G108+6533)*(10^(-4))/G101</f>
        <v>0.43845637583892616</v>
      </c>
      <c r="H109" s="2895">
        <f>(-0.161*(H108^2)-7.509*H108+6533)*(10^(-4))/H101</f>
        <v>0.43845637583892616</v>
      </c>
      <c r="I109" s="2895">
        <f>(-0.161*(I108^2)-7.509*I108+6533)*(10^(-4))/I101</f>
        <v>0.43845637583892616</v>
      </c>
      <c r="J109" s="2895">
        <f>(-0.214*(J108^2)-21.991*J108+4665)*(10^(-4))/J101</f>
        <v>0.31308724832214768</v>
      </c>
      <c r="K109" s="2895">
        <f>(-0.214*(K108^2)-21.991*K108+4665)*(10^(-4))/K101</f>
        <v>0.31308724832214768</v>
      </c>
      <c r="L109" s="2895">
        <f>(-0.214*(L108^2)-21.991*L108+4665)*(10^(-4))/L101</f>
        <v>0.31308724832214768</v>
      </c>
      <c r="M109" s="2895">
        <f>(-0.214*(M108^2)-21.991*M108+4665)*(10^(-4))/M101</f>
        <v>0.31308724832214768</v>
      </c>
      <c r="N109" s="2895">
        <f>(-0.214*(N108^2)-21.991*N108+4665)*(10^(-4))/N101</f>
        <v>0.31308724832214768</v>
      </c>
    </row>
    <row r="110" spans="1:14">
      <c r="A110" s="3280" t="s">
        <v>2986</v>
      </c>
      <c r="B110" s="3280"/>
      <c r="C110" s="3280"/>
      <c r="D110" s="3280"/>
      <c r="E110" s="3280"/>
      <c r="F110" s="3280"/>
      <c r="G110" s="3280"/>
      <c r="H110" s="3280"/>
      <c r="I110" s="3280"/>
      <c r="J110" s="3280"/>
      <c r="K110" s="2898"/>
      <c r="L110" s="2898"/>
      <c r="M110" s="2898"/>
      <c r="N110" s="2898"/>
    </row>
    <row r="112" spans="1:14" ht="13.5" thickBot="1"/>
    <row r="113" spans="1:13" ht="25.5" thickBot="1">
      <c r="A113" s="903" t="s">
        <v>2987</v>
      </c>
      <c r="B113" s="1290">
        <f>G3</f>
        <v>1.49</v>
      </c>
      <c r="C113" s="904" t="s">
        <v>2988</v>
      </c>
      <c r="D113" s="905">
        <f>SUMPRODUCT((A115:A118=F113)*(B114:M114=H113)*B115:M118)</f>
        <v>0</v>
      </c>
      <c r="E113" s="2721" t="s">
        <v>2818</v>
      </c>
      <c r="F113" s="2900">
        <f>E2</f>
        <v>0</v>
      </c>
      <c r="G113" s="2721" t="s">
        <v>2819</v>
      </c>
      <c r="H113" s="2900">
        <f>G2</f>
        <v>0</v>
      </c>
      <c r="I113" s="2721"/>
      <c r="J113" s="2901"/>
      <c r="K113" s="2901"/>
      <c r="L113" s="2901"/>
      <c r="M113" s="2901"/>
    </row>
    <row r="114" spans="1:13">
      <c r="A114" s="908"/>
      <c r="B114" s="2902" t="s">
        <v>2989</v>
      </c>
      <c r="C114" s="2902" t="s">
        <v>2990</v>
      </c>
      <c r="D114" s="2902" t="s">
        <v>2991</v>
      </c>
      <c r="E114" s="2903" t="s">
        <v>2992</v>
      </c>
      <c r="F114" s="2903" t="s">
        <v>2993</v>
      </c>
      <c r="G114" s="2903" t="s">
        <v>2994</v>
      </c>
      <c r="H114" s="2904" t="s">
        <v>2995</v>
      </c>
      <c r="I114" s="2904" t="s">
        <v>2996</v>
      </c>
      <c r="J114" s="2905" t="s">
        <v>2997</v>
      </c>
      <c r="K114" s="2905" t="s">
        <v>2998</v>
      </c>
      <c r="L114" s="2905" t="s">
        <v>2999</v>
      </c>
      <c r="M114" s="2906" t="s">
        <v>3000</v>
      </c>
    </row>
    <row r="115" spans="1:13">
      <c r="A115" s="909" t="s">
        <v>2883</v>
      </c>
      <c r="B115" s="910">
        <f>ROUND(0.9335-0.0094*B113,4)</f>
        <v>0.91949999999999998</v>
      </c>
      <c r="C115" s="910">
        <f>B115</f>
        <v>0.91949999999999998</v>
      </c>
      <c r="D115" s="910">
        <f>ROUND(0.8331-0.0109*B113,4)</f>
        <v>0.81689999999999996</v>
      </c>
      <c r="E115" s="910">
        <f>D115</f>
        <v>0.81689999999999996</v>
      </c>
      <c r="F115" s="910">
        <f>E115</f>
        <v>0.81689999999999996</v>
      </c>
      <c r="G115" s="910">
        <f>F115</f>
        <v>0.81689999999999996</v>
      </c>
      <c r="H115" s="910">
        <f>G115</f>
        <v>0.81689999999999996</v>
      </c>
      <c r="I115" s="910">
        <f>ROUND(0.689-0.0155*B113,4)</f>
        <v>0.66590000000000005</v>
      </c>
      <c r="J115" s="910">
        <f t="shared" ref="J115:M118" si="33">I115</f>
        <v>0.66590000000000005</v>
      </c>
      <c r="K115" s="910">
        <f t="shared" si="33"/>
        <v>0.66590000000000005</v>
      </c>
      <c r="L115" s="910">
        <f t="shared" si="33"/>
        <v>0.66590000000000005</v>
      </c>
      <c r="M115" s="911">
        <f t="shared" si="33"/>
        <v>0.66590000000000005</v>
      </c>
    </row>
    <row r="116" spans="1:13">
      <c r="A116" s="909" t="s">
        <v>2884</v>
      </c>
      <c r="B116" s="910">
        <f>ROUND(0.949-0.012*B113,4)</f>
        <v>0.93110000000000004</v>
      </c>
      <c r="C116" s="910">
        <f>B116</f>
        <v>0.93110000000000004</v>
      </c>
      <c r="D116" s="910">
        <f>ROUND(0.8567-0.013*B113,4)</f>
        <v>0.83730000000000004</v>
      </c>
      <c r="E116" s="910">
        <f t="shared" ref="E116:H117" si="34">D116</f>
        <v>0.83730000000000004</v>
      </c>
      <c r="F116" s="910">
        <f t="shared" si="34"/>
        <v>0.83730000000000004</v>
      </c>
      <c r="G116" s="910">
        <f t="shared" si="34"/>
        <v>0.83730000000000004</v>
      </c>
      <c r="H116" s="910">
        <f t="shared" si="34"/>
        <v>0.83730000000000004</v>
      </c>
      <c r="I116" s="910">
        <f>ROUND(0.7694-0.014*B113,4)</f>
        <v>0.74850000000000005</v>
      </c>
      <c r="J116" s="910">
        <f t="shared" si="33"/>
        <v>0.74850000000000005</v>
      </c>
      <c r="K116" s="910">
        <f t="shared" si="33"/>
        <v>0.74850000000000005</v>
      </c>
      <c r="L116" s="910">
        <f t="shared" si="33"/>
        <v>0.74850000000000005</v>
      </c>
      <c r="M116" s="911">
        <f t="shared" si="33"/>
        <v>0.74850000000000005</v>
      </c>
    </row>
    <row r="117" spans="1:13">
      <c r="A117" s="909" t="s">
        <v>2885</v>
      </c>
      <c r="B117" s="910">
        <f>ROUND(0.8808-0.006*B113,4)</f>
        <v>0.87190000000000001</v>
      </c>
      <c r="C117" s="910">
        <f>B117</f>
        <v>0.87190000000000001</v>
      </c>
      <c r="D117" s="910">
        <f>ROUND(0.8748-0.008*B113,4)</f>
        <v>0.8629</v>
      </c>
      <c r="E117" s="910">
        <f t="shared" si="34"/>
        <v>0.8629</v>
      </c>
      <c r="F117" s="910">
        <f t="shared" si="34"/>
        <v>0.8629</v>
      </c>
      <c r="G117" s="910">
        <f t="shared" si="34"/>
        <v>0.8629</v>
      </c>
      <c r="H117" s="910">
        <f t="shared" si="34"/>
        <v>0.8629</v>
      </c>
      <c r="I117" s="910">
        <f>ROUND(0.7412-0.0095*B113,4)</f>
        <v>0.72699999999999998</v>
      </c>
      <c r="J117" s="910">
        <f t="shared" si="33"/>
        <v>0.72699999999999998</v>
      </c>
      <c r="K117" s="910">
        <f t="shared" si="33"/>
        <v>0.72699999999999998</v>
      </c>
      <c r="L117" s="910">
        <f t="shared" si="33"/>
        <v>0.72699999999999998</v>
      </c>
      <c r="M117" s="911">
        <f t="shared" si="33"/>
        <v>0.72699999999999998</v>
      </c>
    </row>
    <row r="118" spans="1:13" ht="13.5" thickBot="1">
      <c r="A118" s="714" t="s">
        <v>2886</v>
      </c>
      <c r="B118" s="912">
        <f>ROUND(0.7275-0.01*B113,4)</f>
        <v>0.71260000000000001</v>
      </c>
      <c r="C118" s="912">
        <f>B118</f>
        <v>0.71260000000000001</v>
      </c>
      <c r="D118" s="912">
        <f>ROUND(0.7043-0.012*B113,4)</f>
        <v>0.68640000000000001</v>
      </c>
      <c r="E118" s="912">
        <f>D118</f>
        <v>0.68640000000000001</v>
      </c>
      <c r="F118" s="912">
        <f>E118</f>
        <v>0.68640000000000001</v>
      </c>
      <c r="G118" s="912">
        <f>ROUND(0.6299-0.0122*B113,4)</f>
        <v>0.61170000000000002</v>
      </c>
      <c r="H118" s="912">
        <f>G118</f>
        <v>0.61170000000000002</v>
      </c>
      <c r="I118" s="912">
        <f>ROUND(0.5667-0.0136*B113,4)</f>
        <v>0.5464</v>
      </c>
      <c r="J118" s="912">
        <f t="shared" si="33"/>
        <v>0.5464</v>
      </c>
      <c r="K118" s="912">
        <f t="shared" si="33"/>
        <v>0.5464</v>
      </c>
      <c r="L118" s="912">
        <f t="shared" si="33"/>
        <v>0.5464</v>
      </c>
      <c r="M118" s="913">
        <f t="shared" si="33"/>
        <v>0.5464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7" t="s">
        <v>183</v>
      </c>
      <c r="B18" s="882" t="s">
        <v>560</v>
      </c>
      <c r="C18" s="883" t="s">
        <v>561</v>
      </c>
      <c r="D18" s="884"/>
      <c r="E18" s="882">
        <v>1</v>
      </c>
      <c r="F18" s="885" t="s">
        <v>562</v>
      </c>
      <c r="G18" s="886"/>
      <c r="H18" s="878"/>
      <c r="I18" s="878"/>
    </row>
    <row r="19" spans="1:9" s="887" customFormat="1" ht="19.5" customHeight="1">
      <c r="A19" s="3297"/>
      <c r="B19" s="3297" t="s">
        <v>563</v>
      </c>
      <c r="C19" s="883" t="s">
        <v>564</v>
      </c>
      <c r="D19" s="884"/>
      <c r="E19" s="882">
        <v>0.9</v>
      </c>
      <c r="F19" s="885" t="s">
        <v>565</v>
      </c>
      <c r="G19" s="886"/>
      <c r="H19" s="878"/>
      <c r="I19" s="878"/>
    </row>
    <row r="20" spans="1:9" s="887" customFormat="1" ht="19.5" customHeight="1">
      <c r="A20" s="3297"/>
      <c r="B20" s="3297"/>
      <c r="C20" s="883" t="s">
        <v>566</v>
      </c>
      <c r="D20" s="884"/>
      <c r="E20" s="882">
        <v>1.1000000000000001</v>
      </c>
      <c r="F20" s="885" t="s">
        <v>567</v>
      </c>
      <c r="G20" s="886"/>
      <c r="H20" s="878"/>
      <c r="I20" s="878"/>
    </row>
    <row r="21" spans="1:9" s="887" customFormat="1" ht="19.5" customHeight="1">
      <c r="A21" s="3297"/>
      <c r="B21" s="3297"/>
      <c r="C21" s="883" t="s">
        <v>568</v>
      </c>
      <c r="D21" s="884"/>
      <c r="E21" s="882">
        <v>0.8</v>
      </c>
      <c r="F21" s="885" t="s">
        <v>569</v>
      </c>
      <c r="G21" s="886"/>
      <c r="H21" s="878"/>
      <c r="I21" s="878"/>
    </row>
    <row r="22" spans="1:9" s="887" customFormat="1" ht="19.5" customHeight="1">
      <c r="A22" s="3297"/>
      <c r="B22" s="3297"/>
      <c r="C22" s="883" t="s">
        <v>570</v>
      </c>
      <c r="D22" s="884"/>
      <c r="E22" s="882">
        <v>0.5</v>
      </c>
      <c r="F22" s="885"/>
      <c r="G22" s="886"/>
      <c r="H22" s="878"/>
      <c r="I22" s="878"/>
    </row>
    <row r="23" spans="1:9" s="887" customFormat="1" ht="19.5" customHeight="1">
      <c r="A23" s="3297" t="s">
        <v>184</v>
      </c>
      <c r="B23" s="882" t="s">
        <v>560</v>
      </c>
      <c r="C23" s="883" t="s">
        <v>571</v>
      </c>
      <c r="D23" s="884"/>
      <c r="E23" s="882">
        <v>1</v>
      </c>
      <c r="F23" s="885" t="s">
        <v>572</v>
      </c>
      <c r="G23" s="886"/>
      <c r="H23" s="878"/>
      <c r="I23" s="878"/>
    </row>
    <row r="24" spans="1:9" s="887" customFormat="1" ht="19.5" customHeight="1">
      <c r="A24" s="3297"/>
      <c r="B24" s="3297" t="s">
        <v>563</v>
      </c>
      <c r="C24" s="883" t="s">
        <v>573</v>
      </c>
      <c r="D24" s="884"/>
      <c r="E24" s="882">
        <v>0.5</v>
      </c>
      <c r="F24" s="885"/>
      <c r="G24" s="886"/>
      <c r="H24" s="878"/>
      <c r="I24" s="878"/>
    </row>
    <row r="25" spans="1:9" s="887" customFormat="1" ht="19.5" customHeight="1">
      <c r="A25" s="3297"/>
      <c r="B25" s="3297"/>
      <c r="C25" s="883" t="s">
        <v>574</v>
      </c>
      <c r="D25" s="884"/>
      <c r="E25" s="882">
        <v>1.1000000000000001</v>
      </c>
      <c r="F25" s="885"/>
      <c r="G25" s="886"/>
      <c r="H25" s="878"/>
      <c r="I25" s="878"/>
    </row>
    <row r="26" spans="1:9" s="887" customFormat="1" ht="19.5" customHeight="1">
      <c r="A26" s="3297"/>
      <c r="B26" s="3297"/>
      <c r="C26" s="883" t="s">
        <v>575</v>
      </c>
      <c r="D26" s="884"/>
      <c r="E26" s="882">
        <v>1.1000000000000001</v>
      </c>
      <c r="F26" s="885"/>
      <c r="G26" s="886"/>
      <c r="H26" s="878"/>
      <c r="I26" s="878"/>
    </row>
    <row r="27" spans="1:9" s="887" customFormat="1" ht="19.5" customHeight="1">
      <c r="A27" s="3297"/>
      <c r="B27" s="3297"/>
      <c r="C27" s="883" t="s">
        <v>576</v>
      </c>
      <c r="D27" s="884"/>
      <c r="E27" s="882">
        <v>0.9</v>
      </c>
      <c r="F27" s="885" t="s">
        <v>577</v>
      </c>
      <c r="G27" s="886"/>
      <c r="H27" s="878"/>
      <c r="I27" s="878"/>
    </row>
    <row r="28" spans="1:9" s="887" customFormat="1" ht="19.5" customHeight="1">
      <c r="A28" s="3297"/>
      <c r="B28" s="3297"/>
      <c r="C28" s="883" t="s">
        <v>578</v>
      </c>
      <c r="D28" s="884"/>
      <c r="E28" s="882">
        <v>0.9</v>
      </c>
      <c r="F28" s="885" t="s">
        <v>579</v>
      </c>
      <c r="G28" s="886"/>
      <c r="H28" s="878"/>
      <c r="I28" s="878"/>
    </row>
    <row r="29" spans="1:9" s="887" customFormat="1" ht="19.5" customHeight="1">
      <c r="A29" s="3297"/>
      <c r="B29" s="3297"/>
      <c r="C29" s="883" t="s">
        <v>580</v>
      </c>
      <c r="D29" s="884"/>
      <c r="E29" s="882">
        <v>0.9</v>
      </c>
      <c r="F29" s="885" t="s">
        <v>581</v>
      </c>
      <c r="G29" s="886"/>
      <c r="H29" s="878"/>
      <c r="I29" s="878"/>
    </row>
    <row r="30" spans="1:9" s="887" customFormat="1" ht="19.5" customHeight="1">
      <c r="A30" s="3297"/>
      <c r="B30" s="3297"/>
      <c r="C30" s="883" t="s">
        <v>582</v>
      </c>
      <c r="D30" s="884"/>
      <c r="E30" s="882">
        <v>0.9</v>
      </c>
      <c r="F30" s="885" t="s">
        <v>583</v>
      </c>
      <c r="G30" s="886"/>
      <c r="H30" s="878"/>
      <c r="I30" s="878"/>
    </row>
    <row r="31" spans="1:9" s="887" customFormat="1" ht="19.5" customHeight="1">
      <c r="A31" s="3297"/>
      <c r="B31" s="3297"/>
      <c r="C31" s="883" t="s">
        <v>584</v>
      </c>
      <c r="D31" s="884"/>
      <c r="E31" s="882">
        <v>0.8</v>
      </c>
      <c r="F31" s="885" t="s">
        <v>585</v>
      </c>
      <c r="G31" s="886"/>
      <c r="H31" s="878"/>
      <c r="I31" s="878"/>
    </row>
    <row r="32" spans="1:9" s="887" customFormat="1" ht="19.5" customHeight="1">
      <c r="A32" s="3297"/>
      <c r="B32" s="3297"/>
      <c r="C32" s="883" t="s">
        <v>586</v>
      </c>
      <c r="D32" s="884"/>
      <c r="E32" s="882">
        <v>0.8</v>
      </c>
      <c r="F32" s="885" t="s">
        <v>587</v>
      </c>
      <c r="G32" s="886"/>
      <c r="H32" s="878"/>
      <c r="I32" s="878"/>
    </row>
    <row r="33" spans="1:9" s="887" customFormat="1" ht="19.5" customHeight="1">
      <c r="A33" s="3297" t="s">
        <v>185</v>
      </c>
      <c r="B33" s="882" t="s">
        <v>560</v>
      </c>
      <c r="C33" s="883" t="s">
        <v>588</v>
      </c>
      <c r="D33" s="884"/>
      <c r="E33" s="882">
        <v>1</v>
      </c>
      <c r="F33" s="885" t="s">
        <v>589</v>
      </c>
      <c r="G33" s="886"/>
      <c r="H33" s="878"/>
      <c r="I33" s="878"/>
    </row>
    <row r="34" spans="1:9" s="887" customFormat="1" ht="19.5" customHeight="1">
      <c r="A34" s="3297"/>
      <c r="B34" s="882" t="s">
        <v>563</v>
      </c>
      <c r="C34" s="883" t="s">
        <v>590</v>
      </c>
      <c r="D34" s="884"/>
      <c r="E34" s="882">
        <v>1.5</v>
      </c>
      <c r="F34" s="885" t="s">
        <v>591</v>
      </c>
      <c r="G34" s="886"/>
      <c r="H34" s="878"/>
      <c r="I34" s="878"/>
    </row>
    <row r="35" spans="1:9" s="887" customFormat="1" ht="19.5" customHeight="1">
      <c r="A35" s="3297" t="s">
        <v>186</v>
      </c>
      <c r="B35" s="882" t="s">
        <v>560</v>
      </c>
      <c r="C35" s="883" t="s">
        <v>592</v>
      </c>
      <c r="D35" s="884"/>
      <c r="E35" s="882">
        <v>1</v>
      </c>
      <c r="F35" s="885" t="s">
        <v>593</v>
      </c>
      <c r="G35" s="886"/>
      <c r="H35" s="878"/>
      <c r="I35" s="878"/>
    </row>
    <row r="36" spans="1:9" s="887" customFormat="1" ht="19.5" customHeight="1">
      <c r="A36" s="3297"/>
      <c r="B36" s="3297" t="s">
        <v>563</v>
      </c>
      <c r="C36" s="883" t="s">
        <v>594</v>
      </c>
      <c r="D36" s="884"/>
      <c r="E36" s="882">
        <v>1</v>
      </c>
      <c r="F36" s="885" t="s">
        <v>595</v>
      </c>
      <c r="G36" s="886"/>
      <c r="H36" s="878"/>
      <c r="I36" s="878"/>
    </row>
    <row r="37" spans="1:9" s="887" customFormat="1" ht="19.5" customHeight="1">
      <c r="A37" s="3297"/>
      <c r="B37" s="3297"/>
      <c r="C37" s="883" t="s">
        <v>596</v>
      </c>
      <c r="D37" s="884"/>
      <c r="E37" s="882">
        <v>1.5</v>
      </c>
      <c r="F37" s="885" t="s">
        <v>597</v>
      </c>
      <c r="G37" s="886"/>
      <c r="H37" s="878"/>
      <c r="I37" s="878"/>
    </row>
    <row r="38" spans="1:9" s="887" customFormat="1" ht="19.5" customHeight="1">
      <c r="A38" s="3297"/>
      <c r="B38" s="3297"/>
      <c r="C38" s="883" t="s">
        <v>598</v>
      </c>
      <c r="D38" s="884"/>
      <c r="E38" s="882">
        <v>1</v>
      </c>
      <c r="F38" s="885" t="s">
        <v>599</v>
      </c>
      <c r="G38" s="886"/>
      <c r="H38" s="878"/>
      <c r="I38" s="878"/>
    </row>
    <row r="39" spans="1:9" s="887" customFormat="1" ht="19.5" customHeight="1">
      <c r="A39" s="3297"/>
      <c r="B39" s="329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7" t="s">
        <v>614</v>
      </c>
      <c r="C61" s="818" t="s">
        <v>615</v>
      </c>
      <c r="D61" s="818" t="s">
        <v>616</v>
      </c>
      <c r="E61" s="895">
        <v>0.5</v>
      </c>
      <c r="F61" s="882">
        <v>80</v>
      </c>
    </row>
    <row r="62" spans="1:8" s="878" customFormat="1" ht="24">
      <c r="A62" s="882">
        <v>2</v>
      </c>
      <c r="B62" s="3297"/>
      <c r="C62" s="818" t="s">
        <v>617</v>
      </c>
      <c r="D62" s="818" t="s">
        <v>618</v>
      </c>
      <c r="E62" s="895">
        <v>0.5</v>
      </c>
      <c r="F62" s="882">
        <v>80</v>
      </c>
    </row>
    <row r="63" spans="1:8" s="878" customFormat="1" ht="36">
      <c r="A63" s="882">
        <v>3</v>
      </c>
      <c r="B63" s="3297"/>
      <c r="C63" s="818" t="s">
        <v>619</v>
      </c>
      <c r="D63" s="818" t="s">
        <v>620</v>
      </c>
      <c r="E63" s="895">
        <v>0.5</v>
      </c>
      <c r="F63" s="882">
        <v>80</v>
      </c>
    </row>
    <row r="64" spans="1:8" s="878" customFormat="1" ht="36">
      <c r="A64" s="882">
        <v>4</v>
      </c>
      <c r="B64" s="3297"/>
      <c r="C64" s="818" t="s">
        <v>621</v>
      </c>
      <c r="D64" s="818" t="s">
        <v>622</v>
      </c>
      <c r="E64" s="895">
        <v>0.4</v>
      </c>
      <c r="F64" s="882">
        <v>60</v>
      </c>
    </row>
    <row r="65" spans="1:6" s="878" customFormat="1" ht="36">
      <c r="A65" s="882">
        <v>5</v>
      </c>
      <c r="B65" s="3297"/>
      <c r="C65" s="818" t="s">
        <v>623</v>
      </c>
      <c r="D65" s="818" t="s">
        <v>624</v>
      </c>
      <c r="E65" s="895">
        <v>0.2</v>
      </c>
      <c r="F65" s="882">
        <v>30</v>
      </c>
    </row>
    <row r="66" spans="1:6" s="878" customFormat="1" ht="36">
      <c r="A66" s="882">
        <v>6</v>
      </c>
      <c r="B66" s="3297"/>
      <c r="C66" s="818" t="s">
        <v>625</v>
      </c>
      <c r="D66" s="818" t="s">
        <v>626</v>
      </c>
      <c r="E66" s="895">
        <v>0.3</v>
      </c>
      <c r="F66" s="882">
        <v>50</v>
      </c>
    </row>
    <row r="67" spans="1:6" s="878" customFormat="1" ht="36">
      <c r="A67" s="882">
        <v>7</v>
      </c>
      <c r="B67" s="3297"/>
      <c r="C67" s="818" t="s">
        <v>627</v>
      </c>
      <c r="D67" s="818" t="s">
        <v>628</v>
      </c>
      <c r="E67" s="895">
        <v>0.2</v>
      </c>
      <c r="F67" s="882">
        <v>30</v>
      </c>
    </row>
    <row r="68" spans="1:6" s="878" customFormat="1" ht="36">
      <c r="A68" s="882">
        <v>8</v>
      </c>
      <c r="B68" s="3297"/>
      <c r="C68" s="818" t="s">
        <v>629</v>
      </c>
      <c r="D68" s="818" t="s">
        <v>630</v>
      </c>
      <c r="E68" s="895">
        <v>0.2</v>
      </c>
      <c r="F68" s="882">
        <v>30</v>
      </c>
    </row>
    <row r="69" spans="1:6" s="878" customFormat="1" ht="36">
      <c r="A69" s="882">
        <v>9</v>
      </c>
      <c r="B69" s="3297"/>
      <c r="C69" s="818" t="s">
        <v>631</v>
      </c>
      <c r="D69" s="818" t="s">
        <v>632</v>
      </c>
      <c r="E69" s="895">
        <v>0.2</v>
      </c>
      <c r="F69" s="882">
        <v>30</v>
      </c>
    </row>
    <row r="70" spans="1:6" s="878" customFormat="1" ht="48">
      <c r="A70" s="882">
        <v>10</v>
      </c>
      <c r="B70" s="3297"/>
      <c r="C70" s="818" t="s">
        <v>633</v>
      </c>
      <c r="D70" s="818" t="s">
        <v>634</v>
      </c>
      <c r="E70" s="895">
        <v>0.2</v>
      </c>
      <c r="F70" s="882">
        <v>30</v>
      </c>
    </row>
    <row r="71" spans="1:6" s="878" customFormat="1" ht="48">
      <c r="A71" s="882">
        <v>11</v>
      </c>
      <c r="B71" s="3297"/>
      <c r="C71" s="818" t="s">
        <v>635</v>
      </c>
      <c r="D71" s="818" t="s">
        <v>636</v>
      </c>
      <c r="E71" s="895">
        <v>0.2</v>
      </c>
      <c r="F71" s="882">
        <v>30</v>
      </c>
    </row>
    <row r="72" spans="1:6" s="878" customFormat="1" ht="36">
      <c r="A72" s="882">
        <v>12</v>
      </c>
      <c r="B72" s="3297"/>
      <c r="C72" s="818" t="s">
        <v>637</v>
      </c>
      <c r="D72" s="818" t="s">
        <v>638</v>
      </c>
      <c r="E72" s="895">
        <v>0.5</v>
      </c>
      <c r="F72" s="882">
        <v>80</v>
      </c>
    </row>
    <row r="73" spans="1:6" s="878" customFormat="1" ht="24">
      <c r="A73" s="882">
        <v>13</v>
      </c>
      <c r="B73" s="3297"/>
      <c r="C73" s="818" t="s">
        <v>639</v>
      </c>
      <c r="D73" s="818" t="s">
        <v>640</v>
      </c>
      <c r="E73" s="895">
        <v>0.4</v>
      </c>
      <c r="F73" s="882">
        <v>60</v>
      </c>
    </row>
    <row r="74" spans="1:6" s="878" customFormat="1" ht="24">
      <c r="A74" s="882">
        <v>14</v>
      </c>
      <c r="B74" s="3297"/>
      <c r="C74" s="818" t="s">
        <v>641</v>
      </c>
      <c r="D74" s="818" t="s">
        <v>642</v>
      </c>
      <c r="E74" s="895">
        <v>0.2</v>
      </c>
      <c r="F74" s="882">
        <v>30</v>
      </c>
    </row>
    <row r="75" spans="1:6" s="878" customFormat="1" ht="24">
      <c r="A75" s="882">
        <v>15</v>
      </c>
      <c r="B75" s="3297"/>
      <c r="C75" s="818" t="s">
        <v>643</v>
      </c>
      <c r="D75" s="818" t="s">
        <v>644</v>
      </c>
      <c r="E75" s="895">
        <v>0.2</v>
      </c>
      <c r="F75" s="882">
        <v>30</v>
      </c>
    </row>
    <row r="76" spans="1:6" s="878" customFormat="1" ht="24">
      <c r="A76" s="882">
        <v>16</v>
      </c>
      <c r="B76" s="3297" t="s">
        <v>645</v>
      </c>
      <c r="C76" s="818" t="s">
        <v>646</v>
      </c>
      <c r="D76" s="818" t="s">
        <v>647</v>
      </c>
      <c r="E76" s="895">
        <v>0.5</v>
      </c>
      <c r="F76" s="882">
        <v>80</v>
      </c>
    </row>
    <row r="77" spans="1:6" s="878" customFormat="1" ht="24">
      <c r="A77" s="882">
        <v>17</v>
      </c>
      <c r="B77" s="3297"/>
      <c r="C77" s="818" t="s">
        <v>648</v>
      </c>
      <c r="D77" s="818" t="s">
        <v>649</v>
      </c>
      <c r="E77" s="895">
        <v>0.5</v>
      </c>
      <c r="F77" s="882">
        <v>80</v>
      </c>
    </row>
    <row r="78" spans="1:6" s="878" customFormat="1" ht="24">
      <c r="A78" s="882">
        <v>18</v>
      </c>
      <c r="B78" s="3297"/>
      <c r="C78" s="818" t="s">
        <v>650</v>
      </c>
      <c r="D78" s="818" t="s">
        <v>651</v>
      </c>
      <c r="E78" s="895">
        <v>0.2</v>
      </c>
      <c r="F78" s="882">
        <v>30</v>
      </c>
    </row>
    <row r="79" spans="1:6" s="878" customFormat="1" ht="24">
      <c r="A79" s="882">
        <v>19</v>
      </c>
      <c r="B79" s="3297"/>
      <c r="C79" s="818" t="s">
        <v>652</v>
      </c>
      <c r="D79" s="818" t="s">
        <v>653</v>
      </c>
      <c r="E79" s="895">
        <v>0.5</v>
      </c>
      <c r="F79" s="882">
        <v>80</v>
      </c>
    </row>
    <row r="80" spans="1:6" s="878" customFormat="1" ht="36">
      <c r="A80" s="882">
        <v>20</v>
      </c>
      <c r="B80" s="3297"/>
      <c r="C80" s="818" t="s">
        <v>654</v>
      </c>
      <c r="D80" s="818" t="s">
        <v>655</v>
      </c>
      <c r="E80" s="895">
        <v>0.2</v>
      </c>
      <c r="F80" s="882">
        <v>30</v>
      </c>
    </row>
    <row r="81" spans="1:6" s="878" customFormat="1" ht="36">
      <c r="A81" s="882">
        <v>21</v>
      </c>
      <c r="B81" s="3297"/>
      <c r="C81" s="818" t="s">
        <v>656</v>
      </c>
      <c r="D81" s="818" t="s">
        <v>657</v>
      </c>
      <c r="E81" s="895">
        <v>0.2</v>
      </c>
      <c r="F81" s="882">
        <v>30</v>
      </c>
    </row>
    <row r="82" spans="1:6" s="878" customFormat="1" ht="48">
      <c r="A82" s="882">
        <v>22</v>
      </c>
      <c r="B82" s="3297"/>
      <c r="C82" s="818" t="s">
        <v>658</v>
      </c>
      <c r="D82" s="818" t="s">
        <v>659</v>
      </c>
      <c r="E82" s="895">
        <v>0.2</v>
      </c>
      <c r="F82" s="882">
        <v>30</v>
      </c>
    </row>
    <row r="83" spans="1:6" s="878" customFormat="1" ht="48">
      <c r="A83" s="882">
        <v>23</v>
      </c>
      <c r="B83" s="3297"/>
      <c r="C83" s="818" t="s">
        <v>660</v>
      </c>
      <c r="D83" s="818" t="s">
        <v>661</v>
      </c>
      <c r="E83" s="895">
        <v>0.2</v>
      </c>
      <c r="F83" s="882">
        <v>30</v>
      </c>
    </row>
    <row r="84" spans="1:6" s="878" customFormat="1" ht="36">
      <c r="A84" s="882">
        <v>24</v>
      </c>
      <c r="B84" s="3297"/>
      <c r="C84" s="818" t="s">
        <v>662</v>
      </c>
      <c r="D84" s="818" t="s">
        <v>663</v>
      </c>
      <c r="E84" s="895">
        <v>0.2</v>
      </c>
      <c r="F84" s="882">
        <v>30</v>
      </c>
    </row>
    <row r="85" spans="1:6" s="878" customFormat="1" ht="36">
      <c r="A85" s="882">
        <v>25</v>
      </c>
      <c r="B85" s="3297"/>
      <c r="C85" s="818" t="s">
        <v>664</v>
      </c>
      <c r="D85" s="818" t="s">
        <v>665</v>
      </c>
      <c r="E85" s="895">
        <v>0.5</v>
      </c>
      <c r="F85" s="882">
        <v>80</v>
      </c>
    </row>
    <row r="86" spans="1:6" s="878" customFormat="1" ht="36">
      <c r="A86" s="882">
        <v>26</v>
      </c>
      <c r="B86" s="3297"/>
      <c r="C86" s="818" t="s">
        <v>666</v>
      </c>
      <c r="D86" s="818" t="s">
        <v>667</v>
      </c>
      <c r="E86" s="895">
        <v>0.2</v>
      </c>
      <c r="F86" s="882">
        <v>30</v>
      </c>
    </row>
    <row r="87" spans="1:6" s="878" customFormat="1" ht="36">
      <c r="A87" s="882">
        <v>27</v>
      </c>
      <c r="B87" s="3297"/>
      <c r="C87" s="818" t="s">
        <v>668</v>
      </c>
      <c r="D87" s="818" t="s">
        <v>669</v>
      </c>
      <c r="E87" s="895">
        <v>0.2</v>
      </c>
      <c r="F87" s="882">
        <v>30</v>
      </c>
    </row>
    <row r="88" spans="1:6" s="878" customFormat="1" ht="36">
      <c r="A88" s="882">
        <v>28</v>
      </c>
      <c r="B88" s="3297"/>
      <c r="C88" s="818" t="s">
        <v>670</v>
      </c>
      <c r="D88" s="818" t="s">
        <v>671</v>
      </c>
      <c r="E88" s="895">
        <v>0.2</v>
      </c>
      <c r="F88" s="882">
        <v>30</v>
      </c>
    </row>
    <row r="89" spans="1:6" s="878" customFormat="1" ht="24">
      <c r="A89" s="882">
        <v>29</v>
      </c>
      <c r="B89" s="3297"/>
      <c r="C89" s="818" t="s">
        <v>672</v>
      </c>
      <c r="D89" s="818" t="s">
        <v>673</v>
      </c>
      <c r="E89" s="895">
        <v>0.2</v>
      </c>
      <c r="F89" s="882">
        <v>30</v>
      </c>
    </row>
    <row r="90" spans="1:6" s="878" customFormat="1" ht="24">
      <c r="A90" s="882">
        <v>30</v>
      </c>
      <c r="B90" s="3297"/>
      <c r="C90" s="818" t="s">
        <v>674</v>
      </c>
      <c r="D90" s="818" t="s">
        <v>675</v>
      </c>
      <c r="E90" s="895">
        <v>0.2</v>
      </c>
      <c r="F90" s="882">
        <v>30</v>
      </c>
    </row>
    <row r="91" spans="1:6" s="878" customFormat="1" ht="36">
      <c r="A91" s="882">
        <v>31</v>
      </c>
      <c r="B91" s="3297"/>
      <c r="C91" s="818" t="s">
        <v>676</v>
      </c>
      <c r="D91" s="818" t="s">
        <v>677</v>
      </c>
      <c r="E91" s="895">
        <v>0.2</v>
      </c>
      <c r="F91" s="882">
        <v>30</v>
      </c>
    </row>
    <row r="92" spans="1:6" s="878" customFormat="1" ht="24">
      <c r="A92" s="882">
        <v>32</v>
      </c>
      <c r="B92" s="3297" t="s">
        <v>678</v>
      </c>
      <c r="C92" s="882" t="s">
        <v>679</v>
      </c>
      <c r="D92" s="818" t="s">
        <v>680</v>
      </c>
      <c r="E92" s="895">
        <v>0.2</v>
      </c>
      <c r="F92" s="882">
        <v>30</v>
      </c>
    </row>
    <row r="93" spans="1:6" s="878" customFormat="1" ht="36">
      <c r="A93" s="882">
        <v>33</v>
      </c>
      <c r="B93" s="3297"/>
      <c r="C93" s="882" t="s">
        <v>681</v>
      </c>
      <c r="D93" s="818" t="s">
        <v>682</v>
      </c>
      <c r="E93" s="895">
        <v>0.2</v>
      </c>
      <c r="F93" s="882">
        <v>30</v>
      </c>
    </row>
    <row r="94" spans="1:6" s="878" customFormat="1" ht="48">
      <c r="A94" s="882">
        <v>34</v>
      </c>
      <c r="B94" s="3297"/>
      <c r="C94" s="882" t="s">
        <v>683</v>
      </c>
      <c r="D94" s="818" t="s">
        <v>684</v>
      </c>
      <c r="E94" s="895">
        <v>0.2</v>
      </c>
      <c r="F94" s="882">
        <v>30</v>
      </c>
    </row>
    <row r="95" spans="1:6" s="878" customFormat="1" ht="36">
      <c r="A95" s="882">
        <v>35</v>
      </c>
      <c r="B95" s="3297"/>
      <c r="C95" s="882" t="s">
        <v>685</v>
      </c>
      <c r="D95" s="818" t="s">
        <v>686</v>
      </c>
      <c r="E95" s="895">
        <v>0.2</v>
      </c>
      <c r="F95" s="882">
        <v>30</v>
      </c>
    </row>
    <row r="96" spans="1:6" s="878" customFormat="1" ht="48">
      <c r="A96" s="882">
        <v>36</v>
      </c>
      <c r="B96" s="3297"/>
      <c r="C96" s="818" t="s">
        <v>687</v>
      </c>
      <c r="D96" s="818" t="s">
        <v>688</v>
      </c>
      <c r="E96" s="895">
        <v>0.2</v>
      </c>
      <c r="F96" s="882">
        <v>30</v>
      </c>
    </row>
    <row r="97" spans="1:6" s="878" customFormat="1" ht="36">
      <c r="A97" s="882">
        <v>37</v>
      </c>
      <c r="B97" s="3297"/>
      <c r="C97" s="882" t="s">
        <v>689</v>
      </c>
      <c r="D97" s="818" t="s">
        <v>690</v>
      </c>
      <c r="E97" s="895">
        <v>0.2</v>
      </c>
      <c r="F97" s="882">
        <v>30</v>
      </c>
    </row>
    <row r="98" spans="1:6" s="878" customFormat="1" ht="36">
      <c r="A98" s="882">
        <v>38</v>
      </c>
      <c r="B98" s="3297"/>
      <c r="C98" s="882" t="s">
        <v>691</v>
      </c>
      <c r="D98" s="818" t="s">
        <v>692</v>
      </c>
      <c r="E98" s="895">
        <v>0.2</v>
      </c>
      <c r="F98" s="882">
        <v>30</v>
      </c>
    </row>
    <row r="99" spans="1:6" s="878" customFormat="1" ht="36">
      <c r="A99" s="882">
        <v>39</v>
      </c>
      <c r="B99" s="3297" t="s">
        <v>693</v>
      </c>
      <c r="C99" s="882" t="s">
        <v>694</v>
      </c>
      <c r="D99" s="818" t="s">
        <v>695</v>
      </c>
      <c r="E99" s="895">
        <v>0.3</v>
      </c>
      <c r="F99" s="882">
        <v>50</v>
      </c>
    </row>
    <row r="100" spans="1:6" s="878" customFormat="1" ht="24">
      <c r="A100" s="882">
        <v>40</v>
      </c>
      <c r="B100" s="3297"/>
      <c r="C100" s="882" t="s">
        <v>696</v>
      </c>
      <c r="D100" s="818" t="s">
        <v>697</v>
      </c>
      <c r="E100" s="895">
        <v>0.2</v>
      </c>
      <c r="F100" s="882">
        <v>30</v>
      </c>
    </row>
    <row r="101" spans="1:6" s="878" customFormat="1" ht="36">
      <c r="A101" s="882">
        <v>41</v>
      </c>
      <c r="B101" s="329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7" t="s">
        <v>708</v>
      </c>
      <c r="C105" s="882" t="s">
        <v>709</v>
      </c>
      <c r="D105" s="818" t="s">
        <v>710</v>
      </c>
      <c r="E105" s="895">
        <v>0.2</v>
      </c>
      <c r="F105" s="882">
        <v>30</v>
      </c>
    </row>
    <row r="106" spans="1:6" s="878" customFormat="1" ht="36">
      <c r="A106" s="882">
        <v>46</v>
      </c>
      <c r="B106" s="3297"/>
      <c r="C106" s="882" t="s">
        <v>711</v>
      </c>
      <c r="D106" s="818" t="s">
        <v>712</v>
      </c>
      <c r="E106" s="895">
        <v>0.2</v>
      </c>
      <c r="F106" s="882">
        <v>30</v>
      </c>
    </row>
    <row r="107" spans="1:6" s="878" customFormat="1" ht="36">
      <c r="A107" s="882">
        <v>47</v>
      </c>
      <c r="B107" s="3297" t="s">
        <v>713</v>
      </c>
      <c r="C107" s="882" t="s">
        <v>714</v>
      </c>
      <c r="D107" s="818" t="s">
        <v>715</v>
      </c>
      <c r="E107" s="895">
        <v>0.3</v>
      </c>
      <c r="F107" s="882">
        <v>50</v>
      </c>
    </row>
    <row r="108" spans="1:6" s="878" customFormat="1" ht="36">
      <c r="A108" s="882">
        <v>48</v>
      </c>
      <c r="B108" s="329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7" t="s">
        <v>724</v>
      </c>
      <c r="C111" s="882" t="s">
        <v>725</v>
      </c>
      <c r="D111" s="818" t="s">
        <v>726</v>
      </c>
      <c r="E111" s="895">
        <v>0.2</v>
      </c>
      <c r="F111" s="882">
        <v>30</v>
      </c>
    </row>
    <row r="112" spans="1:6" s="878" customFormat="1" ht="24">
      <c r="A112" s="882">
        <v>52</v>
      </c>
      <c r="B112" s="3297"/>
      <c r="C112" s="882" t="s">
        <v>727</v>
      </c>
      <c r="D112" s="818" t="s">
        <v>728</v>
      </c>
      <c r="E112" s="895">
        <v>0.2</v>
      </c>
      <c r="F112" s="882">
        <v>30</v>
      </c>
    </row>
    <row r="113" spans="1:6" s="878" customFormat="1" ht="24">
      <c r="A113" s="882">
        <v>53</v>
      </c>
      <c r="B113" s="329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7" t="s">
        <v>737</v>
      </c>
      <c r="C116" s="882" t="s">
        <v>738</v>
      </c>
      <c r="D116" s="818" t="s">
        <v>739</v>
      </c>
      <c r="E116" s="895">
        <v>0.2</v>
      </c>
      <c r="F116" s="882">
        <v>30</v>
      </c>
    </row>
    <row r="117" spans="1:6" ht="36">
      <c r="A117" s="882">
        <v>57</v>
      </c>
      <c r="B117" s="329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U43" sqref="U4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3009</v>
      </c>
    </row>
    <row r="2" spans="1:5" ht="15.75">
      <c r="A2" s="2907" t="s">
        <v>3001</v>
      </c>
      <c r="B2" s="2908" t="e">
        <f ca="1">SUMIF(B6:B13,"&lt;&gt;#ref!",B6:B13)</f>
        <v>#DIV/0!</v>
      </c>
      <c r="C2" s="2907" t="s">
        <v>3002</v>
      </c>
      <c r="D2" s="2907" t="s">
        <v>3003</v>
      </c>
      <c r="E2" s="2908" t="e">
        <f ca="1">SUM(E6:E13)</f>
        <v>#REF!</v>
      </c>
    </row>
    <row r="3" spans="1:5" ht="15.75">
      <c r="A3" s="2907" t="s">
        <v>3004</v>
      </c>
      <c r="B3" s="2908" t="e">
        <f ca="1">ROUND(B2*10000/E2,0)</f>
        <v>#DIV/0!</v>
      </c>
      <c r="C3" s="2907" t="s">
        <v>3010</v>
      </c>
      <c r="D3" s="2909"/>
      <c r="E3" s="2909"/>
    </row>
    <row r="4" spans="1:5" ht="15.75">
      <c r="A4" s="2910"/>
      <c r="B4" s="2909"/>
      <c r="C4" s="2909"/>
      <c r="D4" s="2909"/>
      <c r="E4" s="2909"/>
    </row>
    <row r="5" spans="1:5" ht="28.5">
      <c r="A5" s="2911" t="s">
        <v>3005</v>
      </c>
      <c r="B5" s="2907" t="s">
        <v>3006</v>
      </c>
      <c r="C5" s="2908"/>
      <c r="D5" s="2909"/>
      <c r="E5" s="2907" t="s">
        <v>3007</v>
      </c>
    </row>
    <row r="6" spans="1:5" ht="15.75">
      <c r="A6" s="2912" t="s">
        <v>3008</v>
      </c>
      <c r="B6" s="2908" t="e">
        <f ca="1">SUMIF(INDIRECT("'"&amp;A6&amp;"'"&amp;"!A:A"),"总价",INDIRECT("'"&amp;A6&amp;"'"&amp;"!B:B"))</f>
        <v>#DIV/0!</v>
      </c>
      <c r="C6" s="2907" t="s">
        <v>3002</v>
      </c>
      <c r="D6" s="2909"/>
      <c r="E6" s="2575">
        <f ca="1">SUMIF(INDIRECT("'"&amp;A6&amp;"'"&amp;"!C:C"),"建筑面积",INDIRECT("'"&amp;A6&amp;"'"&amp;"!D:D"))</f>
        <v>0</v>
      </c>
    </row>
    <row r="7" spans="1:5" ht="15.75">
      <c r="A7" s="2912"/>
      <c r="B7" s="2908" t="e">
        <f ca="1">SUMIF(INDIRECT("'"&amp;A7&amp;"'"&amp;"!A:A"),"总价",INDIRECT("'"&amp;A7&amp;"'"&amp;"!B:B"))</f>
        <v>#REF!</v>
      </c>
      <c r="C7" s="2907" t="s">
        <v>3002</v>
      </c>
      <c r="D7" s="2909"/>
      <c r="E7" s="2575" t="e">
        <f t="shared" ref="E7:E13" ca="1" si="0">SUMIF(INDIRECT("'"&amp;A7&amp;"'"&amp;"!C:C"),"建筑面积",INDIRECT("'"&amp;A7&amp;"'"&amp;"!D:D"))</f>
        <v>#REF!</v>
      </c>
    </row>
    <row r="8" spans="1:5" ht="15.75">
      <c r="A8" s="2912"/>
      <c r="B8" s="2908" t="e">
        <f t="shared" ref="B8:B13" ca="1" si="1">SUMIF(INDIRECT("'"&amp;A8&amp;"'"&amp;"!A:A"),"总价",INDIRECT("'"&amp;A8&amp;"'"&amp;"!B:B"))</f>
        <v>#REF!</v>
      </c>
      <c r="C8" s="2907" t="s">
        <v>3002</v>
      </c>
      <c r="D8" s="2909"/>
      <c r="E8" s="2575" t="e">
        <f t="shared" ca="1" si="0"/>
        <v>#REF!</v>
      </c>
    </row>
    <row r="9" spans="1:5" ht="15.75">
      <c r="A9" s="2912"/>
      <c r="B9" s="2908" t="e">
        <f t="shared" ca="1" si="1"/>
        <v>#REF!</v>
      </c>
      <c r="C9" s="2907" t="s">
        <v>3002</v>
      </c>
      <c r="D9" s="2909"/>
      <c r="E9" s="2575" t="e">
        <f t="shared" ca="1" si="0"/>
        <v>#REF!</v>
      </c>
    </row>
    <row r="10" spans="1:5" ht="15.75">
      <c r="A10" s="2912"/>
      <c r="B10" s="2908" t="e">
        <f t="shared" ca="1" si="1"/>
        <v>#REF!</v>
      </c>
      <c r="C10" s="2907" t="s">
        <v>3002</v>
      </c>
      <c r="D10" s="2909"/>
      <c r="E10" s="2575" t="e">
        <f t="shared" ca="1" si="0"/>
        <v>#REF!</v>
      </c>
    </row>
    <row r="11" spans="1:5" ht="15.75">
      <c r="A11" s="2912"/>
      <c r="B11" s="2908" t="e">
        <f t="shared" ca="1" si="1"/>
        <v>#REF!</v>
      </c>
      <c r="C11" s="2907" t="s">
        <v>3002</v>
      </c>
      <c r="D11" s="2909"/>
      <c r="E11" s="2575" t="e">
        <f t="shared" ca="1" si="0"/>
        <v>#REF!</v>
      </c>
    </row>
    <row r="12" spans="1:5" ht="15.75">
      <c r="A12" s="2912"/>
      <c r="B12" s="2908" t="e">
        <f t="shared" ca="1" si="1"/>
        <v>#REF!</v>
      </c>
      <c r="C12" s="2907" t="s">
        <v>3002</v>
      </c>
      <c r="D12" s="2909"/>
      <c r="E12" s="2575" t="e">
        <f t="shared" ca="1" si="0"/>
        <v>#REF!</v>
      </c>
    </row>
    <row r="13" spans="1:5" ht="15.75">
      <c r="A13" s="2912"/>
      <c r="B13" s="2908" t="e">
        <f t="shared" ca="1" si="1"/>
        <v>#REF!</v>
      </c>
      <c r="C13" s="2907" t="s">
        <v>3002</v>
      </c>
      <c r="D13" s="2909"/>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U43" sqref="U4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3" t="s">
        <v>1150</v>
      </c>
      <c r="C1" s="3303"/>
      <c r="D1" s="3303"/>
      <c r="E1" s="3303"/>
      <c r="F1" s="3303"/>
      <c r="G1" s="3299" t="s">
        <v>1151</v>
      </c>
      <c r="H1" s="3299"/>
      <c r="I1" s="3299"/>
      <c r="J1" s="3299"/>
      <c r="K1" s="3299"/>
      <c r="L1" s="3299"/>
      <c r="N1" s="3299" t="s">
        <v>1152</v>
      </c>
      <c r="O1" s="3299"/>
      <c r="P1" s="3299"/>
      <c r="Q1" s="3299"/>
      <c r="R1" s="1449"/>
      <c r="S1" s="3299" t="s">
        <v>1153</v>
      </c>
      <c r="T1" s="3299"/>
      <c r="U1" s="3299"/>
      <c r="V1" s="3299"/>
      <c r="X1" s="3298" t="s">
        <v>1154</v>
      </c>
      <c r="Y1" s="3299"/>
      <c r="Z1" s="3299"/>
      <c r="AA1" s="3299"/>
      <c r="AB1" s="3299"/>
      <c r="AD1" s="3298" t="s">
        <v>1155</v>
      </c>
      <c r="AE1" s="3299"/>
      <c r="AF1" s="3299"/>
      <c r="AG1" s="3299"/>
      <c r="AH1" s="329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6" customFormat="1" ht="14.25">
      <c r="A3" s="2935" t="s">
        <v>3048</v>
      </c>
      <c r="B3" s="2927"/>
      <c r="C3" s="2927"/>
      <c r="D3" s="2928"/>
      <c r="E3" s="2928"/>
      <c r="F3" s="2927"/>
      <c r="G3" s="2929"/>
      <c r="H3" s="2930"/>
      <c r="I3" s="2931">
        <f>ROUND(AVERAGE($I6:$I21),2)</f>
        <v>2.4500000000000002</v>
      </c>
      <c r="J3" s="2931">
        <f>ROUND(AVERAGE($J6:$J21),2)</f>
        <v>1.65</v>
      </c>
      <c r="K3" s="2931">
        <f>ROUND(AVERAGE($K6:$K21),2)</f>
        <v>2.71</v>
      </c>
      <c r="L3" s="2931">
        <f>ROUND(AVERAGE($L6:$L21),2)</f>
        <v>1.39</v>
      </c>
      <c r="N3" s="2929"/>
      <c r="O3" s="2932"/>
      <c r="P3" s="2932"/>
      <c r="Q3" s="2932"/>
      <c r="R3" s="2932"/>
      <c r="S3" s="2929"/>
      <c r="T3" s="2932"/>
      <c r="U3" s="2932"/>
      <c r="V3" s="2932"/>
      <c r="W3" s="2924"/>
      <c r="X3" s="2933">
        <f>ROUND(SUMPRODUCT(PRODUCT(1+N3:N$20)),4)</f>
        <v>1.4274</v>
      </c>
      <c r="Y3" s="2933">
        <f>ROUND(SUMPRODUCT(PRODUCT(1+O3:O$20)),4)</f>
        <v>1.2685</v>
      </c>
      <c r="Z3" s="2933">
        <f t="shared" ref="Z3:Z18" si="0">Y3</f>
        <v>1.2685</v>
      </c>
      <c r="AA3" s="2933">
        <f>ROUND(SUMPRODUCT(PRODUCT(1+P3:P$20)),4)</f>
        <v>1.4825999999999999</v>
      </c>
      <c r="AB3" s="2933">
        <f>ROUND(SUMPRODUCT(PRODUCT(1+Q3:Q$20)),4)</f>
        <v>1.2309000000000001</v>
      </c>
      <c r="AD3" s="2934">
        <f>ROUND(AVERAGE(I3:I$21)/100,4)</f>
        <v>2.3099999999999999E-2</v>
      </c>
      <c r="AE3" s="2934">
        <f>ROUND(AVERAGE(J3:J$21)/100,4)</f>
        <v>1.5599999999999999E-2</v>
      </c>
      <c r="AF3" s="2934">
        <f t="shared" ref="AF3:AF19" si="1">AE3</f>
        <v>1.5599999999999999E-2</v>
      </c>
      <c r="AG3" s="2934">
        <f>ROUND(AVERAGE(K3:K$21)/100,4)</f>
        <v>2.5600000000000001E-2</v>
      </c>
      <c r="AH3" s="2934">
        <f>ROUND(AVERAGE(L3:L$21)/100,4)</f>
        <v>1.32E-2</v>
      </c>
    </row>
    <row r="4" spans="1:34" s="1456" customFormat="1" ht="14.25">
      <c r="B4" s="1457"/>
      <c r="C4" s="1457"/>
      <c r="D4" s="1458"/>
      <c r="E4" s="1458"/>
      <c r="F4" s="1457"/>
      <c r="G4" s="1459"/>
      <c r="H4" s="1460"/>
      <c r="I4" s="2920"/>
      <c r="J4" s="2920"/>
      <c r="K4" s="2920"/>
      <c r="L4" s="2920"/>
      <c r="N4" s="1459"/>
      <c r="O4" s="1461"/>
      <c r="P4" s="1461"/>
      <c r="Q4" s="1461"/>
      <c r="R4" s="1461"/>
      <c r="S4" s="1459"/>
      <c r="T4" s="1461"/>
      <c r="U4" s="1461"/>
      <c r="V4" s="1461"/>
      <c r="X4" s="1462"/>
      <c r="Y4" s="1462"/>
      <c r="Z4" s="1462"/>
      <c r="AA4" s="1462"/>
      <c r="AB4" s="1462"/>
      <c r="AD4" s="1463"/>
      <c r="AE4" s="1463"/>
      <c r="AF4" s="1463"/>
      <c r="AG4" s="1463"/>
      <c r="AH4" s="1463"/>
    </row>
    <row r="5" spans="1:34" s="1733" customFormat="1" ht="13.5" thickBot="1">
      <c r="A5" s="1731" t="s">
        <v>3047</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3">
        <v>2018</v>
      </c>
      <c r="H5" s="1732">
        <v>1</v>
      </c>
      <c r="I5" s="2921">
        <v>0</v>
      </c>
      <c r="J5" s="2921">
        <v>0</v>
      </c>
      <c r="K5" s="2921">
        <v>0</v>
      </c>
      <c r="L5" s="2921">
        <v>0</v>
      </c>
      <c r="N5" s="1470">
        <f t="shared" ref="N5:N10" si="7">I5/100</f>
        <v>0</v>
      </c>
      <c r="O5" s="1470">
        <f t="shared" ref="O5" si="8">J5/100</f>
        <v>0</v>
      </c>
      <c r="P5" s="1470">
        <f t="shared" ref="P5" si="9">K5/100</f>
        <v>0</v>
      </c>
      <c r="Q5" s="1470">
        <f t="shared" ref="Q5" si="10">L5/100</f>
        <v>0</v>
      </c>
      <c r="R5" s="1734"/>
      <c r="S5" s="1735"/>
      <c r="T5" s="1734"/>
      <c r="U5" s="1734"/>
      <c r="V5" s="1734"/>
      <c r="W5" s="2925" t="s">
        <v>3049</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3044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3">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19"/>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18"/>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6"/>
      <c r="AD8" s="1791">
        <f>ROUND(AVERAGE(I8:I$21)/100,4)</f>
        <v>2.46E-2</v>
      </c>
      <c r="AE8" s="1791">
        <f>ROUND(AVERAGE(J8:J$21)/100,4)</f>
        <v>1.6E-2</v>
      </c>
      <c r="AF8" s="1791">
        <f t="shared" si="1"/>
        <v>1.6E-2</v>
      </c>
      <c r="AG8" s="1791">
        <f>ROUND(AVERAGE(K8:K$21)/100,4)</f>
        <v>2.75E-2</v>
      </c>
      <c r="AH8" s="1791">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19"/>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4" t="s">
        <v>154</v>
      </c>
      <c r="B10" s="1472">
        <v>392</v>
      </c>
      <c r="C10" s="1472">
        <v>302</v>
      </c>
      <c r="D10" s="1472">
        <f>C10</f>
        <v>302</v>
      </c>
      <c r="E10" s="1472">
        <v>553</v>
      </c>
      <c r="F10" s="1473">
        <v>266</v>
      </c>
      <c r="G10" s="3304">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01"/>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01"/>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02"/>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00">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01"/>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01"/>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02"/>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00">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01"/>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01"/>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02"/>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4" t="s">
        <v>1163</v>
      </c>
      <c r="B22" s="1472">
        <v>299</v>
      </c>
      <c r="C22" s="1472">
        <v>252</v>
      </c>
      <c r="D22" s="1472">
        <f t="shared" si="35"/>
        <v>252</v>
      </c>
      <c r="E22" s="1472">
        <v>409</v>
      </c>
      <c r="F22" s="1473">
        <v>227</v>
      </c>
      <c r="G22" s="3305">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06"/>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06"/>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07"/>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00">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01"/>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01"/>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02"/>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00">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01">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01">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02">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00">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01">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01">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02">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00">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01">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01">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02">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00">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01">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01">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02">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00">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01">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01">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02">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00">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01">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01">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02">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00">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01">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01">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02">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00">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01">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01">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02">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00">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01">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01">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02">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00">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01">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01">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02">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3"/>
      <c r="B4" s="2978" t="s">
        <v>1631</v>
      </c>
      <c r="C4" s="2978"/>
      <c r="D4" s="2978"/>
      <c r="E4" s="1963"/>
    </row>
    <row r="5" spans="1:5" ht="16.5" thickTop="1">
      <c r="A5" s="1961"/>
      <c r="B5" s="2976" t="s">
        <v>1623</v>
      </c>
      <c r="C5" s="1964" t="s">
        <v>1624</v>
      </c>
      <c r="D5" s="1043">
        <f ca="1">结果表!H101</f>
        <v>107513</v>
      </c>
      <c r="E5" s="1961"/>
    </row>
    <row r="6" spans="1:5" ht="15.75">
      <c r="A6" s="1961"/>
      <c r="B6" s="2976"/>
      <c r="C6" s="1964" t="s">
        <v>1625</v>
      </c>
      <c r="D6" s="1043" t="str">
        <f ca="1">NUMBERSTRING(INT(D5*10000),2)&amp;"元整"</f>
        <v>壹拾亿柒仟伍佰壹拾叁万元整</v>
      </c>
      <c r="E6" s="1961"/>
    </row>
    <row r="7" spans="1:5" ht="15.75">
      <c r="A7" s="1961"/>
      <c r="B7" s="2981"/>
      <c r="C7" s="1965" t="s">
        <v>1626</v>
      </c>
      <c r="D7" s="1044">
        <f ca="1">结果表!H102</f>
        <v>3624</v>
      </c>
      <c r="E7" s="1961"/>
    </row>
    <row r="8" spans="1:5" ht="15.75">
      <c r="A8" s="1961"/>
      <c r="B8" s="2982" t="str">
        <f>结果表!E103</f>
        <v>2.估价师知悉的法定优先受偿款</v>
      </c>
      <c r="C8" s="1966" t="s">
        <v>1627</v>
      </c>
      <c r="D8" s="1044">
        <f>结果表!H103</f>
        <v>0</v>
      </c>
      <c r="E8" s="1961"/>
    </row>
    <row r="9" spans="1:5" ht="15.75">
      <c r="A9" s="1961"/>
      <c r="B9" s="2984"/>
      <c r="C9" s="1964" t="s">
        <v>1625</v>
      </c>
      <c r="D9" s="1043" t="str">
        <f>NUMBERSTRING(INT(D8*10000),2)&amp;"元整"</f>
        <v>零元整</v>
      </c>
      <c r="E9" s="1961"/>
    </row>
    <row r="10" spans="1:5" ht="15">
      <c r="A10" s="1961"/>
      <c r="B10" s="1967" t="s">
        <v>1630</v>
      </c>
      <c r="C10" s="1968" t="s">
        <v>1628</v>
      </c>
      <c r="D10" s="1045">
        <f>结果表!H104</f>
        <v>0</v>
      </c>
      <c r="E10" s="1961"/>
    </row>
    <row r="11" spans="1:5" ht="15">
      <c r="A11" s="1961"/>
      <c r="B11" s="1967" t="s">
        <v>1632</v>
      </c>
      <c r="C11" s="1968" t="s">
        <v>1633</v>
      </c>
      <c r="D11" s="1045">
        <f>结果表!H105</f>
        <v>0</v>
      </c>
      <c r="E11" s="1961"/>
    </row>
    <row r="12" spans="1:5" ht="15">
      <c r="A12" s="1961"/>
      <c r="B12" s="1967" t="s">
        <v>1634</v>
      </c>
      <c r="C12" s="1968" t="s">
        <v>1633</v>
      </c>
      <c r="D12" s="1045">
        <f>结果表!H106</f>
        <v>0</v>
      </c>
      <c r="E12" s="1961"/>
    </row>
    <row r="13" spans="1:5" ht="15.75">
      <c r="A13" s="1961"/>
      <c r="B13" s="2975" t="str">
        <f>结果表!E107</f>
        <v>——</v>
      </c>
      <c r="C13" s="1969" t="s">
        <v>1624</v>
      </c>
      <c r="D13" s="1046" t="str">
        <f>结果表!H107</f>
        <v>——</v>
      </c>
      <c r="E13" s="1961"/>
    </row>
    <row r="14" spans="1:5" ht="15.75">
      <c r="A14" s="1961"/>
      <c r="B14" s="2976"/>
      <c r="C14" s="1964" t="s">
        <v>1625</v>
      </c>
      <c r="D14" s="1043" t="e">
        <f>NUMBERSTRING(INT(D13*10000),2)&amp;"元整"</f>
        <v>#VALUE!</v>
      </c>
      <c r="E14" s="1961"/>
    </row>
    <row r="15" spans="1:5" ht="15">
      <c r="A15" s="1961"/>
      <c r="B15" s="2981"/>
      <c r="C15" s="1965" t="s">
        <v>1635</v>
      </c>
      <c r="D15" s="1055" t="e">
        <f>结果表!H108</f>
        <v>#VALUE!</v>
      </c>
      <c r="E15" s="1961"/>
    </row>
    <row r="16" spans="1:5" ht="15">
      <c r="A16" s="1961"/>
      <c r="B16" s="2982" t="str">
        <f>结果表!E109</f>
        <v>3.抵押担保权已注销时的房地产抵押价值</v>
      </c>
      <c r="C16" s="1969" t="s">
        <v>1636</v>
      </c>
      <c r="D16" s="1970">
        <f ca="1">结果表!H109</f>
        <v>107513</v>
      </c>
      <c r="E16" s="1961"/>
    </row>
    <row r="17" spans="1:5" ht="15.75">
      <c r="A17" s="1961"/>
      <c r="B17" s="2983"/>
      <c r="C17" s="1964" t="s">
        <v>1637</v>
      </c>
      <c r="D17" s="1043" t="str">
        <f ca="1">NUMBERSTRING(INT(D16*10000),2)&amp;"元整"</f>
        <v>壹拾亿柒仟伍佰壹拾叁万元整</v>
      </c>
      <c r="E17" s="1961"/>
    </row>
    <row r="18" spans="1:5" ht="15">
      <c r="A18" s="1961"/>
      <c r="B18" s="2984"/>
      <c r="C18" s="1965" t="s">
        <v>1626</v>
      </c>
      <c r="D18" s="1055">
        <f ca="1">结果表!H110</f>
        <v>3624</v>
      </c>
      <c r="E18" s="1961"/>
    </row>
    <row r="19" spans="1:5" ht="15.75">
      <c r="A19" s="1961"/>
      <c r="B19" s="2975" t="str">
        <f>结果表!E111</f>
        <v>——</v>
      </c>
      <c r="C19" s="1969" t="s">
        <v>1624</v>
      </c>
      <c r="D19" s="1044" t="str">
        <f>结果表!H111</f>
        <v>——</v>
      </c>
      <c r="E19" s="1961"/>
    </row>
    <row r="20" spans="1:5" ht="15.75">
      <c r="A20" s="1961"/>
      <c r="B20" s="2976"/>
      <c r="C20" s="1964" t="s">
        <v>1637</v>
      </c>
      <c r="D20" s="1043" t="e">
        <f>NUMBERSTRING(INT(D19*10000),2)&amp;"元整"</f>
        <v>#VALUE!</v>
      </c>
      <c r="E20" s="1961"/>
    </row>
    <row r="21" spans="1:5" ht="15.75" thickBot="1">
      <c r="A21" s="1961"/>
      <c r="B21" s="2977"/>
      <c r="C21" s="1971" t="s">
        <v>1635</v>
      </c>
      <c r="D21" s="1056"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3011</v>
      </c>
      <c r="C1" s="3309" t="s">
        <v>3012</v>
      </c>
      <c r="D1" s="3310"/>
      <c r="E1" s="3310"/>
      <c r="F1" s="3310"/>
      <c r="G1" s="3310"/>
      <c r="H1" s="3310"/>
      <c r="I1" s="3310"/>
      <c r="J1" s="3310"/>
      <c r="K1" s="3310"/>
      <c r="L1" s="3310"/>
      <c r="M1" s="3310"/>
      <c r="N1" s="3310"/>
      <c r="O1" s="3310"/>
      <c r="P1" s="3310"/>
      <c r="Q1" s="3310"/>
      <c r="R1" s="3310"/>
      <c r="S1" s="3311"/>
      <c r="T1" s="1207" t="s">
        <v>3013</v>
      </c>
    </row>
    <row r="2" spans="1:45" s="707" customFormat="1">
      <c r="A2" s="1208"/>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3015</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3016</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3017</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3020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3021</v>
      </c>
      <c r="B17" s="2914" t="s">
        <v>3022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5" t="s">
        <v>3023</v>
      </c>
      <c r="E19" s="1794"/>
      <c r="F19" s="1794"/>
      <c r="G19" s="1794"/>
      <c r="H19" s="1283"/>
      <c r="I19" s="168"/>
      <c r="J19" s="168"/>
      <c r="K19" s="168"/>
      <c r="L19" s="168"/>
      <c r="M19" s="168"/>
      <c r="N19" s="168"/>
      <c r="O19" s="168"/>
      <c r="P19" s="168"/>
      <c r="Q19" s="168"/>
      <c r="R19" s="788"/>
      <c r="S19" s="138"/>
    </row>
    <row r="20" spans="1:45" ht="16.5" thickBot="1">
      <c r="A20" s="715" t="s">
        <v>3024</v>
      </c>
      <c r="B20" s="338" t="e">
        <f ca="1">IF(D20="——",S22,S22-F20)</f>
        <v>#REF!</v>
      </c>
      <c r="C20" s="168"/>
      <c r="D20" s="2916" t="s">
        <v>3025</v>
      </c>
      <c r="E20" s="1795"/>
      <c r="F20" s="1207" t="e">
        <f ca="1">SUMIF(INDIRECT("'"&amp;H20&amp;"'"&amp;"!A:A"),"承租人权益价值",INDIRECT("'"&amp;H20&amp;"'"&amp;"!c:c"))</f>
        <v>#REF!</v>
      </c>
      <c r="G20" s="1207" t="s">
        <v>3026</v>
      </c>
      <c r="H20" s="2917"/>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089" t="s">
        <v>33</v>
      </c>
      <c r="D22" s="3090"/>
      <c r="E22" s="3090"/>
      <c r="F22" s="3090"/>
      <c r="G22" s="3090"/>
      <c r="H22" s="3090"/>
      <c r="I22" s="3090"/>
      <c r="J22" s="3090"/>
      <c r="K22" s="3090"/>
      <c r="L22" s="3090"/>
      <c r="M22" s="3090"/>
      <c r="N22" s="3090"/>
      <c r="O22" s="3090"/>
      <c r="P22" s="3090"/>
      <c r="Q22" s="3308"/>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36593</v>
      </c>
      <c r="C2" s="2" t="s">
        <v>133</v>
      </c>
      <c r="D2" s="243"/>
      <c r="E2" s="243"/>
      <c r="F2" s="243"/>
      <c r="G2" s="243"/>
    </row>
    <row r="3" spans="1:7" s="244" customFormat="1" ht="18" customHeight="1" thickBot="1">
      <c r="A3" s="247" t="s">
        <v>85</v>
      </c>
      <c r="B3" s="248">
        <f ca="1">ROUND(B2*10000/'数据-汇总表'!E3,0)</f>
        <v>1233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3416</v>
      </c>
      <c r="D9" s="1035">
        <f>'数据-汇总表'!E5</f>
        <v>227714.24</v>
      </c>
      <c r="E9" s="269">
        <f>'数据-取费表'!B27</f>
        <v>150</v>
      </c>
      <c r="F9" s="265"/>
      <c r="G9" s="270"/>
    </row>
    <row r="10" spans="1:7" s="258" customFormat="1" ht="13.5" customHeight="1">
      <c r="A10" s="953" t="s">
        <v>801</v>
      </c>
      <c r="B10" s="268" t="s">
        <v>94</v>
      </c>
      <c r="C10" s="269">
        <f>ROUND(D10*E10/10000,0)</f>
        <v>1035</v>
      </c>
      <c r="D10" s="1035">
        <f>'数据-汇总表'!E6</f>
        <v>68988.310000000056</v>
      </c>
      <c r="E10" s="269">
        <f>'数据-取费表'!B28</f>
        <v>150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5934</v>
      </c>
      <c r="D19" s="1039">
        <f>'数据-汇总表'!E3</f>
        <v>296702.55000000005</v>
      </c>
      <c r="E19" s="255">
        <f>'数据-取费表'!B31</f>
        <v>200</v>
      </c>
      <c r="F19" s="275"/>
      <c r="G19" s="1" t="s">
        <v>1074</v>
      </c>
    </row>
    <row r="20" spans="1:7" s="258" customFormat="1" ht="13.5" customHeight="1">
      <c r="A20" s="951" t="s">
        <v>1057</v>
      </c>
      <c r="B20" s="254" t="s">
        <v>104</v>
      </c>
      <c r="C20" s="276">
        <f>ROUND((C5+C19)*F20,0)</f>
        <v>531</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203</v>
      </c>
      <c r="D22" s="279">
        <f ca="1">C26</f>
        <v>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156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45</v>
      </c>
      <c r="D24" s="282"/>
      <c r="E24" s="282"/>
      <c r="F24" s="283"/>
      <c r="G24" s="284" t="s">
        <v>109</v>
      </c>
    </row>
    <row r="25" spans="1:7" s="258" customFormat="1" ht="24">
      <c r="A25" s="954" t="s">
        <v>793</v>
      </c>
      <c r="B25" s="259" t="s">
        <v>1058</v>
      </c>
      <c r="C25" s="1358">
        <f ca="1">ROUND(IF('数据-取费表'!B22&lt;=1,C20*F22*'数据-取费表'!B23/2,C20*(POWER((1+F22),'数据-取费表'!B23/2)-1)),0)</f>
        <v>2</v>
      </c>
      <c r="D25" s="282"/>
      <c r="E25" s="285"/>
      <c r="F25" s="283"/>
      <c r="G25" s="286" t="s">
        <v>110</v>
      </c>
    </row>
    <row r="26" spans="1:7" s="258" customFormat="1">
      <c r="A26" s="954" t="s">
        <v>795</v>
      </c>
      <c r="B26" s="259" t="s">
        <v>1060</v>
      </c>
      <c r="C26" s="282">
        <f ca="1">ROUND(IF('数据-取费表'!B22&lt;=1,F21*F22*'数据-取费表'!B23/2,F21*(POWER((1+F22),'数据-取费表'!B23/2)-1)),4)</f>
        <v>1E-4</v>
      </c>
      <c r="D26" s="282"/>
      <c r="E26" s="285"/>
      <c r="F26" s="283"/>
      <c r="G26" s="287"/>
    </row>
    <row r="27" spans="1:7" s="258" customFormat="1" ht="24.75">
      <c r="A27" s="951" t="s">
        <v>787</v>
      </c>
      <c r="B27" s="288" t="s">
        <v>112</v>
      </c>
      <c r="C27" s="289">
        <f>C28</f>
        <v>366</v>
      </c>
      <c r="D27" s="279">
        <f>C29</f>
        <v>2.9999999999999997E-4</v>
      </c>
      <c r="E27" s="280" t="s">
        <v>126</v>
      </c>
      <c r="F27" s="290">
        <f>'数据-取费表'!Q16</f>
        <v>0.25</v>
      </c>
      <c r="G27" s="291" t="s">
        <v>1069</v>
      </c>
    </row>
    <row r="28" spans="1:7" s="258" customFormat="1" ht="13.5" customHeight="1">
      <c r="A28" s="954" t="s">
        <v>794</v>
      </c>
      <c r="B28" s="292" t="s">
        <v>1062</v>
      </c>
      <c r="C28" s="293">
        <f>ROUND((C5+C19+C20)*F27*'数据-取费表'!B21/'数据-取费表'!B20,0)</f>
        <v>366</v>
      </c>
      <c r="D28" s="279"/>
      <c r="E28" s="280"/>
      <c r="F28" s="290"/>
      <c r="G28" s="291"/>
    </row>
    <row r="29" spans="1:7" s="258" customFormat="1" ht="13.5" customHeight="1">
      <c r="A29" s="954" t="s">
        <v>792</v>
      </c>
      <c r="B29" s="292" t="s">
        <v>1063</v>
      </c>
      <c r="C29" s="282">
        <f>ROUND(C21*F27*'数据-取费表'!B21/'数据-取费表'!B20,4)</f>
        <v>2.9999999999999997E-4</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29845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4864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4176</v>
      </c>
      <c r="D34" s="261"/>
      <c r="E34" s="264"/>
      <c r="F34" s="301">
        <f>IF('数据-取费表'!B24=0,1,'数据-取费表'!N16)</f>
        <v>5.3999999999999999E-2</v>
      </c>
      <c r="G34" s="263" t="s">
        <v>116</v>
      </c>
    </row>
    <row r="35" spans="1:7" ht="13.5" customHeight="1">
      <c r="A35" s="954" t="s">
        <v>796</v>
      </c>
      <c r="B35" s="259" t="s">
        <v>60</v>
      </c>
      <c r="C35" s="264">
        <f>ROUND(C34*F35,0)</f>
        <v>209</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96</v>
      </c>
      <c r="D36" s="264"/>
      <c r="E36" s="264"/>
      <c r="F36" s="303">
        <f>'数据-取费表'!B34</f>
        <v>0.1</v>
      </c>
      <c r="G36" s="304" t="s">
        <v>62</v>
      </c>
    </row>
    <row r="37" spans="1:7" s="302" customFormat="1" ht="13.5" customHeight="1">
      <c r="A37" s="954" t="s">
        <v>798</v>
      </c>
      <c r="B37" s="259" t="s">
        <v>118</v>
      </c>
      <c r="C37" s="293">
        <f>ROUND(E37*D37*F34/10000,0)</f>
        <v>320</v>
      </c>
      <c r="D37" s="261">
        <f>'数据-汇总表'!E3</f>
        <v>296702.55000000005</v>
      </c>
      <c r="E37" s="293">
        <f>'数据-取费表'!B35</f>
        <v>200</v>
      </c>
      <c r="F37" s="303"/>
      <c r="G37" s="305" t="s">
        <v>119</v>
      </c>
    </row>
    <row r="38" spans="1:7" ht="13.5" customHeight="1">
      <c r="A38" s="954" t="s">
        <v>799</v>
      </c>
      <c r="B38" s="259" t="s">
        <v>63</v>
      </c>
      <c r="C38" s="264">
        <f>ROUND(C34*F38,0)</f>
        <v>63</v>
      </c>
      <c r="D38" s="264"/>
      <c r="E38" s="264"/>
      <c r="F38" s="303">
        <f>'数据-取费表'!B36</f>
        <v>1.4999999999999999E-2</v>
      </c>
      <c r="G38" s="263" t="s">
        <v>117</v>
      </c>
    </row>
    <row r="39" spans="1:7" s="258" customFormat="1" ht="13.5" customHeight="1">
      <c r="A39" s="951" t="s">
        <v>783</v>
      </c>
      <c r="B39" s="254" t="s">
        <v>104</v>
      </c>
      <c r="C39" s="276">
        <f>ROUND(C33*F20,0)</f>
        <v>97</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18</v>
      </c>
      <c r="D41" s="279">
        <f ca="1">C44</f>
        <v>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18</v>
      </c>
      <c r="D42" s="282"/>
      <c r="E42" s="282"/>
      <c r="F42" s="283"/>
      <c r="G42" s="3174" t="s">
        <v>121</v>
      </c>
    </row>
    <row r="43" spans="1:7" ht="13.5" customHeight="1">
      <c r="A43" s="954" t="s">
        <v>792</v>
      </c>
      <c r="B43" s="259" t="s">
        <v>1064</v>
      </c>
      <c r="C43" s="282">
        <f ca="1">ROUND(IF('数据-取费表'!B22&lt;=1,C39*F22*'数据-取费表'!B21/2,C39*(POWER((1+F22),'数据-取费表'!B21/2)-1)),0)</f>
        <v>0</v>
      </c>
      <c r="D43" s="282"/>
      <c r="E43" s="282"/>
      <c r="F43" s="283"/>
      <c r="G43" s="3175"/>
    </row>
    <row r="44" spans="1:7" ht="13.5" customHeight="1">
      <c r="A44" s="954" t="s">
        <v>793</v>
      </c>
      <c r="B44" s="259" t="s">
        <v>1066</v>
      </c>
      <c r="C44" s="282">
        <f ca="1">ROUND(IF('数据-取费表'!B22&lt;=1,C40*F22*'数据-取费表'!B21/2,C40*(POWER((1+F22),'数据-取费表'!B21/2)-1)),4)</f>
        <v>1E-4</v>
      </c>
      <c r="D44" s="282"/>
      <c r="E44" s="282"/>
      <c r="F44" s="283"/>
      <c r="G44" s="3176"/>
    </row>
    <row r="45" spans="1:7" s="258" customFormat="1" ht="13.5" customHeight="1">
      <c r="A45" s="951" t="s">
        <v>786</v>
      </c>
      <c r="B45" s="288" t="s">
        <v>112</v>
      </c>
      <c r="C45" s="289">
        <f>C46</f>
        <v>1240</v>
      </c>
      <c r="D45" s="279">
        <f>C47</f>
        <v>5.0000000000000001E-3</v>
      </c>
      <c r="E45" s="280" t="s">
        <v>129</v>
      </c>
      <c r="F45" s="290"/>
      <c r="G45" s="291" t="s">
        <v>1072</v>
      </c>
    </row>
    <row r="46" spans="1:7" s="258" customFormat="1" ht="13.5" customHeight="1">
      <c r="A46" s="954" t="s">
        <v>794</v>
      </c>
      <c r="B46" s="292" t="s">
        <v>1065</v>
      </c>
      <c r="C46" s="293">
        <f>ROUND((C33+C39)*F27,0)</f>
        <v>1240</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6748</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6748</v>
      </c>
      <c r="D51" s="276"/>
      <c r="E51" s="276"/>
      <c r="F51" s="308"/>
      <c r="G51" s="278" t="s">
        <v>64</v>
      </c>
    </row>
    <row r="52" spans="1:7" s="252" customFormat="1" ht="16.5" thickBot="1">
      <c r="A52" s="309" t="s">
        <v>65</v>
      </c>
      <c r="B52" s="310"/>
      <c r="C52" s="311">
        <f ca="1">C31+C51</f>
        <v>36593</v>
      </c>
      <c r="D52" s="310"/>
      <c r="E52" s="310"/>
      <c r="F52" s="310"/>
      <c r="G52" s="312"/>
    </row>
    <row r="55" spans="1:7" ht="15">
      <c r="B55" s="314" t="s">
        <v>66</v>
      </c>
      <c r="C55" s="315"/>
    </row>
    <row r="56" spans="1:7">
      <c r="B56" s="317" t="s">
        <v>67</v>
      </c>
      <c r="C56" s="318">
        <f ca="1">ROUND(C51/C52,3)</f>
        <v>0.184</v>
      </c>
    </row>
    <row r="57" spans="1:7">
      <c r="B57" s="317" t="s">
        <v>68</v>
      </c>
      <c r="C57" s="319">
        <f ca="1">1-C56</f>
        <v>0.81600000000000006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2" t="s">
        <v>156</v>
      </c>
      <c r="B1" s="3312"/>
      <c r="C1" s="3312"/>
      <c r="D1" s="3312"/>
      <c r="E1" s="3312"/>
      <c r="F1" s="331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3" t="s">
        <v>169</v>
      </c>
      <c r="B2" s="3313"/>
      <c r="C2" s="3313"/>
      <c r="D2" s="3313"/>
      <c r="E2" s="3313"/>
      <c r="F2" s="331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2" t="s">
        <v>871</v>
      </c>
      <c r="B1" s="331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43186</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U4"/>
  <sheetViews>
    <sheetView topLeftCell="J112" workbookViewId="0">
      <selection activeCell="R115" sqref="R115"/>
    </sheetView>
  </sheetViews>
  <sheetFormatPr defaultRowHeight="13.5"/>
  <cols>
    <col min="1" max="1" width="40.125" bestFit="1" customWidth="1"/>
    <col min="2" max="2" width="19.25" bestFit="1" customWidth="1"/>
    <col min="4" max="4" width="7.125" bestFit="1" customWidth="1"/>
    <col min="5" max="5" width="5.25" bestFit="1" customWidth="1"/>
    <col min="6" max="6" width="40.125" bestFit="1" customWidth="1"/>
    <col min="8" max="8" width="22" bestFit="1" customWidth="1"/>
    <col min="9" max="9" width="35.875" bestFit="1" customWidth="1"/>
    <col min="10" max="11" width="17.375" bestFit="1" customWidth="1"/>
    <col min="12" max="12" width="13.5" bestFit="1" customWidth="1"/>
    <col min="14" max="15" width="11.625" bestFit="1" customWidth="1"/>
    <col min="16" max="16" width="33.875" bestFit="1" customWidth="1"/>
    <col min="17" max="18" width="13.125" bestFit="1" customWidth="1"/>
    <col min="19" max="19" width="18.5" bestFit="1" customWidth="1"/>
    <col min="20" max="20" width="7.125" bestFit="1" customWidth="1"/>
  </cols>
  <sheetData>
    <row r="1" spans="1:21" s="1637" customFormat="1">
      <c r="A1" s="1637" t="s">
        <v>3164</v>
      </c>
      <c r="B1" s="1637" t="s">
        <v>3165</v>
      </c>
      <c r="C1" s="1637" t="s">
        <v>3166</v>
      </c>
      <c r="D1" s="1637" t="s">
        <v>3167</v>
      </c>
      <c r="E1" s="1637" t="s">
        <v>3168</v>
      </c>
      <c r="F1" s="1637" t="s">
        <v>3169</v>
      </c>
      <c r="G1" s="1637" t="s">
        <v>3170</v>
      </c>
      <c r="H1" s="1637" t="s">
        <v>3171</v>
      </c>
      <c r="I1" s="1637" t="s">
        <v>3172</v>
      </c>
      <c r="J1" s="1637" t="s">
        <v>3173</v>
      </c>
      <c r="K1" s="1637" t="s">
        <v>3174</v>
      </c>
      <c r="L1" s="1637" t="s">
        <v>3175</v>
      </c>
      <c r="M1" s="1637" t="s">
        <v>3176</v>
      </c>
      <c r="N1" s="1637" t="s">
        <v>3177</v>
      </c>
      <c r="O1" s="1637" t="s">
        <v>3178</v>
      </c>
      <c r="P1" s="1637" t="s">
        <v>3179</v>
      </c>
      <c r="Q1" s="1637" t="s">
        <v>3180</v>
      </c>
      <c r="R1" s="1637" t="s">
        <v>3181</v>
      </c>
      <c r="S1" s="1637" t="s">
        <v>3182</v>
      </c>
      <c r="T1" s="1637" t="s">
        <v>3183</v>
      </c>
      <c r="U1" s="1637" t="s">
        <v>3184</v>
      </c>
    </row>
    <row r="2" spans="1:21" s="1637" customFormat="1">
      <c r="A2" s="1637" t="s">
        <v>3185</v>
      </c>
      <c r="B2" s="1637" t="s">
        <v>3186</v>
      </c>
      <c r="C2" s="1637" t="s">
        <v>3187</v>
      </c>
      <c r="D2" s="1637" t="s">
        <v>3188</v>
      </c>
      <c r="E2" s="1637" t="s">
        <v>1331</v>
      </c>
      <c r="F2" s="1637" t="s">
        <v>3185</v>
      </c>
      <c r="G2" s="1637" t="s">
        <v>3189</v>
      </c>
      <c r="H2" s="1637" t="s">
        <v>3190</v>
      </c>
      <c r="I2" s="1637" t="s">
        <v>3191</v>
      </c>
      <c r="J2" s="1637">
        <v>30868.78</v>
      </c>
      <c r="K2" s="1637">
        <v>49914.82</v>
      </c>
      <c r="L2" s="1637" t="s">
        <v>3192</v>
      </c>
      <c r="M2" s="1637" t="s">
        <v>1331</v>
      </c>
      <c r="N2" s="1637" t="s">
        <v>3193</v>
      </c>
      <c r="O2" s="2967" t="s">
        <v>3193</v>
      </c>
      <c r="P2" s="2967" t="s">
        <v>3194</v>
      </c>
      <c r="Q2" s="1637">
        <v>7139.94</v>
      </c>
      <c r="R2" s="1637">
        <v>7139.94</v>
      </c>
      <c r="S2" s="2967">
        <v>1430.43</v>
      </c>
      <c r="T2" s="1637">
        <v>0</v>
      </c>
      <c r="U2" s="1637" t="s">
        <v>3195</v>
      </c>
    </row>
    <row r="3" spans="1:21" s="1637" customFormat="1">
      <c r="A3" s="1637" t="s">
        <v>3185</v>
      </c>
      <c r="B3" s="1637" t="s">
        <v>3186</v>
      </c>
      <c r="C3" s="1637" t="s">
        <v>3187</v>
      </c>
      <c r="D3" s="1637" t="s">
        <v>3188</v>
      </c>
      <c r="E3" s="1637" t="s">
        <v>1331</v>
      </c>
      <c r="F3" s="1637" t="s">
        <v>3185</v>
      </c>
      <c r="G3" s="1637" t="s">
        <v>3189</v>
      </c>
      <c r="H3" s="1637" t="s">
        <v>3196</v>
      </c>
      <c r="I3" s="1637" t="s">
        <v>3191</v>
      </c>
      <c r="J3" s="1637">
        <v>43321.95</v>
      </c>
      <c r="K3" s="1637">
        <v>70051.59</v>
      </c>
      <c r="L3" s="1637" t="s">
        <v>3192</v>
      </c>
      <c r="M3" s="1637" t="s">
        <v>1331</v>
      </c>
      <c r="N3" s="1637" t="s">
        <v>3193</v>
      </c>
      <c r="O3" s="2967" t="s">
        <v>3193</v>
      </c>
      <c r="P3" s="2967" t="s">
        <v>3194</v>
      </c>
      <c r="Q3" s="1637">
        <v>9873.06</v>
      </c>
      <c r="R3" s="1637">
        <v>9873.06</v>
      </c>
      <c r="S3" s="2967">
        <v>1409.4</v>
      </c>
      <c r="T3" s="1637">
        <v>0</v>
      </c>
      <c r="U3" s="1637" t="s">
        <v>3195</v>
      </c>
    </row>
    <row r="4" spans="1:21" s="1637" customFormat="1">
      <c r="A4" s="1637" t="s">
        <v>3197</v>
      </c>
      <c r="B4" s="1637" t="s">
        <v>3186</v>
      </c>
      <c r="C4" s="1637" t="s">
        <v>3187</v>
      </c>
      <c r="D4" s="1637" t="s">
        <v>3188</v>
      </c>
      <c r="E4" s="1637" t="s">
        <v>1331</v>
      </c>
      <c r="F4" s="1637" t="s">
        <v>3197</v>
      </c>
      <c r="G4" s="1637" t="s">
        <v>3189</v>
      </c>
      <c r="H4" s="1637" t="s">
        <v>3198</v>
      </c>
      <c r="I4" s="1637" t="s">
        <v>3199</v>
      </c>
      <c r="J4" s="1637">
        <v>33266.36</v>
      </c>
      <c r="K4" s="1637">
        <v>49899.54</v>
      </c>
      <c r="L4" s="1637" t="s">
        <v>3200</v>
      </c>
      <c r="M4" s="1637" t="s">
        <v>1331</v>
      </c>
      <c r="N4" s="1637" t="s">
        <v>3201</v>
      </c>
      <c r="O4" s="1637" t="s">
        <v>3201</v>
      </c>
      <c r="P4" s="1637" t="s">
        <v>3202</v>
      </c>
      <c r="Q4" s="1637">
        <v>7042.48</v>
      </c>
      <c r="R4" s="1637">
        <v>7042.48</v>
      </c>
      <c r="S4" s="1637">
        <v>1411.32</v>
      </c>
      <c r="T4" s="1637">
        <v>0</v>
      </c>
      <c r="U4" s="1637" t="s">
        <v>3195</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1642</v>
      </c>
      <c r="B2" s="2986" t="s">
        <v>1643</v>
      </c>
      <c r="C2" s="2986" t="s">
        <v>1644</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7"/>
      <c r="B3" s="2987"/>
      <c r="C3" s="2987"/>
      <c r="D3" s="1047" t="s">
        <v>1639</v>
      </c>
      <c r="E3" s="1047" t="s">
        <v>1645</v>
      </c>
      <c r="F3" s="1047" t="s">
        <v>1639</v>
      </c>
      <c r="G3" s="1047" t="s">
        <v>1640</v>
      </c>
      <c r="H3" s="1047" t="s">
        <v>1639</v>
      </c>
      <c r="I3" s="1047" t="s">
        <v>1640</v>
      </c>
    </row>
    <row r="4" spans="1:9" ht="45">
      <c r="A4" s="1975" t="str">
        <f>项目基本情况!S2</f>
        <v>海南省文昌市青澜新市区高隆湾沿海地段出让国有建设用地使用权及在建建筑物房地产</v>
      </c>
      <c r="B4" s="1047">
        <f>项目基本情况!C17</f>
        <v>296702.55000000005</v>
      </c>
      <c r="C4" s="1047">
        <f>项目基本情况!C18</f>
        <v>154884.56</v>
      </c>
      <c r="D4" s="1047" t="e">
        <f ca="1">结果表!D118</f>
        <v>#REF!</v>
      </c>
      <c r="E4" s="1047" t="e">
        <f ca="1">结果表!E118</f>
        <v>#REF!</v>
      </c>
      <c r="F4" s="1047" t="e">
        <f ca="1">结果表!F118</f>
        <v>#REF!</v>
      </c>
      <c r="G4" s="1047" t="e">
        <f ca="1">结果表!G118</f>
        <v>#REF!</v>
      </c>
      <c r="H4" s="1047">
        <f ca="1">结果表!H118</f>
        <v>107513</v>
      </c>
      <c r="I4" s="1047">
        <f ca="1">结果表!I118</f>
        <v>3624</v>
      </c>
    </row>
    <row r="5" spans="1:9" ht="30" customHeight="1">
      <c r="A5" s="2987" t="s">
        <v>1641</v>
      </c>
      <c r="B5" s="2987"/>
      <c r="C5" s="2987"/>
      <c r="D5" s="2988" t="e">
        <f ca="1">结果表!D119</f>
        <v>#REF!</v>
      </c>
      <c r="E5" s="2988"/>
      <c r="F5" s="2988" t="e">
        <f ca="1">结果表!F119</f>
        <v>#REF!</v>
      </c>
      <c r="G5" s="2988"/>
      <c r="H5" s="2988" t="str">
        <f ca="1">结果表!H119</f>
        <v>壹拾亿柒仟伍佰壹拾叁万元整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1641</v>
      </c>
      <c r="B7" s="2987"/>
      <c r="C7" s="2987"/>
      <c r="D7" s="2990" t="str">
        <f>结果表!D121</f>
        <v>零元整</v>
      </c>
      <c r="E7" s="2991"/>
      <c r="F7" s="2991"/>
      <c r="G7" s="2991"/>
      <c r="H7" s="2991"/>
      <c r="I7" s="2992"/>
    </row>
    <row r="8" spans="1:9" ht="15.75">
      <c r="A8" s="2989" t="str">
        <f>结果表!A122</f>
        <v/>
      </c>
      <c r="B8" s="2989"/>
      <c r="C8" s="2989"/>
      <c r="D8" s="2989" t="str">
        <f>结果表!D122</f>
        <v>——</v>
      </c>
      <c r="E8" s="2989"/>
      <c r="F8" s="2989"/>
      <c r="G8" s="2989"/>
      <c r="H8" s="2989"/>
      <c r="I8" s="2989"/>
    </row>
    <row r="9" spans="1:9" ht="15">
      <c r="A9" s="2987" t="s">
        <v>1641</v>
      </c>
      <c r="B9" s="2987"/>
      <c r="C9" s="2987"/>
      <c r="D9" s="2988" t="e">
        <f>结果表!D123</f>
        <v>#VALUE!</v>
      </c>
      <c r="E9" s="2988"/>
      <c r="F9" s="2988"/>
      <c r="G9" s="2988"/>
      <c r="H9" s="2988"/>
      <c r="I9" s="2988"/>
    </row>
    <row r="10" spans="1:9" ht="15.75">
      <c r="A10" s="2989" t="str">
        <f>结果表!A124</f>
        <v>抵押担保权已注销时的房地产抵押价值</v>
      </c>
      <c r="B10" s="2989"/>
      <c r="C10" s="2989"/>
      <c r="D10" s="2989">
        <f ca="1">结果表!D124</f>
        <v>107513</v>
      </c>
      <c r="E10" s="2989"/>
      <c r="F10" s="2989"/>
      <c r="G10" s="2989"/>
      <c r="H10" s="2989"/>
      <c r="I10" s="2989"/>
    </row>
    <row r="11" spans="1:9" ht="15">
      <c r="A11" s="2987" t="s">
        <v>1641</v>
      </c>
      <c r="B11" s="2987"/>
      <c r="C11" s="2987"/>
      <c r="D11" s="2988" t="str">
        <f ca="1">结果表!D125</f>
        <v>壹拾亿柒仟伍佰壹拾叁万元整</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1641</v>
      </c>
      <c r="B13" s="2993"/>
      <c r="C13" s="2993"/>
      <c r="D13" s="2994" t="e">
        <f>结果表!D127</f>
        <v>#VALUE!</v>
      </c>
      <c r="E13" s="2994"/>
      <c r="F13" s="2994"/>
      <c r="G13" s="2994"/>
      <c r="H13" s="2994"/>
      <c r="I13" s="2994"/>
    </row>
    <row r="14" spans="1:9" ht="15" thickTop="1">
      <c r="A14" s="2995" t="s">
        <v>1646</v>
      </c>
      <c r="B14" s="2995"/>
      <c r="C14" s="2995"/>
      <c r="D14" s="2995"/>
      <c r="E14" s="2995"/>
      <c r="F14" s="2995"/>
      <c r="G14" s="2995"/>
      <c r="H14" s="2995"/>
      <c r="I14" s="2995"/>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6" t="s">
        <v>1663</v>
      </c>
      <c r="B1" s="2996"/>
      <c r="C1" s="2996"/>
      <c r="D1" s="2996"/>
    </row>
    <row r="2" spans="1:4" ht="18">
      <c r="A2" s="2997" t="s">
        <v>1647</v>
      </c>
      <c r="B2" s="2997"/>
      <c r="C2" s="2997"/>
      <c r="D2" s="2997"/>
    </row>
    <row r="3" spans="1:4" ht="18.75">
      <c r="A3" s="1979" t="s">
        <v>1648</v>
      </c>
      <c r="B3" s="1979" t="s">
        <v>1649</v>
      </c>
      <c r="C3" s="1979" t="s">
        <v>1650</v>
      </c>
      <c r="D3" s="1979" t="s">
        <v>1651</v>
      </c>
    </row>
    <row r="4" spans="1:4" ht="56.25" customHeight="1">
      <c r="A4" s="1980" t="str">
        <f>项目基本情况!B4</f>
        <v>王鹏</v>
      </c>
      <c r="B4" s="1981">
        <f ca="1">项目基本情况!C4</f>
        <v>1120050019</v>
      </c>
      <c r="C4" s="1982"/>
      <c r="D4" s="1983" t="s">
        <v>1652</v>
      </c>
    </row>
    <row r="5" spans="1:4" ht="56.25" customHeight="1">
      <c r="A5" s="1980" t="str">
        <f>项目基本情况!D4</f>
        <v>郑燚</v>
      </c>
      <c r="B5" s="1981">
        <f ca="1">项目基本情况!E4</f>
        <v>1120070131</v>
      </c>
      <c r="C5" s="1984"/>
      <c r="D5" s="1983" t="s">
        <v>1652</v>
      </c>
    </row>
    <row r="6" spans="1:4" ht="18">
      <c r="A6" s="2997" t="s">
        <v>1653</v>
      </c>
      <c r="B6" s="2997"/>
      <c r="C6" s="2997"/>
      <c r="D6" s="2997"/>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2998" t="s">
        <v>1656</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2" t="s">
        <v>1657</v>
      </c>
      <c r="B16" s="3002"/>
      <c r="C16" s="3002"/>
      <c r="D16" s="3002"/>
    </row>
    <row r="17" spans="1:4" ht="144" customHeight="1">
      <c r="A17" s="3002" t="s">
        <v>1658</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3"/>
      <c r="C21" s="3003"/>
      <c r="D21" s="3003"/>
    </row>
    <row r="22" spans="1:4" ht="18.75" customHeight="1">
      <c r="A22" s="3004" t="s">
        <v>1659</v>
      </c>
      <c r="B22" s="3004"/>
      <c r="C22" s="3004"/>
      <c r="D22" s="3004"/>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10" t="s">
        <v>1670</v>
      </c>
      <c r="B15" s="3005" t="s">
        <v>136</v>
      </c>
      <c r="C15" s="3006"/>
    </row>
    <row r="16" spans="1:7" ht="13.5">
      <c r="A16" s="3011"/>
      <c r="B16" s="3005" t="s">
        <v>69</v>
      </c>
      <c r="C16" s="3006"/>
    </row>
    <row r="17" spans="1:3" ht="13.5">
      <c r="A17" s="3011"/>
      <c r="B17" s="3008" t="s">
        <v>1671</v>
      </c>
      <c r="C17" s="2002" t="s">
        <v>1670</v>
      </c>
    </row>
    <row r="18" spans="1:3" ht="13.5">
      <c r="A18" s="3011"/>
      <c r="B18" s="3008"/>
      <c r="C18" s="2002" t="s">
        <v>1672</v>
      </c>
    </row>
    <row r="19" spans="1:3" ht="13.5">
      <c r="A19" s="3011"/>
      <c r="B19" s="3008"/>
      <c r="C19" s="2002" t="s">
        <v>1673</v>
      </c>
    </row>
    <row r="20" spans="1:3" ht="13.5">
      <c r="A20" s="3012"/>
      <c r="B20" s="3007" t="s">
        <v>1674</v>
      </c>
      <c r="C20" s="3006"/>
    </row>
    <row r="21" spans="1:3" ht="13.5">
      <c r="A21" s="2003" t="s">
        <v>1675</v>
      </c>
      <c r="B21" s="2004"/>
      <c r="C21" s="2005"/>
    </row>
    <row r="22" spans="1:3" ht="13.5">
      <c r="A22" s="3009" t="s">
        <v>1676</v>
      </c>
      <c r="B22" s="3007" t="s">
        <v>1677</v>
      </c>
      <c r="C22" s="3006"/>
    </row>
    <row r="23" spans="1:3" ht="13.5">
      <c r="A23" s="3009"/>
      <c r="B23" s="3007" t="s">
        <v>1678</v>
      </c>
      <c r="C23" s="3006"/>
    </row>
    <row r="24" spans="1:3" ht="13.5">
      <c r="A24" s="3009"/>
      <c r="B24" s="3007" t="s">
        <v>1679</v>
      </c>
      <c r="C24" s="3006"/>
    </row>
    <row r="25" spans="1:3" ht="13.5">
      <c r="A25" s="3009"/>
      <c r="B25" s="3008" t="s">
        <v>1680</v>
      </c>
      <c r="C25" s="2002" t="s">
        <v>1681</v>
      </c>
    </row>
    <row r="26" spans="1:3" ht="13.5">
      <c r="A26" s="3009"/>
      <c r="B26" s="3008"/>
      <c r="C26" s="2002" t="s">
        <v>1682</v>
      </c>
    </row>
    <row r="27" spans="1:3" ht="13.5">
      <c r="A27" s="3009"/>
      <c r="B27" s="3008"/>
      <c r="C27" s="2002" t="s">
        <v>1683</v>
      </c>
    </row>
    <row r="28" spans="1:3" ht="13.5">
      <c r="A28" s="3009"/>
      <c r="B28" s="3008"/>
      <c r="C28" s="2002" t="s">
        <v>1684</v>
      </c>
    </row>
    <row r="29" spans="1:3" ht="13.5">
      <c r="A29" s="3009"/>
      <c r="B29" s="3008"/>
      <c r="C29" s="2002" t="s">
        <v>1685</v>
      </c>
    </row>
    <row r="30" spans="1:3" ht="13.5">
      <c r="A30" s="3009"/>
      <c r="B30" s="3008"/>
      <c r="C30" s="2002" t="s">
        <v>1686</v>
      </c>
    </row>
    <row r="31" spans="1:3" ht="13.5">
      <c r="A31" s="3009"/>
      <c r="B31" s="3008"/>
      <c r="C31" s="2002" t="s">
        <v>1687</v>
      </c>
    </row>
    <row r="32" spans="1:3" ht="13.5">
      <c r="A32" s="3009"/>
      <c r="B32" s="3008"/>
      <c r="C32" s="2002" t="s">
        <v>1688</v>
      </c>
    </row>
    <row r="33" spans="1:3" ht="13.5">
      <c r="A33" s="3009"/>
      <c r="B33" s="3008"/>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43192</v>
      </c>
      <c r="C2" s="1022" t="s">
        <v>826</v>
      </c>
      <c r="D2" s="1022"/>
    </row>
    <row r="3" spans="1:6" ht="24" customHeight="1">
      <c r="A3" s="1023" t="s">
        <v>827</v>
      </c>
      <c r="B3" s="1024" t="s">
        <v>828</v>
      </c>
      <c r="C3" s="2344" t="s">
        <v>829</v>
      </c>
      <c r="D3" s="2347" t="s">
        <v>830</v>
      </c>
      <c r="E3" s="1025" t="s">
        <v>831</v>
      </c>
      <c r="F3" s="1024" t="s">
        <v>829</v>
      </c>
    </row>
    <row r="4" spans="1:6" ht="24" customHeight="1">
      <c r="A4" s="1704" t="s">
        <v>832</v>
      </c>
      <c r="B4" s="1025">
        <f ca="1">IF(C4&lt;B2,"已过期",1119970066)</f>
        <v>1119970066</v>
      </c>
      <c r="C4" s="2345">
        <v>43849</v>
      </c>
      <c r="D4" s="2348" t="s">
        <v>832</v>
      </c>
      <c r="E4" s="1025">
        <f ca="1">IF(F4&lt;B2,"已过期",96010014)</f>
        <v>96010014</v>
      </c>
      <c r="F4" s="1033">
        <v>47118</v>
      </c>
    </row>
    <row r="5" spans="1:6" ht="24" customHeight="1">
      <c r="A5" s="1704" t="s">
        <v>833</v>
      </c>
      <c r="B5" s="1025">
        <f ca="1">IF(C5&lt;B2,"已过期",1119970074)</f>
        <v>1119970074</v>
      </c>
      <c r="C5" s="2345">
        <v>43849</v>
      </c>
      <c r="D5" s="2348" t="s">
        <v>833</v>
      </c>
      <c r="E5" s="1025">
        <f ca="1">IF(F5&lt;B2,"已过期",2002110027)</f>
        <v>2002110027</v>
      </c>
      <c r="F5" s="1033">
        <v>46752</v>
      </c>
    </row>
    <row r="6" spans="1:6" ht="24" customHeight="1">
      <c r="A6" s="1704" t="s">
        <v>834</v>
      </c>
      <c r="B6" s="1025">
        <f ca="1">IF(C6&lt;B2,"已过期",1119970111)</f>
        <v>1119970111</v>
      </c>
      <c r="C6" s="2345">
        <v>43849</v>
      </c>
      <c r="D6" s="2348" t="s">
        <v>834</v>
      </c>
      <c r="E6" s="1025">
        <f ca="1">IF(F6&lt;B2,"已过期",94010078)</f>
        <v>94010078</v>
      </c>
      <c r="F6" s="1033">
        <v>46387</v>
      </c>
    </row>
    <row r="7" spans="1:6" ht="24" customHeight="1">
      <c r="A7" s="1704" t="s">
        <v>835</v>
      </c>
      <c r="B7" s="1025">
        <f ca="1">IF(C7&lt;B2,"已过期",1120050019)</f>
        <v>1120050019</v>
      </c>
      <c r="C7" s="2345">
        <v>43359</v>
      </c>
      <c r="D7" s="2348" t="s">
        <v>835</v>
      </c>
      <c r="E7" s="1025">
        <f ca="1">IF(F7&lt;B2,"已过期",2002110030)</f>
        <v>2002110030</v>
      </c>
      <c r="F7" s="1033">
        <v>46387</v>
      </c>
    </row>
    <row r="8" spans="1:6" ht="24" customHeight="1">
      <c r="A8" s="1704" t="s">
        <v>836</v>
      </c>
      <c r="B8" s="1025">
        <f ca="1">IF(C8&lt;B2,"已过期",1120000080)</f>
        <v>1120000080</v>
      </c>
      <c r="C8" s="2345">
        <v>43849</v>
      </c>
      <c r="D8" s="2348" t="s">
        <v>836</v>
      </c>
      <c r="E8" s="1025">
        <f ca="1">IF(F8&lt;B2,"已过期",2000110082)</f>
        <v>2000110082</v>
      </c>
      <c r="F8" s="1033">
        <v>46387</v>
      </c>
    </row>
    <row r="9" spans="1:6" ht="24" customHeight="1">
      <c r="A9" s="1704" t="s">
        <v>837</v>
      </c>
      <c r="B9" s="1025">
        <f ca="1">IF(C9&lt;B2,"已过期",1419970001)</f>
        <v>1419970001</v>
      </c>
      <c r="C9" s="2345">
        <v>43867</v>
      </c>
      <c r="D9" s="2348" t="s">
        <v>837</v>
      </c>
      <c r="E9" s="1025">
        <f ca="1">IF(F9&lt;B2,"已过期",2002110125)</f>
        <v>2002110125</v>
      </c>
      <c r="F9" s="1033">
        <v>47118</v>
      </c>
    </row>
    <row r="10" spans="1:6" ht="24" customHeight="1">
      <c r="A10" s="1704" t="s">
        <v>838</v>
      </c>
      <c r="B10" s="1025">
        <f ca="1">IF(C10&lt;B2,"已过期",1120060040)</f>
        <v>1120060040</v>
      </c>
      <c r="C10" s="2345">
        <v>43483</v>
      </c>
      <c r="D10" s="2348" t="s">
        <v>838</v>
      </c>
      <c r="E10" s="1025">
        <f ca="1">IF(F10&lt;B2,"已过期",2004110096)</f>
        <v>2004110096</v>
      </c>
      <c r="F10" s="1033">
        <v>47118</v>
      </c>
    </row>
    <row r="11" spans="1:6" ht="24" customHeight="1">
      <c r="A11" s="1704" t="s">
        <v>839</v>
      </c>
      <c r="B11" s="1025">
        <f ca="1">IF(C11&lt;B2,"已过期",1120100036)</f>
        <v>1120100036</v>
      </c>
      <c r="C11" s="2345">
        <v>43622</v>
      </c>
      <c r="D11" s="2348" t="s">
        <v>839</v>
      </c>
      <c r="E11" s="1025">
        <f ca="1">IF(F11&lt;B2,"已过期",2010110070)</f>
        <v>2010110070</v>
      </c>
      <c r="F11" s="1033">
        <v>47907</v>
      </c>
    </row>
    <row r="12" spans="1:6" ht="24" customHeight="1">
      <c r="A12" s="1704"/>
      <c r="B12" s="1025"/>
      <c r="C12" s="2345"/>
      <c r="D12" s="2348"/>
      <c r="E12" s="1025"/>
      <c r="F12" s="1025"/>
    </row>
    <row r="13" spans="1:6" ht="24" customHeight="1">
      <c r="A13" s="1704" t="s">
        <v>840</v>
      </c>
      <c r="B13" s="1025">
        <f ca="1">IF(C13&lt;B2,"已过期",1120070131)</f>
        <v>1120070131</v>
      </c>
      <c r="C13" s="2345">
        <v>43814</v>
      </c>
      <c r="D13" s="2348" t="s">
        <v>840</v>
      </c>
      <c r="E13" s="1025">
        <v>2014110011</v>
      </c>
      <c r="F13" s="1033">
        <v>49302</v>
      </c>
    </row>
    <row r="14" spans="1:6" ht="24" customHeight="1">
      <c r="A14" s="1704" t="s">
        <v>841</v>
      </c>
      <c r="B14" s="1025">
        <f ca="1">IF(C14&lt;B2,"已过期",1120130020)</f>
        <v>1120130020</v>
      </c>
      <c r="C14" s="2345">
        <v>43622</v>
      </c>
      <c r="D14" s="2348"/>
      <c r="E14" s="1025"/>
      <c r="F14" s="1025"/>
    </row>
    <row r="15" spans="1:6" ht="24" customHeight="1">
      <c r="A15" s="1705" t="s">
        <v>1149</v>
      </c>
      <c r="B15" s="1025">
        <v>1120070085</v>
      </c>
      <c r="C15" s="2345">
        <v>43814</v>
      </c>
      <c r="D15" s="2349" t="s">
        <v>1149</v>
      </c>
      <c r="E15" s="1025">
        <v>2004110128</v>
      </c>
      <c r="F15" s="1026">
        <v>47118</v>
      </c>
    </row>
    <row r="16" spans="1:6" ht="24" customHeight="1">
      <c r="A16" s="1704" t="s">
        <v>842</v>
      </c>
      <c r="B16" s="1025">
        <f ca="1">IF(C16&lt;B2,"已过期",1120140022)</f>
        <v>1120140022</v>
      </c>
      <c r="C16" s="2345">
        <v>44029</v>
      </c>
      <c r="D16" s="2348" t="s">
        <v>842</v>
      </c>
      <c r="E16" s="1025">
        <f ca="1">IF(F16&lt;B2,"已过期",2008110059)</f>
        <v>2008110059</v>
      </c>
      <c r="F16" s="1033">
        <v>47177</v>
      </c>
    </row>
    <row r="17" spans="1:7" ht="24" customHeight="1">
      <c r="A17" s="1704"/>
      <c r="B17" s="1025"/>
      <c r="C17" s="2345"/>
      <c r="D17" s="2348"/>
      <c r="E17" s="1025"/>
      <c r="F17" s="1033"/>
    </row>
    <row r="18" spans="1:7" ht="24" customHeight="1">
      <c r="A18" s="1704"/>
      <c r="B18" s="1025"/>
      <c r="C18" s="2345"/>
      <c r="D18" s="2348"/>
      <c r="E18" s="1025"/>
      <c r="F18" s="1033"/>
    </row>
    <row r="19" spans="1:7" ht="24" customHeight="1">
      <c r="A19" s="1704"/>
      <c r="B19" s="1025"/>
      <c r="C19" s="2345"/>
      <c r="D19" s="2348"/>
      <c r="E19" s="1025"/>
      <c r="F19" s="1025"/>
    </row>
    <row r="20" spans="1:7" ht="24" customHeight="1">
      <c r="A20" s="1704"/>
      <c r="B20" s="1025"/>
      <c r="C20" s="2345"/>
      <c r="D20" s="2348"/>
      <c r="E20" s="1025"/>
      <c r="F20" s="1025"/>
    </row>
    <row r="21" spans="1:7" ht="24" customHeight="1">
      <c r="A21" s="1704"/>
      <c r="B21" s="1025"/>
      <c r="C21" s="2345"/>
      <c r="D21" s="2348" t="s">
        <v>843</v>
      </c>
      <c r="E21" s="1025">
        <f ca="1">IF(F21&lt;B2,"已过期",2011110090)</f>
        <v>2011110090</v>
      </c>
      <c r="F21" s="1033">
        <v>48302</v>
      </c>
    </row>
    <row r="22" spans="1:7" ht="24" customHeight="1">
      <c r="A22" s="1704" t="s">
        <v>844</v>
      </c>
      <c r="B22" s="1025">
        <f ca="1">IF(C22&lt;B2,"已过期",1120020033)</f>
        <v>1120020033</v>
      </c>
      <c r="C22" s="2345">
        <v>43304</v>
      </c>
      <c r="D22" s="2348" t="s">
        <v>844</v>
      </c>
      <c r="E22" s="1025">
        <f ca="1">IF(F22&lt;B2,"已过期",2000110137)</f>
        <v>2000110137</v>
      </c>
      <c r="F22" s="1033">
        <v>46387</v>
      </c>
    </row>
    <row r="23" spans="1:7" ht="24" customHeight="1">
      <c r="A23" s="1704" t="s">
        <v>845</v>
      </c>
      <c r="B23" s="1025">
        <f ca="1">IF(C23&lt;B2,"已过期",1120130048)</f>
        <v>1120130048</v>
      </c>
      <c r="C23" s="2345">
        <v>43686</v>
      </c>
      <c r="D23" s="2348"/>
      <c r="E23" s="1025"/>
      <c r="F23" s="1025"/>
    </row>
    <row r="24" spans="1:7" s="1027" customFormat="1" ht="24" customHeight="1">
      <c r="A24" s="1705" t="s">
        <v>1333</v>
      </c>
      <c r="B24" s="1705" t="s">
        <v>1333</v>
      </c>
      <c r="C24" s="2346" t="s">
        <v>1333</v>
      </c>
      <c r="D24" s="2349" t="s">
        <v>1333</v>
      </c>
      <c r="E24" s="1705" t="s">
        <v>1333</v>
      </c>
      <c r="F24" s="1705" t="s">
        <v>1333</v>
      </c>
    </row>
    <row r="25" spans="1:7" ht="24" customHeight="1">
      <c r="A25" s="3013" t="s">
        <v>846</v>
      </c>
      <c r="B25" s="3013"/>
      <c r="C25" s="3013"/>
      <c r="D25" s="3013"/>
      <c r="E25" s="3013"/>
      <c r="F25" s="3013"/>
      <c r="G25" s="3013"/>
    </row>
    <row r="26" spans="1:7" s="1028" customFormat="1" ht="24" customHeight="1">
      <c r="A26" s="3014" t="s">
        <v>847</v>
      </c>
      <c r="B26" s="3014"/>
      <c r="C26" s="3015"/>
      <c r="D26" s="3016" t="s">
        <v>848</v>
      </c>
      <c r="E26" s="3014"/>
      <c r="F26" s="3014"/>
    </row>
    <row r="27" spans="1:7" s="1030" customFormat="1" ht="24" customHeight="1">
      <c r="A27" s="1029" t="s">
        <v>849</v>
      </c>
      <c r="B27" s="1024" t="s">
        <v>850</v>
      </c>
      <c r="C27" s="2344" t="s">
        <v>851</v>
      </c>
      <c r="D27" s="2352" t="s">
        <v>849</v>
      </c>
      <c r="E27" s="1024" t="s">
        <v>850</v>
      </c>
      <c r="F27" s="1024" t="s">
        <v>851</v>
      </c>
    </row>
    <row r="28" spans="1:7" s="1030" customFormat="1" ht="24" customHeight="1">
      <c r="A28" s="1031" t="s">
        <v>852</v>
      </c>
      <c r="B28" s="1032" t="s">
        <v>853</v>
      </c>
      <c r="C28" s="2350">
        <v>43725</v>
      </c>
      <c r="D28" s="2353" t="s">
        <v>854</v>
      </c>
      <c r="E28" s="1031" t="s">
        <v>855</v>
      </c>
      <c r="F28" s="1061">
        <v>44377</v>
      </c>
    </row>
    <row r="29" spans="1:7" s="1030" customFormat="1" ht="24" customHeight="1">
      <c r="A29" s="1031"/>
      <c r="B29" s="1031"/>
      <c r="C29" s="2351"/>
      <c r="D29" s="2353"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范围</vt:lpstr>
      <vt:lpstr>数据-汇总表</vt:lpstr>
      <vt:lpstr>数据-取费表</vt:lpstr>
      <vt:lpstr>估价对象房地状况</vt:lpstr>
      <vt:lpstr>系统读取表</vt:lpstr>
      <vt:lpstr>结果表</vt:lpstr>
      <vt:lpstr>成本法</vt:lpstr>
      <vt:lpstr>成本法 (元)</vt:lpstr>
      <vt:lpstr>土地比较法-住宅</vt:lpstr>
      <vt:lpstr>假设开发法</vt:lpstr>
      <vt:lpstr>收益法 (元)</vt:lpstr>
      <vt:lpstr>收益法（汇总）</vt:lpstr>
      <vt:lpstr>酒店收入计算</vt:lpstr>
      <vt:lpstr>比较法-住宅</vt:lpstr>
      <vt:lpstr>收益法</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China</cp:lastModifiedBy>
  <cp:lastPrinted>2017-03-01T09:15:43Z</cp:lastPrinted>
  <dcterms:created xsi:type="dcterms:W3CDTF">2015-07-13T07:17:23Z</dcterms:created>
  <dcterms:modified xsi:type="dcterms:W3CDTF">2018-04-02T01:43:29Z</dcterms:modified>
</cp:coreProperties>
</file>